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ml.chartshapes+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90" windowWidth="7575" windowHeight="5565" tabRatio="774"/>
  </bookViews>
  <sheets>
    <sheet name="ImportantDisclosures" sheetId="69" r:id="rId1"/>
    <sheet name="SOP" sheetId="59" r:id="rId2"/>
    <sheet name="DCF" sheetId="52" r:id="rId3"/>
    <sheet name="IS" sheetId="5" r:id="rId4"/>
    <sheet name="MW-Cache" sheetId="43" state="veryHidden" r:id="rId5"/>
    <sheet name="Rev-Exp" sheetId="49" r:id="rId6"/>
    <sheet name="BS" sheetId="50" r:id="rId7"/>
    <sheet name="CS" sheetId="51" r:id="rId8"/>
    <sheet name="Marketed ---&gt;" sheetId="37" r:id="rId9"/>
    <sheet name="Vimizim" sheetId="15" r:id="rId10"/>
    <sheet name="Naglazyme" sheetId="48" r:id="rId11"/>
    <sheet name="PKU" sheetId="45" r:id="rId12"/>
    <sheet name="Aldurazyme" sheetId="46" r:id="rId13"/>
    <sheet name="Brineura (BMN 190)" sheetId="30" r:id="rId14"/>
    <sheet name="Pipeline ---&gt;" sheetId="38" r:id="rId15"/>
    <sheet name=" Vosoritide (BMN 111)" sheetId="34" r:id="rId16"/>
    <sheet name="BMN 270" sheetId="47" r:id="rId17"/>
    <sheet name="BMN 250" sheetId="54" r:id="rId18"/>
    <sheet name="IndexInformation" sheetId="70" r:id="rId19"/>
    <sheet name="ModPubIndex" sheetId="71"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_________B1">[1]Annual!$G$18</definedName>
    <definedName name="_________D1">[1]Annual!$I$18</definedName>
    <definedName name="_________F1">[1]Annual!$K$18</definedName>
    <definedName name="_________fy2001">'[2]5 yr Sales and Earnings'!$C$1:$C$170</definedName>
    <definedName name="_________Inc01">[3]IS!$AP$7:$AQ$38</definedName>
    <definedName name="_________Inc02">[3]IS!$AW$7:$AX$38</definedName>
    <definedName name="_________Inc96">[3]IS!$I$7:$J$38</definedName>
    <definedName name="_________Inc97">[3]IS!$O$7:$P$38</definedName>
    <definedName name="_________Inc98">[3]IS!$U$7:$W$38</definedName>
    <definedName name="_________Inc99">[3]IS!$AB$7:$AB$38</definedName>
    <definedName name="_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_RD02">[4]Annual!$F$21</definedName>
    <definedName name="_________RD03">[4]Annual!$G$21</definedName>
    <definedName name="_________RD04">[4]Annual!$I$21</definedName>
    <definedName name="_________RD05">[4]Annual!$K$21</definedName>
    <definedName name="_________RD06">[4]Annual!$M$21</definedName>
    <definedName name="_________RD07">[5]Annual!$O$16</definedName>
    <definedName name="________B1">[1]Annual!$G$18</definedName>
    <definedName name="________D1">[1]Annual!$I$18</definedName>
    <definedName name="________F1">[1]Annual!$K$18</definedName>
    <definedName name="________fy2001">'[2]5 yr Sales and Earnings'!$C$1:$C$170</definedName>
    <definedName name="________Inc01">[3]IS!$AP$7:$AQ$38</definedName>
    <definedName name="________Inc02">[3]IS!$AW$7:$AX$38</definedName>
    <definedName name="________Inc96">[3]IS!$I$7:$J$38</definedName>
    <definedName name="________Inc97">[3]IS!$O$7:$P$38</definedName>
    <definedName name="________Inc98">[3]IS!$U$7:$W$38</definedName>
    <definedName name="________Inc99">[3]IS!$AB$7:$AB$38</definedName>
    <definedName name="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RD02">[4]Annual!$F$21</definedName>
    <definedName name="________RD03">[4]Annual!$G$21</definedName>
    <definedName name="________RD04">[4]Annual!$I$21</definedName>
    <definedName name="________RD05">[4]Annual!$K$21</definedName>
    <definedName name="________RD06">[4]Annual!$M$21</definedName>
    <definedName name="________RD07">[5]Annual!$O$16</definedName>
    <definedName name="_______B1">[1]Annual!$G$18</definedName>
    <definedName name="_______D1">[1]Annual!$I$18</definedName>
    <definedName name="_______F1">[1]Annual!$K$18</definedName>
    <definedName name="_______fy2001">'[2]5 yr Sales and Earnings'!$C$1:$C$170</definedName>
    <definedName name="_______Inc01">[3]IS!$AP$7:$AQ$38</definedName>
    <definedName name="_______Inc02">[3]IS!$AW$7:$AX$38</definedName>
    <definedName name="_______Inc96">[3]IS!$I$7:$J$38</definedName>
    <definedName name="_______Inc97">[3]IS!$O$7:$P$38</definedName>
    <definedName name="_______Inc98">[3]IS!$U$7:$W$38</definedName>
    <definedName name="_______Inc99">[3]IS!$AB$7:$AB$38</definedName>
    <definedName name="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RD02">[4]Annual!$F$21</definedName>
    <definedName name="_______RD03">[4]Annual!$G$21</definedName>
    <definedName name="_______RD04">[4]Annual!$I$21</definedName>
    <definedName name="_______RD05">[4]Annual!$K$21</definedName>
    <definedName name="_______RD06">[4]Annual!$M$21</definedName>
    <definedName name="_______RD07">[5]Annual!$O$16</definedName>
    <definedName name="______B1">[1]Annual!$G$18</definedName>
    <definedName name="______D1">[1]Annual!$I$18</definedName>
    <definedName name="______F1">[1]Annual!$K$18</definedName>
    <definedName name="______fy2001">'[2]5 yr Sales and Earnings'!$C$1:$C$170</definedName>
    <definedName name="______Inc01">[3]IS!$AP$7:$AQ$38</definedName>
    <definedName name="______Inc02">[3]IS!$AW$7:$AX$38</definedName>
    <definedName name="______Inc96">[3]IS!$I$7:$J$38</definedName>
    <definedName name="______Inc97">[3]IS!$O$7:$P$38</definedName>
    <definedName name="______Inc98">[3]IS!$U$7:$W$38</definedName>
    <definedName name="______Inc99">[3]IS!$AB$7:$AB$38</definedName>
    <definedName name="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RD02">[4]Annual!$F$21</definedName>
    <definedName name="______RD03">[4]Annual!$G$21</definedName>
    <definedName name="______RD04">[4]Annual!$I$21</definedName>
    <definedName name="______RD05">[4]Annual!$K$21</definedName>
    <definedName name="______RD06">[4]Annual!$M$21</definedName>
    <definedName name="______RD07">[5]Annual!$O$16</definedName>
    <definedName name="_____B1">[1]Annual!$G$18</definedName>
    <definedName name="_____D1">[1]Annual!$I$18</definedName>
    <definedName name="_____F1">[1]Annual!$K$18</definedName>
    <definedName name="_____fy2001">'[2]5 yr Sales and Earnings'!$C$1:$C$170</definedName>
    <definedName name="_____Inc01">[3]IS!$AP$7:$AQ$38</definedName>
    <definedName name="_____Inc02">[3]IS!$AW$7:$AX$38</definedName>
    <definedName name="_____Inc96">[3]IS!$I$7:$J$38</definedName>
    <definedName name="_____Inc97">[3]IS!$O$7:$P$38</definedName>
    <definedName name="_____Inc98">[3]IS!$U$7:$W$38</definedName>
    <definedName name="_____Inc99">[3]IS!$AB$7:$AB$38</definedName>
    <definedName name="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RD02">[4]Annual!$F$21</definedName>
    <definedName name="_____RD03">[4]Annual!$G$21</definedName>
    <definedName name="_____RD04">[4]Annual!$I$21</definedName>
    <definedName name="_____RD05">[4]Annual!$K$21</definedName>
    <definedName name="_____RD06">[4]Annual!$M$21</definedName>
    <definedName name="_____RD07">[5]Annual!$O$16</definedName>
    <definedName name="____B1">[1]Annual!$G$18</definedName>
    <definedName name="____D1">[1]Annual!$I$18</definedName>
    <definedName name="____F1">[1]Annual!$K$18</definedName>
    <definedName name="____fy2001">'[2]5 yr Sales and Earnings'!$C$1:$C$170</definedName>
    <definedName name="____Inc01">[3]IS!$AP$7:$AQ$38</definedName>
    <definedName name="____Inc02">[3]IS!$AW$7:$AX$38</definedName>
    <definedName name="____Inc96">[3]IS!$I$7:$J$38</definedName>
    <definedName name="____Inc97">[3]IS!$O$7:$P$38</definedName>
    <definedName name="____Inc98">[3]IS!$U$7:$W$38</definedName>
    <definedName name="____Inc99">[3]IS!$AB$7:$AB$38</definedName>
    <definedName name="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RD02">[4]Annual!$F$21</definedName>
    <definedName name="____RD03">[4]Annual!$G$21</definedName>
    <definedName name="____RD04">[4]Annual!$I$21</definedName>
    <definedName name="____RD05">[4]Annual!$K$21</definedName>
    <definedName name="____RD06">[4]Annual!$M$21</definedName>
    <definedName name="____RD07">[5]Annual!$O$16</definedName>
    <definedName name="___B1">[1]Annual!$G$18</definedName>
    <definedName name="___D1">[1]Annual!$I$18</definedName>
    <definedName name="___F1">[1]Annual!$K$18</definedName>
    <definedName name="___fy2001">'[2]5 yr Sales and Earnings'!$C$1:$C$170</definedName>
    <definedName name="___Inc01">[3]IS!$AP$7:$AQ$38</definedName>
    <definedName name="___Inc02">[3]IS!$AW$7:$AX$38</definedName>
    <definedName name="___Inc96">[3]IS!$I$7:$J$38</definedName>
    <definedName name="___Inc97">[3]IS!$O$7:$P$38</definedName>
    <definedName name="___Inc98">[3]IS!$U$7:$W$38</definedName>
    <definedName name="___Inc99">[3]IS!$AB$7:$AB$38</definedName>
    <definedName name="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RD02">[4]Annual!$F$21</definedName>
    <definedName name="___RD03">[4]Annual!$G$21</definedName>
    <definedName name="___RD04">[4]Annual!$I$21</definedName>
    <definedName name="___RD05">[4]Annual!$K$21</definedName>
    <definedName name="___RD06">[4]Annual!$M$21</definedName>
    <definedName name="___RD07">[5]Annual!$O$16</definedName>
    <definedName name="__B1">[1]Annual!$G$18</definedName>
    <definedName name="__D1">[1]Annual!$I$18</definedName>
    <definedName name="__F1">[1]Annual!$K$18</definedName>
    <definedName name="__FDS_HYPERLINK_TOGGLE_STATE__" hidden="1">"ON"</definedName>
    <definedName name="__FDS_UNIQUE_RANGE_ID_GENERATOR_COUNTER" hidden="1">1</definedName>
    <definedName name="__fy2001">'[2]5 yr Sales and Earnings'!$C$1:$C$170</definedName>
    <definedName name="__Inc01">[3]IS!$AP$7:$AQ$38</definedName>
    <definedName name="__Inc02">[3]IS!$AW$7:$AX$38</definedName>
    <definedName name="__Inc96">[3]IS!$I$7:$J$38</definedName>
    <definedName name="__Inc97">[3]IS!$O$7:$P$38</definedName>
    <definedName name="__Inc98">[3]IS!$U$7:$W$38</definedName>
    <definedName name="__Inc99">[3]IS!$AB$7:$AB$38</definedName>
    <definedName name="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RD02">[4]Annual!$F$21</definedName>
    <definedName name="__RD03">[4]Annual!$G$21</definedName>
    <definedName name="__RD04">[4]Annual!$I$21</definedName>
    <definedName name="__RD05">[4]Annual!$K$21</definedName>
    <definedName name="__RD06">[4]Annual!$M$21</definedName>
    <definedName name="__RD07">[5]Annual!$O$16</definedName>
    <definedName name="_1__FDSAUDITLINK__"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500_Million">'[2]5 yr Sales and Earnings'!$A$102:$AA$102</definedName>
    <definedName name="_B1">[1]Annual!$G$18</definedName>
    <definedName name="_bdm.02E29E7B1053433EA3CCCBE4E5141596.edm" hidden="1">[6]Sheet1!$A:$IV</definedName>
    <definedName name="_bdm.0465D0F8BD2C4E888AB9C11EA0CBE52C.edm" hidden="1">'[7]rev change analysis'!$A:$IV</definedName>
    <definedName name="_bdm.14200C51F23343DBA038D22B6303B8CC.edm" hidden="1">[8]Cashflow!$A:$IV</definedName>
    <definedName name="_bdm.22794A4B010A4A8692E496303EA793DB.edm" hidden="1">[9]Cashflow!$A:$IV</definedName>
    <definedName name="_bdm.324D53C82F8D478AA4269D3A520A6972.edm" hidden="1">[9]Figures!$A:$IV</definedName>
    <definedName name="_bdm.37E6BDDA51D64107AEC413E364833DAE.edm" hidden="1">'[8]Avastin-Patient Ramp'!$A:$IV</definedName>
    <definedName name="_bdm.3AE51B349CB64710914C57BF7EAD0F08.edm" hidden="1">[9]Marketing!$A:$IV</definedName>
    <definedName name="_bdm.5F1885707D3344F0A4139CF01D1D1F5E.edm" hidden="1">[8]Annual!$A:$IV</definedName>
    <definedName name="_bdm.65F9EB696FC746649BC61AD8D778200B.edm" hidden="1">[9]Annual!$A:$IV</definedName>
    <definedName name="_bdm.728F11F0AFCA412FB7ED10EC5A6B0D96.edm" hidden="1">'[8]Balance Sheet '!$A:$IV</definedName>
    <definedName name="_bdm.77453DAF91854373A25ACDB8F1877D47.edm" hidden="1">'[9]Balance Sheet '!$A:$IV</definedName>
    <definedName name="_bdm.7757076A173D4402BD533DE2F5EDA064.edm" hidden="1">[8]Manufacturing!$A:$IV</definedName>
    <definedName name="_bdm.9301DDFC67D846248C16E96B86458D94.edm" hidden="1">'[7]rev contribution analysis'!$A:$IV</definedName>
    <definedName name="_bdm.95B3BB646EED4CCE80790D8D8638B047.edm" hidden="1">'[9]MS Est. Vs Actual'!$A:$IV</definedName>
    <definedName name="_bdm.A14504C4685843CABFA70BDB420D1B49.edm" hidden="1">[9]ProcritAranesp!$A:$IV</definedName>
    <definedName name="_bdm.B21B9DDD275E448CBEA15C84DEF8CA9D.edm" hidden="1">'[8]MS Est vs. Rpt'!$A:$IV</definedName>
    <definedName name="_bdm.C143B498FEE343158C5059FD7AD9D747.edm" hidden="1">'[8]Changes to the Model'!$A:$IV</definedName>
    <definedName name="_bdm.CA0B0CAC6522419B8221BEA627D1C086.edm" hidden="1">'[8]Clinical data'!$A:$IV</definedName>
    <definedName name="_bdm.CA0B3AD6743A4F68B0D719ED6EBECAA8.edm" hidden="1">[8]Marketing!$A:$IV</definedName>
    <definedName name="_bdm.DA3D26E750D24936AEE5B87A52DD73E7.edm" hidden="1">[9]Quarterly!$A:$IV</definedName>
    <definedName name="_bdm.E21E382C69DA4447AFEB970D63072EC7.edm" hidden="1">[8]Quarterly!$A:$IV</definedName>
    <definedName name="_bdm.E740C0FDA4514EE4A13531D2644E24FE.edm" hidden="1">'[9]Changes to Model'!$A:$IV</definedName>
    <definedName name="_bdm.E93CF733CE1D4A5A94E3C95B0A7E783E.edm" hidden="1">[8]Model_Template!$A:$IV</definedName>
    <definedName name="_D1">[1]Annual!$I$18</definedName>
    <definedName name="_F1">[1]Annual!$K$18</definedName>
    <definedName name="_fy2001">'[2]5 yr Sales and Earnings'!$C$1:$C$170</definedName>
    <definedName name="_Inc01">[3]IS!$AP$7:$AQ$38</definedName>
    <definedName name="_Inc02">[3]IS!$AW$7:$AX$38</definedName>
    <definedName name="_Inc96">[3]IS!$I$7:$J$38</definedName>
    <definedName name="_Inc97">[3]IS!$O$7:$P$38</definedName>
    <definedName name="_Inc98">[3]IS!$U$7:$W$38</definedName>
    <definedName name="_Inc99">[3]IS!$AB$7:$AB$38</definedName>
    <definedName name="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Order1" hidden="1">255</definedName>
    <definedName name="_RD02">[4]Annual!$F$21</definedName>
    <definedName name="_RD03">[4]Annual!$G$21</definedName>
    <definedName name="_RD04">[4]Annual!$I$21</definedName>
    <definedName name="_RD05">[4]Annual!$K$21</definedName>
    <definedName name="_RD06">[4]Annual!$M$21</definedName>
    <definedName name="_RD07">[5]Annual!$O$16</definedName>
    <definedName name="a" localSheetId="12" hidden="1">{#N/A,#N/A,FALSE,"Inc";#N/A,#N/A,FALSE,"QInc";#N/A,#N/A,FALSE,"Pro";#N/A,#N/A,FALSE,"QPro"}</definedName>
    <definedName name="a" localSheetId="9" hidden="1">{#N/A,#N/A,FALSE,"Inc";#N/A,#N/A,FALSE,"QInc";#N/A,#N/A,FALSE,"Pro";#N/A,#N/A,FALSE,"QPro"}</definedName>
    <definedName name="A" hidden="1">{#N/A,#N/A,FALSE,"Inc";#N/A,#N/A,FALSE,"QInc";#N/A,#N/A,FALSE,"Pro";#N/A,#N/A,FALSE,"QPro"}</definedName>
    <definedName name="ab" localSheetId="12" hidden="1">{#N/A,#N/A,FALSE,"Inc";#N/A,#N/A,FALSE,"Prod";#N/A,#N/A,FALSE,"QInc";#N/A,#N/A,FALSE,"QProd"}</definedName>
    <definedName name="ab" localSheetId="9" hidden="1">{#N/A,#N/A,FALSE,"Inc";#N/A,#N/A,FALSE,"Prod";#N/A,#N/A,FALSE,"QInc";#N/A,#N/A,FALSE,"QProd"}</definedName>
    <definedName name="ab" hidden="1">{#N/A,#N/A,FALSE,"Inc";#N/A,#N/A,FALSE,"Prod";#N/A,#N/A,FALSE,"QInc";#N/A,#N/A,FALSE,"QProd"}</definedName>
    <definedName name="abc" hidden="1">{"cover a","1q",FALSE,"Cover";"Op Earn Mgd Q1",#N/A,FALSE,"Op-Earn (Mng)";"Op Earn Rpt Q1",#N/A,FALSE,"Op-Earn (Rpt)";"Loans",#N/A,FALSE,"Loans";"Credit Costs",#N/A,FALSE,"CCosts";"Net Interest Margin",#N/A,FALSE,"Margin";"Nonint Income",#N/A,FALSE,"NonII";"Nonint Exp",#N/A,FALSE,"NonIE";"Valuation",#N/A,FALSE,"Valuation"}</definedName>
    <definedName name="abcd" localSheetId="12" hidden="1">{#N/A,#N/A,FALSE,"Inc";#N/A,#N/A,FALSE,"Prod";#N/A,#N/A,FALSE,"QInc";#N/A,#N/A,FALSE,"QProd"}</definedName>
    <definedName name="abcd" localSheetId="9" hidden="1">{#N/A,#N/A,FALSE,"Inc";#N/A,#N/A,FALSE,"Prod";#N/A,#N/A,FALSE,"QInc";#N/A,#N/A,FALSE,"QProd"}</definedName>
    <definedName name="abcd" hidden="1">{#N/A,#N/A,FALSE,"Inc";#N/A,#N/A,FALSE,"Prod";#N/A,#N/A,FALSE,"QInc";#N/A,#N/A,FALSE,"QProd"}</definedName>
    <definedName name="Acc_payable">[11]Data_Download!$C$17:$AE$17</definedName>
    <definedName name="Acc_payable_growth_fore">[11]Data_Download!$H$150:$K$150</definedName>
    <definedName name="Acc_Rec">[11]Data_Download!$C$7:$AE$7</definedName>
    <definedName name="Acc_Rec_growth_fore">[11]Data_Download!$H$147:$K$147</definedName>
    <definedName name="Acc_Rec_turns">[11]Data_Download!$C$95:$Q$95</definedName>
    <definedName name="Accel_Ratio">[11]Data_Download!$E$9</definedName>
    <definedName name="Accrued_compensation">[11]Data_Download!$C$20:$AE$20</definedName>
    <definedName name="Accrued_compensation_growth_fore">[11]Data_Download!$H$153:$K$153</definedName>
    <definedName name="Accrued_expenses">[11]Data_Download!$C$18:$AE$18</definedName>
    <definedName name="Accrued_expenses_growth_fore">[11]Data_Download!$H$151:$K$151</definedName>
    <definedName name="Accum_Cap_Expenses">[11]Data_Download!$C$40:$AE$40</definedName>
    <definedName name="Accum_Cap_Expenses_growth_fore">[11]Data_Download!$H$164:$K$164</definedName>
    <definedName name="Accum_Goodwill_Amort">[11]Data_Download!$C$37:$AE$37</definedName>
    <definedName name="Accum_Goodwill_Amort_growth_fore">[11]Data_Download!$H$163:$K$163</definedName>
    <definedName name="Accum_Other_Amort.">[11]Data_Download!$C$39:$AZ$39</definedName>
    <definedName name="adb" localSheetId="12" hidden="1">{#N/A,#N/A,FALSE,"Inc";#N/A,#N/A,FALSE,"Prod";#N/A,#N/A,FALSE,"QInc";#N/A,#N/A,FALSE,"QProd"}</definedName>
    <definedName name="adb" localSheetId="9" hidden="1">{#N/A,#N/A,FALSE,"Inc";#N/A,#N/A,FALSE,"Prod";#N/A,#N/A,FALSE,"QInc";#N/A,#N/A,FALSE,"QProd"}</definedName>
    <definedName name="adb" hidden="1">{#N/A,#N/A,FALSE,"Inc";#N/A,#N/A,FALSE,"Prod";#N/A,#N/A,FALSE,"QInc";#N/A,#N/A,FALSE,"QProd"}</definedName>
    <definedName name="AdditionalInstructions">IndexInformation!$B$42</definedName>
    <definedName name="Address" localSheetId="0">ImportantDisclosures!$A$2:$A$2</definedName>
    <definedName name="Adj_net_oper_fore">[11]Data_Download!$E$25:$X$25</definedName>
    <definedName name="Adjusted_Common_Equity">[11]Data_Download!$C$83:$AE$83</definedName>
    <definedName name="Adjusted_Income_Available_to_Common">[11]Data_Download!$C$57:$AU$57</definedName>
    <definedName name="Adjusted_Net_Operating_Profit">[11]Data_Download!$C$26:$AU$26</definedName>
    <definedName name="adsf">'[12]Qtr Sales'!$BS$2:$CT$127</definedName>
    <definedName name="After_tax_charge">[11]Data_Download!$C$60:$AZ$60</definedName>
    <definedName name="After_Tax_charges_gains">[11]Data_Download!$C$92:$AZ$92</definedName>
    <definedName name="Alliance_Revenue__Ex_Celebrex_Bextra_Beyond_2002">'[2]5 yr Sales and Earnings'!$A$45:$AA$45</definedName>
    <definedName name="ANA" localSheetId="19">ModPubIndex!$A$7</definedName>
    <definedName name="ANDROGEN">[13]Sheet1!$A$1:$J$53</definedName>
    <definedName name="anscount" hidden="1">2</definedName>
    <definedName name="Aricept">'[2]5 yr Sales and Earnings'!$A$17:$AA$17</definedName>
    <definedName name="Aricept__Int_l_revenues">'[2]5 yr Sales and Earnings'!$A$17:$AA$17</definedName>
    <definedName name="AROYAL2">'[14]FEES-R&amp;D'!$A$62:$L$124</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f">'[12]Qtr Sales'!$DR$2:$EK$127</definedName>
    <definedName name="asfd">'[12]Qtr Sales'!$EM$2:$FJ$127</definedName>
    <definedName name="ATEMPSALES">'[14]ANN-SALES'!$A$47:$Y$75</definedName>
    <definedName name="Authors" localSheetId="0">ImportantDisclosures!$A$7</definedName>
    <definedName name="Authors" localSheetId="18">IndexInformation!$B$18</definedName>
    <definedName name="Average_invested_capital">[11]Data_Download!$C$89:$AZ$89</definedName>
    <definedName name="Average_invested_capital_DCF">[11]Data_Download!$C$78:$AZ$78</definedName>
    <definedName name="Average_thereafter">[11]Data_Download!$C$16:$AX$16</definedName>
    <definedName name="b">'[10]Qtr Margin'!$A$1:$O$77</definedName>
    <definedName name="BasicEPS02">[15]Annual!$F$27</definedName>
    <definedName name="BasicEPS03">[15]Annual!$H$27</definedName>
    <definedName name="BasicEPS04">[15]Annual!$J$27</definedName>
    <definedName name="BasicEPS2001">[9]Annual!$S$44</definedName>
    <definedName name="BasicEPS2002">[9]Annual!$U$44</definedName>
    <definedName name="BasicEPS2003">[16]Annual!$H$37</definedName>
    <definedName name="BasicEPS2004">[9]Annual!$Y$44</definedName>
    <definedName name="BasicEPS2005">[16]Annual!$L$37</definedName>
    <definedName name="BasicEPS2006">[9]Annual!$AC$44</definedName>
    <definedName name="bcd" localSheetId="12" hidden="1">{#N/A,#N/A,FALSE,"Inc";#N/A,#N/A,FALSE,"Prod";#N/A,#N/A,FALSE,"QInc";#N/A,#N/A,FALSE,"QProd"}</definedName>
    <definedName name="bcd" localSheetId="9" hidden="1">{#N/A,#N/A,FALSE,"Inc";#N/A,#N/A,FALSE,"Prod";#N/A,#N/A,FALSE,"QInc";#N/A,#N/A,FALSE,"QProd"}</definedName>
    <definedName name="bcd" hidden="1">{#N/A,#N/A,FALSE,"Inc";#N/A,#N/A,FALSE,"Prod";#N/A,#N/A,FALSE,"QInc";#N/A,#N/A,FALSE,"QProd"}</definedName>
    <definedName name="bcdf" localSheetId="12" hidden="1">{#N/A,#N/A,FALSE,"Inc";#N/A,#N/A,FALSE,"Prod";#N/A,#N/A,FALSE,"QInc";#N/A,#N/A,FALSE,"QProd"}</definedName>
    <definedName name="bcdf" localSheetId="9" hidden="1">{#N/A,#N/A,FALSE,"Inc";#N/A,#N/A,FALSE,"Prod";#N/A,#N/A,FALSE,"QInc";#N/A,#N/A,FALSE,"QProd"}</definedName>
    <definedName name="bcdf" hidden="1">{#N/A,#N/A,FALSE,"Inc";#N/A,#N/A,FALSE,"Prod";#N/A,#N/A,FALSE,"QInc";#N/A,#N/A,FALSE,"QProd"}</definedName>
    <definedName name="Bextra">'[2]5 yr Sales and Earnings'!$A$21:$AA$21</definedName>
    <definedName name="Bond_rating">[11]Data_Download!$H$12</definedName>
    <definedName name="Book_value_per_share">[11]Data_Download!$R$85:$AU$85</definedName>
    <definedName name="BRO" localSheetId="19">ModPubIndex!$A$1</definedName>
    <definedName name="BSMethod">2</definedName>
    <definedName name="Caduet">'[2]5 yr Sales and Earnings'!$A$12:$AA$12</definedName>
    <definedName name="calc">#N/A</definedName>
    <definedName name="Camptosar">'[2]5 yr Sales and Earnings'!$A$31:$AA$31</definedName>
    <definedName name="Cap._RnD_Asset_net_of_RnD_amort.">[11]Data_Download!$C$32:$AE$32</definedName>
    <definedName name="Capravirine">'[2]5 yr Sales and Earnings'!$A$40:$AA$40</definedName>
    <definedName name="Cardura">'[2]5 yr Sales and Earnings'!$A$8:$AA$8</definedName>
    <definedName name="Cash">[11]Data_Download!$C$4:$AU$4</definedName>
    <definedName name="Cash_DCF">[11]Data_Download!$C$33:$AZ$33</definedName>
    <definedName name="Cash_fore">[11]Data_Download!$E$43:$W$43</definedName>
    <definedName name="Cash_growth">[11]Data_Download!$M$152:$Q$152</definedName>
    <definedName name="Cash_growth_fore">[11]Data_Download!$E$55:$W$55</definedName>
    <definedName name="Cash_Operating_Taxes">[11]Data_Download!$C$39:$AU$39</definedName>
    <definedName name="Cash_operating_taxes_fore">[11]Data_Download!$E$28:$G$28</definedName>
    <definedName name="Cash2001">'[17]Balance Sheet'!$K$7</definedName>
    <definedName name="Cash2002">'[17]Balance Sheet'!$L$7</definedName>
    <definedName name="Cash2003">'[17]Balance Sheet'!$M$7</definedName>
    <definedName name="Cash2004">'[17]Balance Sheet'!$N$7</definedName>
    <definedName name="Cash2005">'[17]Balance Sheet'!$O$7</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d">'[10]Qtr Income'!$A$1:$V$156</definedName>
    <definedName name="Celebrex">'[2]5 yr Sales and Earnings'!$A$20:$AA$20</definedName>
    <definedName name="CETP_Inhibitor">'[2]5 yr Sales and Earnings'!$A$41:$AA$41</definedName>
    <definedName name="Chg_in_fixed_assets">[11]Data_Download!$C$19:$AZ$19</definedName>
    <definedName name="Chg_in_other_assets">[11]Data_Download!$C$20:$AZ$20</definedName>
    <definedName name="Chg_in_working_capital">[11]Data_Download!$C$18:$AZ$18</definedName>
    <definedName name="Closing_price">[11]Data_Download!$C$54:$G$54</definedName>
    <definedName name="cmdOK2_click">[18]!cmdOK2_click</definedName>
    <definedName name="COGS_ex._cost_savings">'[2]5 yr Sales and Earnings'!$A$122:$AA$122</definedName>
    <definedName name="Commercial_paper">[11]Data_Download!$C$53:$AU$53</definedName>
    <definedName name="Company">[11]Data_Download!$B$5</definedName>
    <definedName name="CompanyName">[19]summary!$J$7</definedName>
    <definedName name="Competition">[20]Tables!$A$1:$D$13</definedName>
    <definedName name="Concentration_of_Pharmaceutical_Revenues">'[2]5 yr Sales and Earnings'!$A$105:$AA$105</definedName>
    <definedName name="Confectionery">'[2]5 yr Sales and Earnings'!$A$92:$AA$92</definedName>
    <definedName name="Consolidated_Sales">'[2]5 yr Sales and Earnings'!$A$93:$AA$93</definedName>
    <definedName name="Consumer_Health">'[2]5 yr Sales and Earnings'!$A$91:$AA$91</definedName>
    <definedName name="CopyrightStamp">ImportantDisclosures!$A$27</definedName>
    <definedName name="Cost_of_sales_net_of_D_A">[11]Data_Download!$C$103:$AU$103</definedName>
    <definedName name="Cost_Savings">'[2]5 yr Sales and Earnings'!$A$123:$AA$123</definedName>
    <definedName name="Costs_as_a___of_Sales">'[2]5 yr Sales and Earnings'!$A$120:$AA$120</definedName>
    <definedName name="COU" localSheetId="19">ModPubIndex!$A$5</definedName>
    <definedName name="CQEnd" localSheetId="18">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localSheetId="12" hidden="1">1000000</definedName>
    <definedName name="cu71.ScalingFactor" localSheetId="2" hidden="1">1000000</definedName>
    <definedName name="cu71.ScalingFactor" localSheetId="9" hidden="1">1000000</definedName>
    <definedName name="cu71.ScalingFactor" hidden="1">1000</definedName>
    <definedName name="cu71.ScalingFactor_1" hidden="1">1000</definedName>
    <definedName name="Cumulative_PV_of_EVA">[11]Data_Download!$C$50:$BZ$50</definedName>
    <definedName name="Cumulative_PV_of_FCF">[11]Data_Download!$C$27:$AZ$27</definedName>
    <definedName name="Currency" localSheetId="18">IndexInformation!$B$24</definedName>
    <definedName name="Current_assets">[11]Data_Download!$C$15:$AE$15</definedName>
    <definedName name="Current_Price">[11]Data_Download!$U$28</definedName>
    <definedName name="CurrentStockPrice" localSheetId="18">IndexInformation!$B$23</definedName>
    <definedName name="CurrQtrEPS" localSheetId="18">IndexInformation!$B$29</definedName>
    <definedName name="CurrYearEPS" localSheetId="18">IndexInformation!$B$11</definedName>
    <definedName name="CurrYearTotalRevenue" localSheetId="18">IndexInformation!$B$10</definedName>
    <definedName name="CurrYearTotalRevenueActual" localSheetId="18">IndexInformation!$B$32</definedName>
    <definedName name="CUSIP" localSheetId="18">IndexInformation!$B$20</definedName>
    <definedName name="Customer_deposits">[11]Data_Download!$C$19:$AE$19</definedName>
    <definedName name="Customer_deposits_growth_fore">[11]Data_Download!$H$152:$K$152</definedName>
    <definedName name="CYEnd" localSheetId="18">IndexInformation!$B$30</definedName>
    <definedName name="d">'[10]Qrt Sales'!$A$3:$AM$133</definedName>
    <definedName name="daf">'[12]Qtr Sales'!$AH$2:$BQ$127</definedName>
    <definedName name="DATA_NEW">[21]Input!$H$6:$BE$465</definedName>
    <definedName name="dataseries4">OFFSET([22]c1!$G$12,0,0,COUNTA([22]c1!$G$12:$G$31),1)</definedName>
    <definedName name="Date" localSheetId="0">ImportantDisclosures!$A$8</definedName>
    <definedName name="DCF_1995">[11]Data_Download!$C$3:$C$204</definedName>
    <definedName name="DCF_1996">[11]Data_Download!$D$3:$D$203</definedName>
    <definedName name="DCF_1997">[11]Data_Download!$E$3:$E$201</definedName>
    <definedName name="DCF_1998">[11]Data_Download!$F$3:$F$201</definedName>
    <definedName name="DCF_1999">[11]Data_Download!$G$3:$G$201</definedName>
    <definedName name="DCF_2000">[11]Data_Download!$H$3:$H$201</definedName>
    <definedName name="DCF_2001">[11]Data_Download!$I$3:$I$201</definedName>
    <definedName name="DCF_2002">[11]Data_Download!$J$3:$J$201</definedName>
    <definedName name="DCF_2003">[11]Data_Download!$K$3:$K$201</definedName>
    <definedName name="DCF_2004">[11]Data_Download!$L$3:$L$201</definedName>
    <definedName name="DCF_2005">[11]Data_Download!$M$3:$M$201</definedName>
    <definedName name="DCF_2006">[11]Data_Download!$N$3:$N$201</definedName>
    <definedName name="DCF_2007">[11]Data_Download!$O$3:$O$201</definedName>
    <definedName name="DCF_2008">[11]Data_Download!$P$3:$P$201</definedName>
    <definedName name="DCF_2009">[11]Data_Download!$Q$3:$Q$201</definedName>
    <definedName name="DCF_2010">[11]Data_Download!$R$3:$R$201</definedName>
    <definedName name="DCF_2011">[11]Data_Download!$S$3:$S$201</definedName>
    <definedName name="DCF_2012">[11]Data_Download!$T$3:$T$201</definedName>
    <definedName name="DCF_2013">[11]Data_Download!$U$3:$U$201</definedName>
    <definedName name="DCF_2014">[11]Data_Download!$V$3:$V$201</definedName>
    <definedName name="DCF_2015">[11]Data_Download!$W$3:$W$201</definedName>
    <definedName name="DCF_2016">[11]Data_Download!$X$3:$X$201</definedName>
    <definedName name="DCF_2017">[11]Data_Download!$Y$3:$Y$201</definedName>
    <definedName name="DCF_2018">[11]Data_Download!$Z$3:$Z$201</definedName>
    <definedName name="DCF_2019">[11]Data_Download!$AA$3:$AA$201</definedName>
    <definedName name="DCF_2020">[11]Data_Download!$AB$3:$AB$201</definedName>
    <definedName name="DCF_EY1">[11]Data_Download!$D:$D</definedName>
    <definedName name="DCF_EY10">[11]Data_Download!$M:$M</definedName>
    <definedName name="DCF_EY11">[11]Data_Download!$N:$N</definedName>
    <definedName name="DCF_EY12">[11]Data_Download!$O:$O</definedName>
    <definedName name="DCF_EY13">[11]Data_Download!$P:$P</definedName>
    <definedName name="DCF_EY14">[11]Data_Download!$Q:$Q</definedName>
    <definedName name="DCF_EY15">[11]Data_Download!$R:$R</definedName>
    <definedName name="DCF_EY16">[11]Data_Download!$S:$S</definedName>
    <definedName name="DCF_EY17">[11]Data_Download!$T:$T</definedName>
    <definedName name="DCF_EY18">[11]Data_Download!$U:$U</definedName>
    <definedName name="DCF_EY19">[11]Data_Download!$V:$V</definedName>
    <definedName name="DCF_EY2">[11]Data_Download!$E:$E</definedName>
    <definedName name="DCF_EY20">[11]Data_Download!$W:$W</definedName>
    <definedName name="DCF_EY21">[11]Data_Download!$X:$X</definedName>
    <definedName name="DCF_EY22">[11]Data_Download!$Y:$Y</definedName>
    <definedName name="DCF_EY23">[11]Data_Download!$Z:$Z</definedName>
    <definedName name="DCF_EY24">[11]Data_Download!$AA:$AA</definedName>
    <definedName name="DCF_EY25">[11]Data_Download!$AB:$AB</definedName>
    <definedName name="DCF_EY26">[11]Data_Download!$AC:$AC</definedName>
    <definedName name="DCF_EY3">[11]Data_Download!$F:$F</definedName>
    <definedName name="DCF_EY4">[11]Data_Download!$G:$G</definedName>
    <definedName name="DCF_EY5">[11]Data_Download!$H:$H</definedName>
    <definedName name="DCF_EY6">[11]Data_Download!$I:$I</definedName>
    <definedName name="DCF_EY7">[11]Data_Download!$J:$J</definedName>
    <definedName name="DCF_EY8">[11]Data_Download!$K:$K</definedName>
    <definedName name="DCF_EY9">[11]Data_Download!$L:$L</definedName>
    <definedName name="DCF_P">[11]Data_Download!$C:$C</definedName>
    <definedName name="Debt_growth">[11]Data_Download!$M$153:$Q$153</definedName>
    <definedName name="Deferred_tax_asset">[11]Data_Download!$C$10:$AU$10</definedName>
    <definedName name="Deferred_tax_asset_growth_fore">[11]Data_Download!$H$161:$K$161</definedName>
    <definedName name="Deferred_tax_liability">[11]Data_Download!$C$63:$AU$63</definedName>
    <definedName name="Deferred_tax_liability_growth_fore">[11]Data_Download!$H$167:$K$167</definedName>
    <definedName name="Deferred_taxes">[11]Data_Download!$C$63:$AE$63</definedName>
    <definedName name="Deleted" localSheetId="18">IndexInformation!$B$27</definedName>
    <definedName name="Dep_and_Amort">[11]Data_Download!$C$100:$AU$100</definedName>
    <definedName name="Depreciation_fore">[11]Data_Download!$E$14:$G$14</definedName>
    <definedName name="Depreciation_margin">[11]Data_Download!$C$115:$AU$115</definedName>
    <definedName name="Description" localSheetId="18">IndexInformation!$B$7</definedName>
    <definedName name="Detrol">'[2]5 yr Sales and Earnings'!$A$29:$AA$29</definedName>
    <definedName name="DEVELOPMENT">5</definedName>
    <definedName name="df">'[10]Qrt Sales'!$A$3:$AM$133</definedName>
    <definedName name="dfa">'[10]Qrt Sales'!$BV$3:$DA$133</definedName>
    <definedName name="dfsa">'[12]Qtr Sales'!$A$2:$AF$127</definedName>
    <definedName name="Did" hidden="1">{"Salesass",#N/A,FALSE,"assumpt"}</definedName>
    <definedName name="Diflucan">'[2]5 yr Sales and Earnings'!$A$24:$AA$24</definedName>
    <definedName name="dil">[23]Annual!$I$31</definedName>
    <definedName name="DilEPS01">[15]Annual!$D$28</definedName>
    <definedName name="DilEPS04">[1]Annual!$I$31</definedName>
    <definedName name="DilEPS05">[15]Annual!$L$28</definedName>
    <definedName name="DilNetEPS05">[24]Annual!$I$40</definedName>
    <definedName name="DilNetEPS06">[24]Annual!$K$40</definedName>
    <definedName name="DilutedEPS2003">[16]Annual!$H$36</definedName>
    <definedName name="DilutedEPS2004">[16]Annual!$J$36</definedName>
    <definedName name="DilutedEPS2005">[16]Annual!$L$36</definedName>
    <definedName name="DilutedEPS2006">[16]Annual!$N$36</definedName>
    <definedName name="DilutedShares2003">[25]Annual!$R$57</definedName>
    <definedName name="DilutedShares2004">[25]Annual!$V$57</definedName>
    <definedName name="DilutedShares2005">[25]Annual!$Y$57</definedName>
    <definedName name="Dilution_factor">[11]Data_Download!$S$62</definedName>
    <definedName name="Disc._Operations">'[2]5 yr Sales and Earnings'!$A$73:$AA$73</definedName>
    <definedName name="Discipline" localSheetId="18">IndexInformation!$B$3</definedName>
    <definedName name="DISCIPLINE" localSheetId="19">ModPubIndex!$A$12</definedName>
    <definedName name="Disclosure">[26]Input!$H$6:$BE$465</definedName>
    <definedName name="DisclosuresText">ImportantDisclosures!$A$22</definedName>
    <definedName name="Displaycashflowstatement">[11]Data_Download!$D$147:$Q$200</definedName>
    <definedName name="Displayincomestatement">[11]Data_Download!$D$5:$Q$250</definedName>
    <definedName name="DisplayResearchandDevelopment">[11]Data_Download!$D$285:$AC$292</definedName>
    <definedName name="DisplayWACC">[11]Data_Download!$D$255:$P$282</definedName>
    <definedName name="Distribution" localSheetId="18">IndexInformation!$B$26</definedName>
    <definedName name="DistTable" localSheetId="0">ImportantDisclosures!#REF!</definedName>
    <definedName name="DistTablePreamble" localSheetId="0">ImportantDisclosures!#REF!</definedName>
    <definedName name="DNA_EPS_ARRAY">[27]Financials!$AF$97:$AO$140</definedName>
    <definedName name="DnA_fore">[11]Data_Download!$E$16:$N$16</definedName>
    <definedName name="DnA_growth_fore">[11]Data_Download!$H$145:$K$145</definedName>
    <definedName name="DOCDAT" localSheetId="19">ModPubIndex!$A$2</definedName>
    <definedName name="DOCTIME" localSheetId="19">ModPubIndex!$A$3</definedName>
    <definedName name="DocType" localSheetId="18">IndexInformation!$B$5</definedName>
    <definedName name="Drugs">#N/A</definedName>
    <definedName name="dsaf">'[12]Qtr Sales'!$CV$2:$DP$127</definedName>
    <definedName name="dsf">'[12]Qtr Margin'!$A$1:$N$75</definedName>
    <definedName name="Dsiplayadjsutmentsandassumptions">[11]Data_Download!$D$203:$Q$250</definedName>
    <definedName name="Dsiplaybalancesheet">[11]Data_Download!$D$86:$Q$144</definedName>
    <definedName name="Dsiplayoperatingleases">[11]Data_Download!$D$295:$Q$336</definedName>
    <definedName name="Dynastat_Parecoxib__US_launch">'[2]5 yr Sales and Earnings'!$A$22:$AA$22</definedName>
    <definedName name="e">'[10]Qrt Sales'!$AO$3:$BT$133</definedName>
    <definedName name="EBIT_fore">[11]Data_Download!$E$13:$G$13</definedName>
    <definedName name="EBIT_growth">[11]Data_Download!$C$142:$AU$142</definedName>
    <definedName name="EBIT_margin">[11]Data_Download!$C$111:$AU$111</definedName>
    <definedName name="EBITA_fore">[11]Data_Download!$E$19:$X$19</definedName>
    <definedName name="EBITDA_DCF">[11]Data_Download!$C$15:$AZ$15</definedName>
    <definedName name="EBITDA_fore">[11]Data_Download!$E$17:$AW$17</definedName>
    <definedName name="EBITDA_growth">[11]Data_Download!$C$143:$AU$143</definedName>
    <definedName name="EBITDA_margin_fore">[11]Data_Download!$H$61:$K$61</definedName>
    <definedName name="Economic_book_value">[11]Data_Download!$C$12</definedName>
    <definedName name="Economic_profit">[11]Data_Download!$C$124:$AZ$124</definedName>
    <definedName name="Economic_profit_dcf">[11]Data_Download!$C$48:$BZ$48</definedName>
    <definedName name="economic_profit2">[11]Data_Download!$51:$51</definedName>
    <definedName name="Effective_tax_rate">[11]Data_Download!$D$49:$S$49</definedName>
    <definedName name="Ellence">'[2]5 yr Sales and Earnings'!$A$32:$AA$32</definedName>
    <definedName name="EMAIL_ALERT" localSheetId="19">ModPubIndex!$A$10</definedName>
    <definedName name="EmailAlert" localSheetId="18">IndexInformation!$B$28</definedName>
    <definedName name="EPS_1996">[11]Data_Download!$G$20</definedName>
    <definedName name="EPS_1997">[11]Data_Download!$G$19</definedName>
    <definedName name="EPS_growth">[11]Data_Download!$C$150:$AU$150</definedName>
    <definedName name="EPS1Q03">[28]Quarterly!$CH$40</definedName>
    <definedName name="EPSCal?">[29]Control!$A$26</definedName>
    <definedName name="Equity_Equivalents">[11]Data_Download!$C$70:$AE$70</definedName>
    <definedName name="Equity_risk_premium">[11]Data_Download!$D$9</definedName>
    <definedName name="ev.Calculation" hidden="1">-4135</definedName>
    <definedName name="ev.Initialized" hidden="1">FALSE</definedName>
    <definedName name="Excess_cash">[11]Data_Download!$C$5:$AE$5</definedName>
    <definedName name="Expl_forecast_1st_yr">[11]Data_Download!$E:$E</definedName>
    <definedName name="Expl_forecast_2nd_yr">[11]Data_Download!$F:$F</definedName>
    <definedName name="Expl_forecast_3rd_yr">[11]Data_Download!$G:$G</definedName>
    <definedName name="Exubera">'[2]5 yr Sales and Earnings'!$A$37:$AA$37</definedName>
    <definedName name="f">'[10]Qrt Sales'!$BV$3:$DA$133</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P_0_1_aSrv" hidden="1">[30]Comparison!$P$106</definedName>
    <definedName name="FDP_1_1_aDrv" hidden="1">[30]Comparison!$T$18</definedName>
    <definedName name="FDP_10_1_aUrv" hidden="1">[30]Comparison!$AA$21</definedName>
    <definedName name="FDP_100_1_aUrv" hidden="1">[30]Comparison!$E$96</definedName>
    <definedName name="FDP_101_1_aUrv" hidden="1">[30]Comparison!$E$97</definedName>
    <definedName name="FDP_102_1_aSrv" hidden="1">[30]Comparison!$E$98</definedName>
    <definedName name="FDP_103_1_aSrv" hidden="1">[30]Comparison!$E$100</definedName>
    <definedName name="FDP_104_1_aUrv" hidden="1">[30]Comparison!$E$101</definedName>
    <definedName name="FDP_105_1_aUrv" hidden="1">[30]Comparison!$E$102</definedName>
    <definedName name="FDP_106_1_aUrv" hidden="1">[30]Comparison!$E$103</definedName>
    <definedName name="FDP_107_1_aUrv" hidden="1">[30]Comparison!$E$104</definedName>
    <definedName name="FDP_108_1_aUrv" hidden="1">[30]Comparison!$E$105</definedName>
    <definedName name="FDP_109_1_aUrv" hidden="1">[30]Comparison!$E$106</definedName>
    <definedName name="FDP_11_1_aUrv" hidden="1">[30]Comparison!$AA$22</definedName>
    <definedName name="FDP_110_1_aUrv" hidden="1">[30]Comparison!$E$107</definedName>
    <definedName name="FDP_111_1_aUrv" hidden="1">[30]Comparison!$E$108</definedName>
    <definedName name="FDP_112_1_aUrv" hidden="1">[30]Comparison!$E$109</definedName>
    <definedName name="FDP_113_1_aUrv" hidden="1">[30]Comparison!$E$110</definedName>
    <definedName name="FDP_114_1_aUrv" hidden="1">[30]Comparison!$E$111</definedName>
    <definedName name="FDP_115_1_aSrv" hidden="1">[30]Comparison!$E$112</definedName>
    <definedName name="FDP_116_1_aSrv" hidden="1">[30]Comparison!$E$113</definedName>
    <definedName name="FDP_117_1_aUrv" hidden="1">[30]Comparison!$E$118</definedName>
    <definedName name="FDP_118_1_aUrv" hidden="1">[30]Comparison!$E$119</definedName>
    <definedName name="FDP_119_1_aUrv" hidden="1">[30]Comparison!$E$120</definedName>
    <definedName name="FDP_12_1_aUrv" hidden="1">[30]Comparison!$AA$23</definedName>
    <definedName name="FDP_120_1_aUrv" hidden="1">[30]Comparison!$E$121</definedName>
    <definedName name="FDP_121_1_aUrv" hidden="1">[30]Comparison!$E$122</definedName>
    <definedName name="FDP_122_1_aUrv" hidden="1">[30]Comparison!$E$123</definedName>
    <definedName name="FDP_123_1_aUrv" hidden="1">[30]Comparison!$E$124</definedName>
    <definedName name="FDP_124_1_aSrv" hidden="1">[30]Comparison!$E$125</definedName>
    <definedName name="FDP_125_1_aUrv" hidden="1">[30]Comparison!$E$127</definedName>
    <definedName name="FDP_126_1_aUrv" hidden="1">[30]Comparison!$E$128</definedName>
    <definedName name="FDP_127_1_aUrv" hidden="1">[30]Comparison!$E$129</definedName>
    <definedName name="FDP_128_1_aUrv" hidden="1">[30]Comparison!$E$130</definedName>
    <definedName name="FDP_129_1_aUrv" hidden="1">[30]Comparison!$E$131</definedName>
    <definedName name="FDP_13_1_aUrv" hidden="1">[30]Comparison!$AA$24</definedName>
    <definedName name="FDP_130_1_aUrv" hidden="1">[30]Comparison!$E$132</definedName>
    <definedName name="FDP_131_1_aUrv" hidden="1">[30]Comparison!$E$133</definedName>
    <definedName name="FDP_132_1_aSrv" hidden="1">[30]Comparison!$E$134</definedName>
    <definedName name="FDP_133_1_aSrv" hidden="1">[30]Comparison!$E$135</definedName>
    <definedName name="FDP_134_1_aUrv" hidden="1">[30]Comparison!$E$137</definedName>
    <definedName name="FDP_135_1_aUrv" hidden="1">[30]Comparison!$E$140</definedName>
    <definedName name="FDP_136_1_aUrv" hidden="1">[30]Comparison!$E$141</definedName>
    <definedName name="FDP_137_1_aSrv" hidden="1">[30]Comparison!$P$141</definedName>
    <definedName name="FDP_138_1_aSrv" hidden="1">[30]Comparison!$E$142</definedName>
    <definedName name="FDP_139_1_aSrv" hidden="1">[30]Comparison!$E$143</definedName>
    <definedName name="FDP_14_1_aUrv" hidden="1">[30]Comparison!$K$1</definedName>
    <definedName name="FDP_140_1_aSrv" hidden="1">[30]Comparison!$E$153</definedName>
    <definedName name="FDP_141_1_aUrv" hidden="1">[30]Comparison!$E$154</definedName>
    <definedName name="FDP_142_1_aUrv" hidden="1">[30]Comparison!$E$155</definedName>
    <definedName name="FDP_143_1_aUrv" hidden="1">[30]Comparison!$E$156</definedName>
    <definedName name="FDP_144_1_aUrv" hidden="1">[30]Comparison!$E$157</definedName>
    <definedName name="FDP_145_1_aUrv" hidden="1">[30]Comparison!$E$160</definedName>
    <definedName name="FDP_146_1_aUrv" hidden="1">[30]Comparison!$E$161</definedName>
    <definedName name="FDP_147_1_aUrv" hidden="1">[30]Comparison!$E$162</definedName>
    <definedName name="FDP_148_1_aUrv" hidden="1">[30]Comparison!$E$163</definedName>
    <definedName name="FDP_149_1_aUrv" hidden="1">[30]Comparison!$E$164</definedName>
    <definedName name="FDP_15_1_aUrv" hidden="1">[30]Comparison!$F$1</definedName>
    <definedName name="FDP_150_1_aUrv" hidden="1">[30]Comparison!$E$165</definedName>
    <definedName name="FDP_151_1_aUrv" hidden="1">[30]Comparison!$E$166</definedName>
    <definedName name="FDP_152_1_aUrv" hidden="1">[30]Comparison!$E$167</definedName>
    <definedName name="FDP_153_1_aUrv" hidden="1">[30]Comparison!$E$168</definedName>
    <definedName name="FDP_154_1_aUrv" hidden="1">[30]Comparison!$E$169</definedName>
    <definedName name="FDP_155_1_aUrv" hidden="1">[30]Comparison!$E$170</definedName>
    <definedName name="FDP_156_1_aUrv" hidden="1">[30]Comparison!$E$171</definedName>
    <definedName name="FDP_157_1_aUrv" hidden="1">[30]Comparison!$E$172</definedName>
    <definedName name="FDP_158_1_aUrv" hidden="1">[30]Comparison!$E$173</definedName>
    <definedName name="FDP_159_1_aSrv" hidden="1">[30]Comparison!$E$174</definedName>
    <definedName name="FDP_16_1_aUrv" hidden="1">[30]Comparison!$K$3</definedName>
    <definedName name="FDP_160_1_aUrv" hidden="1">[30]Comparison!$E$175</definedName>
    <definedName name="FDP_161_1_aSrv" hidden="1">[30]Comparison!$E$176</definedName>
    <definedName name="FDP_162_1_aUrv" hidden="1">[30]Comparison!$E$178</definedName>
    <definedName name="FDP_163_1_aUrv" hidden="1">[30]Comparison!$E$180</definedName>
    <definedName name="FDP_164_1_aUrv" hidden="1">[30]Comparison!$E$179</definedName>
    <definedName name="FDP_169_1_aSrv" hidden="1">[30]Comparison!$E$185</definedName>
    <definedName name="FDP_17_1_aUrv" hidden="1">[30]Comparison!$R$3</definedName>
    <definedName name="FDP_170_1_aUrv" hidden="1">[30]Comparison!$E$186</definedName>
    <definedName name="FDP_171_1_aSrv" hidden="1">[30]Comparison!$E$187</definedName>
    <definedName name="FDP_178_1_aUrv" hidden="1">[30]Comparison!$E$195</definedName>
    <definedName name="FDP_179_1_aUrv" hidden="1">[30]Comparison!$E$196</definedName>
    <definedName name="FDP_18_1_aUrv" hidden="1">[30]Comparison!$E$6</definedName>
    <definedName name="FDP_18_1_rUrv" hidden="1">[30]Comparison!$E$5</definedName>
    <definedName name="FDP_183_1_aUrv" hidden="1">[30]Comparison!$E$200</definedName>
    <definedName name="FDP_187_1_aUrv" hidden="1">[30]Comparison!$E$208</definedName>
    <definedName name="FDP_19_1_aUrv" hidden="1">[30]Comparison!$E$8</definedName>
    <definedName name="FDP_192_1_aUrv" hidden="1">[30]Comparison!$E$213</definedName>
    <definedName name="FDP_196_1_aUrv" hidden="1">[30]Comparison!$E$217</definedName>
    <definedName name="FDP_197_1_aSrv" hidden="1">[30]Comparison!$E$218</definedName>
    <definedName name="FDP_198_1_aUrv" hidden="1">[30]Comparison!$E$219</definedName>
    <definedName name="FDP_2_1_aUrv" hidden="1">[30]Comparison!$V$21</definedName>
    <definedName name="FDP_20_1_aUrv" hidden="1">[30]Comparison!$E$9</definedName>
    <definedName name="FDP_203_1_aUrv" hidden="1">[30]Comparison!$E$225</definedName>
    <definedName name="FDP_208_1_aUrv" hidden="1">[30]Comparison!$E$234</definedName>
    <definedName name="FDP_21_1_aUrv" hidden="1">[30]Comparison!$E$10</definedName>
    <definedName name="FDP_213_1_aUrv" hidden="1">[30]Comparison!$E$240</definedName>
    <definedName name="FDP_216_1_aSrv" hidden="1">[30]Comparison!$E$238</definedName>
    <definedName name="FDP_218_1_aUrv" hidden="1">[30]Comparison!$E$244</definedName>
    <definedName name="FDP_219_1_aUrv" hidden="1">[30]Comparison!$E$245</definedName>
    <definedName name="FDP_22_1_aUrv" hidden="1">[30]Comparison!$E$11</definedName>
    <definedName name="FDP_220_1_aUrv" hidden="1">[30]Comparison!$E$246</definedName>
    <definedName name="FDP_221_1_aUrv" hidden="1">[30]Comparison!$E$247</definedName>
    <definedName name="FDP_222_1_aUrv" hidden="1">[30]Comparison!$E$248</definedName>
    <definedName name="FDP_223_1_aUrv" hidden="1">[30]Comparison!$E$250</definedName>
    <definedName name="FDP_224_1_aSrv" hidden="1">[30]Comparison!$E$258</definedName>
    <definedName name="FDP_225_1_aSrv" hidden="1">[30]Comparison!$E$261</definedName>
    <definedName name="FDP_226_1_aSrv" hidden="1">[30]Comparison!$E$262</definedName>
    <definedName name="FDP_227_1_aSrv" hidden="1">[30]Comparison!$E$264</definedName>
    <definedName name="FDP_23_1_aUrv" hidden="1">[30]Comparison!$E$12</definedName>
    <definedName name="FDP_234_1_aSrv" hidden="1">[30]Comparison!$E$275</definedName>
    <definedName name="FDP_235_1_aSrv" hidden="1">[30]Comparison!$E$280</definedName>
    <definedName name="FDP_236_1_aSrv" hidden="1">[30]Comparison!$E$289</definedName>
    <definedName name="FDP_237_1_aSrv" hidden="1">[30]Comparison!$E$290</definedName>
    <definedName name="FDP_239_1_aSrv" hidden="1">[30]Comparison!$E$292</definedName>
    <definedName name="FDP_24_1_aSrv" hidden="1">[30]Comparison!$E$13</definedName>
    <definedName name="FDP_240_1_aSrv" hidden="1">[30]Comparison!$E$303</definedName>
    <definedName name="FDP_241_1_aSrv" hidden="1">[30]Comparison!$E$304</definedName>
    <definedName name="FDP_242_1_aSrv" hidden="1">[30]Comparison!$E$305</definedName>
    <definedName name="FDP_25_1_aUrv" hidden="1">[30]Comparison!$E$14</definedName>
    <definedName name="FDP_26_1_aUrv" hidden="1">[30]Comparison!$E$15</definedName>
    <definedName name="FDP_262_1_aSrv" hidden="1">[30]Comparison!$E$325</definedName>
    <definedName name="FDP_263_1_aSrv" hidden="1">[30]Comparison!$E$326</definedName>
    <definedName name="FDP_264_1_aSrv" hidden="1">[30]Comparison!$E$327</definedName>
    <definedName name="FDP_265_1_aSrv" hidden="1">[30]Comparison!$E$328</definedName>
    <definedName name="FDP_266_1_aSrv" hidden="1">[30]Comparison!$E$329</definedName>
    <definedName name="FDP_267_1_aSrv" hidden="1">[30]Comparison!$E$330</definedName>
    <definedName name="FDP_268_1_aSrv" hidden="1">[30]Comparison!$E$331</definedName>
    <definedName name="FDP_269_1_aSrv" hidden="1">[30]Comparison!$E$332</definedName>
    <definedName name="FDP_27_1_aUrv" hidden="1">[30]Comparison!$E$16</definedName>
    <definedName name="FDP_270_1_aSrv" hidden="1">[30]Comparison!$E$333</definedName>
    <definedName name="FDP_271_1_aSrv" hidden="1">[30]Comparison!$E$334</definedName>
    <definedName name="FDP_272_1_aSrv" hidden="1">[30]Comparison!$E$335</definedName>
    <definedName name="FDP_273_1_aSrv" hidden="1">[30]Comparison!$E$336</definedName>
    <definedName name="FDP_274_1_aSrv" hidden="1">[30]Comparison!$E$23</definedName>
    <definedName name="FDP_275_1_aSrv" hidden="1">[30]Comparison!$E$24</definedName>
    <definedName name="FDP_276_1_aSrv" hidden="1">[30]Comparison!$E$29</definedName>
    <definedName name="FDP_277_1_aSrv" hidden="1">[30]Comparison!$E$28</definedName>
    <definedName name="FDP_278_1_aSrv" hidden="1">[30]Comparison!$E$30</definedName>
    <definedName name="FDP_28_1_aUrv" hidden="1">[30]Comparison!$E$17</definedName>
    <definedName name="FDP_284_1_aSrv" hidden="1">[30]Comparison!$E$38</definedName>
    <definedName name="FDP_285_1_aSrv" hidden="1">[30]Comparison!$E$39</definedName>
    <definedName name="FDP_286_1_aSrv" hidden="1">[30]Comparison!$E$43</definedName>
    <definedName name="FDP_287_1_aSrv" hidden="1">[30]Comparison!$E$44</definedName>
    <definedName name="FDP_288_1_aSrv" hidden="1">[30]Comparison!$E$45</definedName>
    <definedName name="FDP_289_1_aSrv" hidden="1">[30]Comparison!$E$46</definedName>
    <definedName name="FDP_29_1_aUrv" hidden="1">[30]Comparison!$E$18</definedName>
    <definedName name="FDP_290_1_aSrv" hidden="1">[30]Comparison!$E$47</definedName>
    <definedName name="FDP_291_1_aSrv" hidden="1">[30]Comparison!$E$49</definedName>
    <definedName name="FDP_292_1_aSrv" hidden="1">[30]Comparison!$E$50</definedName>
    <definedName name="FDP_293_1_aSrv" hidden="1">[30]Comparison!$E$51</definedName>
    <definedName name="FDP_294_1_aSrv" hidden="1">[30]Comparison!$E$61</definedName>
    <definedName name="FDP_295_1_aSrv" hidden="1">[30]Comparison!$E$65</definedName>
    <definedName name="FDP_296_1_aSrv" hidden="1">[30]Comparison!$E$85</definedName>
    <definedName name="FDP_297_1_aSrv" hidden="1">[30]Comparison!$E$88</definedName>
    <definedName name="FDP_298_1_aSrv" hidden="1">[30]Comparison!$E$95</definedName>
    <definedName name="FDP_299_1_aSrv" hidden="1">[30]Comparison!$E$96</definedName>
    <definedName name="FDP_3_1_aUrv" hidden="1">[30]Comparison!$V$22</definedName>
    <definedName name="FDP_30_1_aSrv" hidden="1">[30]Comparison!$E$19</definedName>
    <definedName name="FDP_300_1_aSrv" hidden="1">[30]Comparison!$E$104</definedName>
    <definedName name="FDP_301_1_aSrv" hidden="1">[30]Comparison!$E$112</definedName>
    <definedName name="FDP_302_1_aSrv" hidden="1">[30]Comparison!$E$113</definedName>
    <definedName name="FDP_303_1_aSrv" hidden="1">[30]Comparison!$E$131</definedName>
    <definedName name="FDP_304_1_aSrv" hidden="1">[30]Comparison!$E$136</definedName>
    <definedName name="FDP_305_1_aSrv" hidden="1">[30]Comparison!$E$146</definedName>
    <definedName name="FDP_306_1_aSrv" hidden="1">[30]Comparison!$E$165</definedName>
    <definedName name="FDP_307_1_aSrv" hidden="1">[30]Comparison!$E$169</definedName>
    <definedName name="FDP_308_1_aSrv" hidden="1">[30]Comparison!$E$171</definedName>
    <definedName name="FDP_309_1_aSrv" hidden="1">[30]Comparison!$E$172</definedName>
    <definedName name="FDP_31_1_aSrv" hidden="1">[30]Comparison!$E$20</definedName>
    <definedName name="FDP_310_1_aSrv" hidden="1">[30]Comparison!$E$178</definedName>
    <definedName name="FDP_311_1_aSrv" hidden="1">[30]Comparison!$E$179</definedName>
    <definedName name="FDP_312_1_aSrv" hidden="1">[30]Comparison!$E$180</definedName>
    <definedName name="FDP_313_1_aSrv" hidden="1">[30]Comparison!$P$184</definedName>
    <definedName name="FDP_314_1_aSrv" hidden="1">[30]Comparison!$P$186</definedName>
    <definedName name="FDP_315_1_aSrv" hidden="1">[30]Comparison!$P$187</definedName>
    <definedName name="FDP_316_1_aSrv" hidden="1">[30]Comparison!$P$188</definedName>
    <definedName name="FDP_317_1_aSrv" hidden="1">[30]Comparison!$P$189</definedName>
    <definedName name="FDP_32_1_aUrv" hidden="1">[30]Comparison!$E$21</definedName>
    <definedName name="FDP_33_1_aUrv" hidden="1">[30]Comparison!$E$22</definedName>
    <definedName name="FDP_34_1_aUrv" hidden="1">[30]Comparison!$E$23</definedName>
    <definedName name="FDP_35_1_aUrv" hidden="1">[30]Comparison!$E$24</definedName>
    <definedName name="FDP_36_1_aUrv" hidden="1">[30]Comparison!$E$25</definedName>
    <definedName name="FDP_37_1_aSrv" hidden="1">[30]Comparison!$E$26</definedName>
    <definedName name="FDP_38_1_aUrv" hidden="1">[30]Comparison!$E$27</definedName>
    <definedName name="FDP_39_1_aUrv" hidden="1">[30]Comparison!$E$28</definedName>
    <definedName name="FDP_4_1_aUrv" hidden="1">[30]Comparison!$V$23</definedName>
    <definedName name="FDP_40_1_aUrv" hidden="1">[30]Comparison!$E$29</definedName>
    <definedName name="FDP_41_1_aUrv" hidden="1">[30]Comparison!$E$30</definedName>
    <definedName name="FDP_42_1_aUrv" hidden="1">[30]Comparison!$E$31</definedName>
    <definedName name="FDP_43_1_aUrv" hidden="1">[30]Comparison!$E$32</definedName>
    <definedName name="FDP_44_1_aUrv" hidden="1">[30]Comparison!$E$33</definedName>
    <definedName name="FDP_45_1_aUrv" hidden="1">[30]Comparison!$E$34</definedName>
    <definedName name="FDP_455_1_aSrv" hidden="1">[30]Comparison!$E$10</definedName>
    <definedName name="FDP_456_1_aSrv" hidden="1">[30]Comparison!$E$12</definedName>
    <definedName name="FDP_457_1_aSrv" hidden="1">[30]Comparison!$E$19</definedName>
    <definedName name="FDP_458_1_aSrv" hidden="1">[30]Comparison!$E$22</definedName>
    <definedName name="FDP_459_1_aSrv" hidden="1">[30]Comparison!$E$23</definedName>
    <definedName name="FDP_46_1_aUrv" hidden="1">[30]Comparison!$E$35</definedName>
    <definedName name="FDP_460_1_aSrv" hidden="1">[30]Comparison!$E$24</definedName>
    <definedName name="FDP_461_1_aSrv" hidden="1">[30]Comparison!$E$25</definedName>
    <definedName name="FDP_462_1_aSrv" hidden="1">[30]Comparison!$E$26</definedName>
    <definedName name="FDP_463_1_aSrv" hidden="1">[30]Comparison!$E$27</definedName>
    <definedName name="FDP_464_1_aSrv" hidden="1">[30]Comparison!$E$28</definedName>
    <definedName name="FDP_465_1_aSrv" hidden="1">[30]Comparison!$E$29</definedName>
    <definedName name="FDP_466_1_aSrv" hidden="1">[30]Comparison!$E$30</definedName>
    <definedName name="FDP_467_1_aSrv" hidden="1">[30]Comparison!$E$31</definedName>
    <definedName name="FDP_468_1_aSrv" hidden="1">[30]Comparison!$E$34</definedName>
    <definedName name="FDP_469_1_aSrv" hidden="1">[30]Comparison!$E$35</definedName>
    <definedName name="FDP_47_1_aUrv" hidden="1">[30]Comparison!$E$36</definedName>
    <definedName name="FDP_470_1_aSrv" hidden="1">[30]Comparison!$E$36</definedName>
    <definedName name="FDP_471_1_aSrv" hidden="1">[30]Comparison!$E$37</definedName>
    <definedName name="FDP_472_1_aSrv" hidden="1">[30]Comparison!$E$38</definedName>
    <definedName name="FDP_473_1_aSrv" hidden="1">[30]Comparison!$E$39</definedName>
    <definedName name="FDP_474_1_aSrv" hidden="1">[30]Comparison!$E$40</definedName>
    <definedName name="FDP_475_1_aSrv" hidden="1">[30]Comparison!$E$43</definedName>
    <definedName name="FDP_476_1_aSrv" hidden="1">[30]Comparison!$E$44</definedName>
    <definedName name="FDP_477_1_aSrv" hidden="1">[30]Comparison!$E$45</definedName>
    <definedName name="FDP_478_1_aSrv" hidden="1">[30]Comparison!$E$46</definedName>
    <definedName name="FDP_479_1_aSrv" hidden="1">[30]Comparison!$E$47</definedName>
    <definedName name="FDP_48_1_aUrv" hidden="1">[30]Comparison!$E$37</definedName>
    <definedName name="FDP_480_1_aSrv" hidden="1">[30]Comparison!$E$48</definedName>
    <definedName name="FDP_481_1_aSrv" hidden="1">[30]Comparison!$E$49</definedName>
    <definedName name="FDP_482_1_aSrv" hidden="1">[30]Comparison!$E$54</definedName>
    <definedName name="FDP_483_1_aSrv" hidden="1">[30]Comparison!$E$55</definedName>
    <definedName name="FDP_484_1_aSrv" hidden="1">[30]Comparison!$E$56</definedName>
    <definedName name="FDP_485_1_aSrv" hidden="1">[30]Comparison!$E$57</definedName>
    <definedName name="FDP_486_1_aSrv" hidden="1">[30]Comparison!$E$58</definedName>
    <definedName name="FDP_487_1_aSrv" hidden="1">[30]Comparison!$E$59</definedName>
    <definedName name="FDP_488_1_aSrv" hidden="1">[30]Comparison!$E$60</definedName>
    <definedName name="FDP_489_1_aSrv" hidden="1">[30]Comparison!$E$61</definedName>
    <definedName name="FDP_49_1_aUrv" hidden="1">[30]Comparison!$E$38</definedName>
    <definedName name="FDP_490_1_aSrv" hidden="1">[30]Comparison!$E$62</definedName>
    <definedName name="FDP_491_1_aSrv" hidden="1">[30]Comparison!$E$65</definedName>
    <definedName name="FDP_492_1_aSrv" hidden="1">[30]Comparison!$E$66</definedName>
    <definedName name="FDP_493_1_aSrv" hidden="1">[30]Comparison!$E$67</definedName>
    <definedName name="FDP_494_1_aSrv" hidden="1">[30]Comparison!$E$68</definedName>
    <definedName name="FDP_495_1_aSrv" hidden="1">[30]Comparison!$E$69</definedName>
    <definedName name="FDP_496_1_aSrv" hidden="1">[30]Comparison!$E$70</definedName>
    <definedName name="FDP_497_1_aSrv" hidden="1">[30]Comparison!$E$73</definedName>
    <definedName name="FDP_498_1_aSrv" hidden="1">[30]Comparison!$E$74</definedName>
    <definedName name="FDP_499_1_aSrv" hidden="1">[30]Comparison!$E$75</definedName>
    <definedName name="FDP_5_1_aUrv" hidden="1">[30]Comparison!$V$24</definedName>
    <definedName name="FDP_50_1_aSrv" hidden="1">[30]Comparison!$E$39</definedName>
    <definedName name="FDP_500_1_aSrv" hidden="1">[30]Comparison!$E$76</definedName>
    <definedName name="FDP_501_1_aSrv" hidden="1">[30]Comparison!$E$77</definedName>
    <definedName name="FDP_502_1_aSrv" hidden="1">[30]Comparison!$E$81</definedName>
    <definedName name="FDP_503_1_aSrv" hidden="1">[30]Comparison!$E$82</definedName>
    <definedName name="FDP_504_1_aSrv" hidden="1">[30]Comparison!$E$83</definedName>
    <definedName name="FDP_505_1_aSrv" hidden="1">[30]Comparison!$E$84</definedName>
    <definedName name="FDP_506_1_aSrv" hidden="1">[30]Comparison!$E$85</definedName>
    <definedName name="FDP_507_1_aSrv" hidden="1">[30]Comparison!$E$86</definedName>
    <definedName name="FDP_508_1_aSrv" hidden="1">[30]Comparison!$E$87</definedName>
    <definedName name="FDP_509_1_aSrv" hidden="1">[30]Comparison!$E$92</definedName>
    <definedName name="FDP_51_1_aSrv" hidden="1">[30]Comparison!$E$40</definedName>
    <definedName name="FDP_510_1_aSrv" hidden="1">[30]Comparison!$E$93</definedName>
    <definedName name="FDP_511_1_aSrv" hidden="1">[30]Comparison!$E$94</definedName>
    <definedName name="FDP_512_1_aSrv" hidden="1">[30]Comparison!$E$95</definedName>
    <definedName name="FDP_513_1_aSrv" hidden="1">[30]Comparison!$E$96</definedName>
    <definedName name="FDP_514_1_aSrv" hidden="1">[30]Comparison!$E$98</definedName>
    <definedName name="FDP_515_1_aSrv" hidden="1">[30]Comparison!$E$99</definedName>
    <definedName name="FDP_516_1_aSrv" hidden="1">[30]Comparison!$E$100</definedName>
    <definedName name="FDP_517_1_aSrv" hidden="1">[30]Comparison!$E$101</definedName>
    <definedName name="FDP_518_1_aSrv" hidden="1">[30]Comparison!$E$102</definedName>
    <definedName name="FDP_519_1_aSrv" hidden="1">[30]Comparison!$E$103</definedName>
    <definedName name="FDP_52_1_aUrv" hidden="1">[30]Comparison!$E$41</definedName>
    <definedName name="FDP_520_1_aSrv" hidden="1">[30]Comparison!$E$104</definedName>
    <definedName name="FDP_521_1_aSrv" hidden="1">[30]Comparison!$E$107</definedName>
    <definedName name="FDP_522_1_aSrv" hidden="1">[30]Comparison!$E$109</definedName>
    <definedName name="FDP_523_1_aSrv" hidden="1">[30]Comparison!$E$110</definedName>
    <definedName name="FDP_524_1_aSrv" hidden="1">[30]Comparison!$E$111</definedName>
    <definedName name="FDP_525_1_aSrv" hidden="1">[30]Comparison!$E$112</definedName>
    <definedName name="FDP_526_1_aSrv" hidden="1">[30]Comparison!$E$113</definedName>
    <definedName name="FDP_527_1_aSrv" hidden="1">[30]Comparison!$E$114</definedName>
    <definedName name="FDP_528_1_aSrv" hidden="1">[30]Comparison!$E$115</definedName>
    <definedName name="FDP_529_1_aSrv" hidden="1">[30]Comparison!$E$116</definedName>
    <definedName name="FDP_53_1_aUrv" hidden="1">[30]Comparison!$E$42</definedName>
    <definedName name="FDP_530_1_aSrv" hidden="1">[30]Comparison!$E$117</definedName>
    <definedName name="FDP_531_1_aSrv" hidden="1">[30]Comparison!$E$118</definedName>
    <definedName name="FDP_532_1_aSrv" hidden="1">[30]Comparison!$E$119</definedName>
    <definedName name="FDP_533_1_aSrv" hidden="1">[30]Comparison!$E$120</definedName>
    <definedName name="FDP_534_1_aSrv" hidden="1">[30]Comparison!$E$121</definedName>
    <definedName name="FDP_535_1_aSrv" hidden="1">[30]Comparison!$E$122</definedName>
    <definedName name="FDP_536_1_aSrv" hidden="1">[30]Comparison!$E$123</definedName>
    <definedName name="FDP_537_1_aSrv" hidden="1">[30]Comparison!$E$124</definedName>
    <definedName name="FDP_538_1_aSrv" hidden="1">[30]Comparison!$E$128</definedName>
    <definedName name="FDP_539_1_aSrv" hidden="1">[30]Comparison!$E$127</definedName>
    <definedName name="FDP_54_1_aUrv" hidden="1">[30]Comparison!$E$43</definedName>
    <definedName name="FDP_540_1_aSrv" hidden="1">[30]Comparison!$E$129</definedName>
    <definedName name="FDP_541_1_aSrv" hidden="1">[30]Comparison!$E$130</definedName>
    <definedName name="FDP_542_1_aSrv" hidden="1">[30]Comparison!$E$132</definedName>
    <definedName name="FDP_543_1_aSrv" hidden="1">[30]Comparison!$E$133</definedName>
    <definedName name="FDP_544_1_aSrv" hidden="1">[30]Comparison!$E$134</definedName>
    <definedName name="FDP_545_1_aSrv" hidden="1">[30]Comparison!$E$140</definedName>
    <definedName name="FDP_546_1_aSrv" hidden="1">[30]Comparison!$E$141</definedName>
    <definedName name="FDP_547_1_aSrv" hidden="1">[30]Comparison!$E$142</definedName>
    <definedName name="FDP_548_1_aSrv" hidden="1">[30]Comparison!$E$143</definedName>
    <definedName name="FDP_549_1_aUrv" hidden="1">[30]Comparison!$O$1</definedName>
    <definedName name="FDP_55_1_aUrv" hidden="1">[30]Comparison!$E$44</definedName>
    <definedName name="FDP_550_1_aUrv" hidden="1">[30]Comparison!$Q$62</definedName>
    <definedName name="FDP_551_1_aUrv" hidden="1">[30]Comparison!$Q$84</definedName>
    <definedName name="FDP_552_1_aUrv" hidden="1">[30]Comparison!$Q$1</definedName>
    <definedName name="FDP_553_1_aUrv" hidden="1">[30]Comparison!$S$1</definedName>
    <definedName name="FDP_554_1_aUrv" hidden="1">[30]Comparison!$E$249</definedName>
    <definedName name="FDP_56_1_aUrv" hidden="1">[30]Comparison!$E$45</definedName>
    <definedName name="FDP_57_1_aSrv" hidden="1">[30]Comparison!$E$46</definedName>
    <definedName name="FDP_58_1_aUrv" hidden="1">[30]Comparison!$E$47</definedName>
    <definedName name="FDP_59_1_aSrv" hidden="1">[30]Comparison!$E$48</definedName>
    <definedName name="FDP_6_1_aUrv" hidden="1">[30]Comparison!$Y$21</definedName>
    <definedName name="FDP_60_1_aUrv" hidden="1">[30]Comparison!$E$49</definedName>
    <definedName name="FDP_608_1_aUrv" hidden="1">[30]Comparison!$Z$10</definedName>
    <definedName name="FDP_609_1_aSrv" hidden="1">[30]Comparison!$E$48</definedName>
    <definedName name="FDP_61_1_aUrv" hidden="1">[30]Comparison!$E$50</definedName>
    <definedName name="FDP_610_1_aSrv" hidden="1">[30]Comparison!$E$70</definedName>
    <definedName name="FDP_612_1_aSrv" hidden="1">[30]Comparison!$E$339</definedName>
    <definedName name="FDP_613_1_aSrv" hidden="1">[30]Comparison!$E$340</definedName>
    <definedName name="FDP_614_1_aSrv" hidden="1">[30]Comparison!$E$341</definedName>
    <definedName name="FDP_615_1_aSrv" hidden="1">[30]Comparison!$E$342</definedName>
    <definedName name="FDP_616_1_aSrv" hidden="1">[30]Comparison!$E$343</definedName>
    <definedName name="FDP_617_1_aSrv" hidden="1">[30]Comparison!$E$344</definedName>
    <definedName name="FDP_618_1_aSrv" hidden="1">[30]Comparison!$E$345</definedName>
    <definedName name="FDP_619_1_aSrv" hidden="1">[30]Comparison!$E$346</definedName>
    <definedName name="FDP_62_1_aUrv" hidden="1">[30]Comparison!$E$51</definedName>
    <definedName name="FDP_620_1_aSrv" hidden="1">[30]Comparison!$E$347</definedName>
    <definedName name="FDP_63_1_aUrv" hidden="1">[30]Comparison!$E$52</definedName>
    <definedName name="FDP_64_1_aUrv" hidden="1">[30]Comparison!$E$53</definedName>
    <definedName name="FDP_65_1_aSrv" hidden="1">[30]Comparison!$E$54</definedName>
    <definedName name="FDP_66_1_aUrv" hidden="1">[30]Comparison!$E$55</definedName>
    <definedName name="FDP_67_1_aSrv" hidden="1">[30]Comparison!$E$56</definedName>
    <definedName name="FDP_68_1_aUrv" hidden="1">[30]Comparison!$E$57</definedName>
    <definedName name="FDP_69_1_aSrv" hidden="1">[30]Comparison!$E$58</definedName>
    <definedName name="FDP_7_1_aUrv" hidden="1">[30]Comparison!$Y$22</definedName>
    <definedName name="FDP_70_1_aSrv" hidden="1">[30]Comparison!$E$59</definedName>
    <definedName name="FDP_71_1_aUrv" hidden="1">[30]Comparison!$E$60</definedName>
    <definedName name="FDP_72_1_aUrv" hidden="1">[30]Comparison!$E$61</definedName>
    <definedName name="FDP_73_1_aSrv" hidden="1">[30]Comparison!$E$62</definedName>
    <definedName name="FDP_74_1_aSrv" hidden="1">[30]Comparison!$E$63</definedName>
    <definedName name="FDP_75_1_aUrv" hidden="1">[30]Comparison!$F$64</definedName>
    <definedName name="FDP_76_1_aSrv" hidden="1">[30]Comparison!$E$65</definedName>
    <definedName name="FDP_77_1_aSrv" hidden="1">[30]Comparison!$E$66</definedName>
    <definedName name="FDP_78_1_aUrv" hidden="1">[30]Comparison!$E$67</definedName>
    <definedName name="FDP_79_1_aUrv" hidden="1">[30]Comparison!$E$68</definedName>
    <definedName name="FDP_8_1_aUrv" hidden="1">[30]Comparison!$Y$23</definedName>
    <definedName name="FDP_80_1_aUrv" hidden="1">[30]Comparison!$E$69</definedName>
    <definedName name="FDP_81_1_aUrv" hidden="1">[30]Comparison!$E$70</definedName>
    <definedName name="FDP_82_1_aUrv" hidden="1">[30]Comparison!$E$71</definedName>
    <definedName name="FDP_83_1_aUrv" hidden="1">[30]Comparison!$E$72</definedName>
    <definedName name="FDP_84_1_aUrv" hidden="1">[30]Comparison!$E$73</definedName>
    <definedName name="FDP_85_1_aUrv" hidden="1">[30]Comparison!$E$74</definedName>
    <definedName name="FDP_86_1_aUrv" hidden="1">[30]Comparison!$E$75</definedName>
    <definedName name="FDP_87_1_aUrv" hidden="1">[30]Comparison!$E$76</definedName>
    <definedName name="FDP_88_1_aUrv" hidden="1">[30]Comparison!$E$77</definedName>
    <definedName name="FDP_89_1_aUrv" hidden="1">[30]Comparison!$E$78</definedName>
    <definedName name="FDP_9_1_aUrv" hidden="1">[30]Comparison!$Y$24</definedName>
    <definedName name="FDP_90_1_aUrv" hidden="1">[30]Comparison!$E$79</definedName>
    <definedName name="FDP_91_1_aUrv" hidden="1">[30]Comparison!$E$80</definedName>
    <definedName name="FDP_92_1_aUrv" hidden="1">[30]Comparison!$E$81</definedName>
    <definedName name="FDP_93_1_aUrv" hidden="1">[30]Comparison!$E$82</definedName>
    <definedName name="FDP_94_1_aUrv" hidden="1">[30]Comparison!$E$83</definedName>
    <definedName name="FDP_95_1_aUrv" hidden="1">[30]Comparison!$E$84</definedName>
    <definedName name="FDP_96_1_aUrv" hidden="1">[30]Comparison!$E$92</definedName>
    <definedName name="FDP_97_1_aUrv" hidden="1">[30]Comparison!$E$93</definedName>
    <definedName name="FDP_98_1_aUrv" hidden="1">[30]Comparison!$E$94</definedName>
    <definedName name="FDP_99_1_aUrv" hidden="1">[30]Comparison!$E$95</definedName>
    <definedName name="fdsaf">'[10]Qrt Sales'!$DC$3:$DZ$133</definedName>
    <definedName name="fed">'[10]Qrt Sales'!$AO$3:$BT$133</definedName>
    <definedName name="FIVEYEAR">'[31]Five Year Sales &amp; Earnings'!$A$1:$T$72</definedName>
    <definedName name="FiveYearGrowthRate" localSheetId="18">IndexInformation!$B$16</definedName>
    <definedName name="Fixed_asset_turns">[11]Data_Download!$C$99:$AU$99</definedName>
    <definedName name="Fixed_asset_turns_DCF">[11]Data_Download!$C$81:$AZ$81</definedName>
    <definedName name="Fixed_asset_turns_fore">[11]Data_Download!$B$78:$K$78</definedName>
    <definedName name="Fixed_assets">[11]Data_Download!$C$43:$AE$43</definedName>
    <definedName name="Fixed_assets_DCF">[11]Data_Download!$C$75:$AZ$75</definedName>
    <definedName name="FollowingYearEPS" localSheetId="18">IndexInformation!$B$15</definedName>
    <definedName name="FollowingYearTotalRevenue" localSheetId="18">IndexInformation!$B$14</definedName>
    <definedName name="FollowingYearTotalRevenueActual" localSheetId="18">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R_ACCT_CCY_LINK">[11]Data_Download!$O$1</definedName>
    <definedName name="FR_AP_EX_RATE_LINK">[11]Data_Download!$U$27</definedName>
    <definedName name="FR_AP_EX_RATE1_LINK">[11]Data_Download!$AB$32</definedName>
    <definedName name="FR_AP_EX_RATE10_LINK">[11]Data_Download!$S$32</definedName>
    <definedName name="FR_AP_EX_RATE11_LINK">[11]Data_Download!$R$32</definedName>
    <definedName name="FR_AP_EX_RATE2_LINK">[11]Data_Download!$AA$32</definedName>
    <definedName name="FR_AP_EX_RATE3_LINK">[11]Data_Download!$Z$32</definedName>
    <definedName name="FR_AP_EX_RATE4_LINK">[11]Data_Download!$Y$32</definedName>
    <definedName name="FR_AP_EX_RATE5_LINK">[11]Data_Download!$X$32</definedName>
    <definedName name="FR_AP_EX_RATE6_LINK">[11]Data_Download!$W$32</definedName>
    <definedName name="FR_AP_EX_RATE7_LINK">[11]Data_Download!$V$32</definedName>
    <definedName name="FR_AP_EX_RATE8_LINK">[11]Data_Download!$U$32</definedName>
    <definedName name="FR_AP_EX_RATE9_LINK">[11]Data_Download!$T$32</definedName>
    <definedName name="FR_CODE_COPY_LINK">" "</definedName>
    <definedName name="FR_CODE_DOWNLOAD_START">" "</definedName>
    <definedName name="FR_CODE_STOCK_LINK">" "</definedName>
    <definedName name="FR_COM_ABBR">"CHKP"</definedName>
    <definedName name="FR_COM_ABBR_LINK">[11]Data_Download!$F$3</definedName>
    <definedName name="FR_COM_AGG">0</definedName>
    <definedName name="FR_COM_NAME_LINK">[11]Data_Download!$D$3</definedName>
    <definedName name="FR_COU_ABBR">"usa"</definedName>
    <definedName name="FR_COU_ABBR_LINK">[11]Data_Download!$G$3</definedName>
    <definedName name="FR_COU_NAME_LINK">" "</definedName>
    <definedName name="FR_DATABOX_DOWNLOAD">"N"</definedName>
    <definedName name="FR_DISP_HIDDEN">FALSE</definedName>
    <definedName name="FR_END_DATE">"'"</definedName>
    <definedName name="FR_EX_DIM_FAC_LINK">[11]Data_Download!$R$1</definedName>
    <definedName name="FR_EXCHANGE_LINK">[11]Data_Download!$Z$11</definedName>
    <definedName name="FR_LINKS_OVERRUN">TRUE</definedName>
    <definedName name="FR_LOG_END_DATE">"'"</definedName>
    <definedName name="FR_LOG_START_DATE">"'"</definedName>
    <definedName name="FR_PRICE_CCY_LINK">[11]Data_Download!$Q$1</definedName>
    <definedName name="FR_PROTECT">"TRUE"</definedName>
    <definedName name="FR_RATIO_ABBR">"VDF_RATIO_BUNDLE"</definedName>
    <definedName name="FR_RATIO_COM_ABBR">"CWG.L"</definedName>
    <definedName name="FR_RATIO_COU_ABBR">"uk"</definedName>
    <definedName name="FR_RATIO_IGNORE_PROT_FLAG">TRUE</definedName>
    <definedName name="FR_RATIO_RECALC_FLAG">TRUE</definedName>
    <definedName name="FR_REPORT_STATUS_LINK">[11]Data_Download!$U$17</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1</definedName>
    <definedName name="FR_SEC_LEVEL1_LINK">[11]Data_Download!$Z$15</definedName>
    <definedName name="FR_SEC_LEVEL4_LINK">[11]Data_Download!$Z$10</definedName>
    <definedName name="FR_SHOW_LINK_MARKER">FALSE</definedName>
    <definedName name="FR_START_DATE">"'"</definedName>
    <definedName name="FR_SYBASE_SERVER">"PNYEQFRD01"</definedName>
    <definedName name="FR_TEMPLATE_KEY">"69924|1"</definedName>
    <definedName name="FR_USE_BILLIONS">FALSE</definedName>
    <definedName name="FR_USE_DIMFAC">TRUE</definedName>
    <definedName name="FR_USE_LOCAL_CCY">FALSE</definedName>
    <definedName name="FR_USE_PRICEFACTORING">FALSE</definedName>
    <definedName name="FR_USE_SCALE_FLAG">TRUE</definedName>
    <definedName name="FR_WORKBOOK">"K:\traker1\WBSN\Old Model\WBSN-EPS-Edg.xls"</definedName>
    <definedName name="Free_cash_flow">[11]Data_Download!$C$23:$AZ$23</definedName>
    <definedName name="fuck">[32]Model!$FZ$3:$GS$64</definedName>
    <definedName name="fy_00">[3]IS!$AI$7:$AI$39</definedName>
    <definedName name="fy_97">[3]IS!$O$7:$O$38</definedName>
    <definedName name="fy_98">[3]IS!$U$7:$U$38</definedName>
    <definedName name="fy_99">[3]IS!$AB$7:$AB$38</definedName>
    <definedName name="g">'[10]Qrt Sales'!$BV$3:$DA$133</definedName>
    <definedName name="gd">'[10]Qrt Sales'!$DC$3:$DZ$133</definedName>
    <definedName name="Genotropin">'[2]5 yr Sales and Earnings'!$A$33:$AA$33</definedName>
    <definedName name="Geodon">'[2]5 yr Sales and Earnings'!$A$16:$AA$16</definedName>
    <definedName name="GGG" hidden="1">{"quartfin",#N/A,FALSE,"quartfin"}</definedName>
    <definedName name="gggg"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Glucotrol_XL">'[2]5 yr Sales and Earnings'!$A$10:$AA$10</definedName>
    <definedName name="Goodwill">[11]Data_Download!$C$36:$AE$36</definedName>
    <definedName name="Goodwill_Amort">[11]Data_Download!$C$105:$AZ$105</definedName>
    <definedName name="Goodwill_growth_fore">[11]Data_Download!$H$162:$K$162</definedName>
    <definedName name="Gross_income_fore">[11]Data_Download!$E$9:$G$9</definedName>
    <definedName name="Gross_income_growth_avg">[11]Data_Download!$B$140</definedName>
    <definedName name="Gross_margins">'[2]5 yr Sales and Earnings'!$A$83:$AA$83</definedName>
    <definedName name="Gross_Profit">'[2]5 yr Sales and Earnings'!$A$54:$AA$54</definedName>
    <definedName name="Growth">'[2]5 yr Sales and Earnings'!$A$88:$AA$88</definedName>
    <definedName name="HHIhs" hidden="1">{"short1",#N/A,FALSE,"masmode";"short2",#N/A,FALSE,"masmode";"qtrres",#N/A,FALSE,"QTR. RES.";"sales",#N/A,FALSE,"Sales &amp; Market Share"}</definedName>
    <definedName name="hi"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istorical_Economic_Profit">[11]Data_Download!$C$48:$I$48</definedName>
    <definedName name="Historical_Incremental_ROIC">[11]Data_Download!$C$109:$Z$109</definedName>
    <definedName name="HL" localSheetId="19">ModPubIndex!$A$8</definedName>
    <definedName name="hn.ModelVersion" hidden="1">1</definedName>
    <definedName name="hn.NoUpload" hidden="1">0</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 hidden="1">'[12]Qtr Income'!$A$1:$W$160</definedName>
    <definedName name="IC_1">[11]Data_Download!$P:$P</definedName>
    <definedName name="IC_10">[11]Data_Download!$G:$G</definedName>
    <definedName name="IC_11">[11]Data_Download!$F:$F</definedName>
    <definedName name="IC_12">[11]Data_Download!$E:$E</definedName>
    <definedName name="IC_13">[11]Data_Download!$D:$D</definedName>
    <definedName name="IC_14">[11]Data_Download!$C:$C</definedName>
    <definedName name="IC_2">[11]Data_Download!$O:$O</definedName>
    <definedName name="IC_3">[11]Data_Download!$N:$N</definedName>
    <definedName name="IC_4">[11]Data_Download!$M:$M</definedName>
    <definedName name="IC_5">[11]Data_Download!$L:$L</definedName>
    <definedName name="IC_6">[11]Data_Download!$K:$K</definedName>
    <definedName name="IC_7">[11]Data_Download!$J:$J</definedName>
    <definedName name="IC_8">[11]Data_Download!$I:$I</definedName>
    <definedName name="IC_9">[11]Data_Download!$H:$H</definedName>
    <definedName name="IC_P">[11]Data_Download!$Q:$Q</definedName>
    <definedName name="IC_P1">[11]Data_Download!$R:$R</definedName>
    <definedName name="IC_P2">[11]Data_Download!$S:$S</definedName>
    <definedName name="IC_P3">[11]Data_Download!$T:$T</definedName>
    <definedName name="Img_ML_7g5e5e2b" hidden="1">"IMG_12"</definedName>
    <definedName name="Inc_cap_RnD_fore">[11]Data_Download!$E$21:$X$21</definedName>
    <definedName name="Inc00">[3]IS!$AI$7:$AI$39</definedName>
    <definedName name="Income__Loss__from_Disc._Ops">'[2]5 yr Sales and Earnings'!$A$66:$AA$66</definedName>
    <definedName name="Income_equivalents">[11]Data_Download!$C$30:$AZ$30</definedName>
    <definedName name="Income_equivalents_fore">[11]Data_Download!$E$26:$X$26</definedName>
    <definedName name="Income_form_uncons_subs_fore">[11]Data_Download!$E$32:$G$32</definedName>
    <definedName name="Income_from_Unconsolidated_Subs">[11]Data_Download!$C$48:$AZ$48</definedName>
    <definedName name="Income_tax_fore">[11]Data_Download!$E$39:$M$39</definedName>
    <definedName name="Income_tax_growth_fore">[11]Data_Download!$H$143:$K$143</definedName>
    <definedName name="Income_tax_rate">[11]Data_Download!$C$98:$Q$98</definedName>
    <definedName name="Income_taxes_payable">[11]Data_Download!$C$21:$AE$21</definedName>
    <definedName name="Income_taxes_payable_growth_fore">[11]Data_Download!$H$154:$K$154</definedName>
    <definedName name="Increase_cap_RnD_fore">[11]Data_Download!$E$21:$Z$21</definedName>
    <definedName name="Increase_Capitalized_R_D_net">[11]Data_Download!$C$22:$AZ$22</definedName>
    <definedName name="Increase_Deferred_Taxes">[11]Data_Download!$C$51:$AE$51</definedName>
    <definedName name="Increase_in_other_reserves">[11]Data_Download!$C$53:$AU$53</definedName>
    <definedName name="Increase_LIFO_Reserve">[11]Data_Download!$C$52:$AX$52</definedName>
    <definedName name="Incremental_investment">[11]Data_Download!$C$21:$AZ$21</definedName>
    <definedName name="Incremental_ROIC">[11]Data_Download!$C$91:$BZ$91</definedName>
    <definedName name="Incremental_ROIC_DCF">[11]Data_Download!$C$93:$BZ$93</definedName>
    <definedName name="IND" localSheetId="19">ModPubIndex!$A$9</definedName>
    <definedName name="Industry" localSheetId="0">ImportantDisclosures!$A$12</definedName>
    <definedName name="IndustryId" localSheetId="18">IndexInformation!$B$40</definedName>
    <definedName name="IndustryId">[33]IndexInformation!$B$40</definedName>
    <definedName name="IndustryRating" localSheetId="0">ImportantDisclosures!$A$13</definedName>
    <definedName name="Infgod" hidden="1">{"monthlyunits",#N/A,FALSE,"openings"}</definedName>
    <definedName name="Infosed" hidden="1">{"quartfin",#N/A,FALSE,"quartfin"}</definedName>
    <definedName name="Inspra">'[2]5 yr Sales and Earnings'!$A$11:$AA$11</definedName>
    <definedName name="INSTR_ebitda00">'[34]p&amp;leuro'!$J$39</definedName>
    <definedName name="INSTR_ebitda97">'[34]p&amp;leuro'!$J$15</definedName>
    <definedName name="INSTR_ebitda98">'[34]p&amp;leuro'!$J$23</definedName>
    <definedName name="INSTR_ebitda99">'[34]p&amp;leuro'!$J$31</definedName>
    <definedName name="Int_exp_OL">[11]Data_Download!$C$62:$AZ$62</definedName>
    <definedName name="Interest_exp_growth_fore">[11]Data_Download!$H$144:$K$144</definedName>
    <definedName name="Interest_exp_inc_fore">[11]Data_Download!$E$33:$M$33</definedName>
    <definedName name="Interest_expense_after_taxes">[11]Data_Download!$C$67:$AE$67</definedName>
    <definedName name="Interest_expense_income">[11]Data_Download!$C$63:$AE$63</definedName>
    <definedName name="Interest_expense_oper_leases">[11]Data_Download!$D$63:$AZ$63</definedName>
    <definedName name="Interest_oper_lease">[11]Data_Download!$C$63:$AW$63</definedName>
    <definedName name="Inventory">[11]Data_Download!$C$8:$AE$8</definedName>
    <definedName name="Inventory_growth_fore">[11]Data_Download!$H$148:$K$148</definedName>
    <definedName name="Inventory_turns">[11]Data_Download!$C$96:$AU$96</definedName>
    <definedName name="Invested_capital">[11]Data_Download!$C$87:$AE$87</definedName>
    <definedName name="Invested_capital_DCF">[11]Data_Download!$C$77:$AZ$77</definedName>
    <definedName name="Invested_capital_growth_fore">[11]Data_Download!$H$146:$K$146</definedName>
    <definedName name="Invested_capital_turns">[11]Data_Download!$C$102:$AU$102</definedName>
    <definedName name="Invested_capital_turns_DCF">[11]Data_Download!$C$83:$AZ$83</definedName>
    <definedName name="Invested_capital_turns_fore">[11]Data_Download!$H$80:$K$80</definedName>
    <definedName name="Investments_in_Unconsolidated_Subs">[11]Data_Download!$C$76:$AZ$76</definedName>
    <definedName name="IPR___D___Product_Licensing_Charges">'[2]5 yr Sales and Earnings'!$A$67:$AA$67</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localSheetId="2" hidden="1">"c2106"</definedName>
    <definedName name="IQ_DIV_PAYMENT_DATE" hidden="1">"c2205"</definedName>
    <definedName name="IQ_DIV_RECORD_DATE" localSheetId="2" hidden="1">"c2105"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40084.4202199074</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2" hidden="1">39489.6256597222</definedName>
    <definedName name="IQ_REVISION_DATE_" hidden="1">38919.6634375</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localSheetId="2" hidden="1">"c2104"</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IS_1">[11]Data_Download!$Q:$Q</definedName>
    <definedName name="IS_10">[11]Data_Download!$H:$H</definedName>
    <definedName name="IS_11">[11]Data_Download!$G:$G</definedName>
    <definedName name="IS_12">[11]Data_Download!$F:$F</definedName>
    <definedName name="IS_13">[11]Data_Download!$E:$E</definedName>
    <definedName name="IS_14">[11]Data_Download!$D:$D</definedName>
    <definedName name="IS_2">[11]Data_Download!$P:$P</definedName>
    <definedName name="IS_3">[11]Data_Download!$O:$O</definedName>
    <definedName name="IS_4">[11]Data_Download!$N:$N</definedName>
    <definedName name="IS_5">[11]Data_Download!$M:$M</definedName>
    <definedName name="IS_6">[11]Data_Download!$L:$L</definedName>
    <definedName name="IS_7">[11]Data_Download!$K:$K</definedName>
    <definedName name="IS_8">[11]Data_Download!$J:$J</definedName>
    <definedName name="IS_9">[11]Data_Download!$I:$I</definedName>
    <definedName name="IS_p">[11]Data_Download!$R:$R</definedName>
    <definedName name="ISMethod">1</definedName>
    <definedName name="k">'[12]Qtr Margin'!$A$1:$N$75</definedName>
    <definedName name="Ke">[11]Data_Download!$D$11</definedName>
    <definedName name="KeepVersions" localSheetId="18">IndexInformation!$B$8</definedName>
    <definedName name="l">'[12]Qtr Sales'!$A$2:$AF$127</definedName>
    <definedName name="L_T_obligations_under_cap_leases">[11]Data_Download!$C$58:$AU$58</definedName>
    <definedName name="LanguageCode" localSheetId="18">IndexInformation!$B$38</definedName>
    <definedName name="LanguageCode">[33]IndexInformation!$B$38</definedName>
    <definedName name="Lasofoxifene">'[2]5 yr Sales and Earnings'!$A$38:$AA$38</definedName>
    <definedName name="LastCell" localSheetId="0">ImportantDisclosures!$A$22</definedName>
    <definedName name="LastListUpdate">0</definedName>
    <definedName name="LatestFiledQ">[35]summary!$J$11</definedName>
    <definedName name="LatestRpQ">[35]summary!$J$10</definedName>
    <definedName name="Lease_thereafter">[11]Data_Download!$C$10:$AX$10</definedName>
    <definedName name="Lease_years">[11]Data_Download!$B$20:$B$61</definedName>
    <definedName name="Lease_yr_1">[11]Data_Download!$C$5:$AX$5</definedName>
    <definedName name="Lease_yr_2">[11]Data_Download!$C$6:$AX$6</definedName>
    <definedName name="Lease_yr_3">[11]Data_Download!$C$7:$AX$7</definedName>
    <definedName name="Lease_yr_4">[11]Data_Download!$C$8:$AX$8</definedName>
    <definedName name="Lease_yr_5">[11]Data_Download!$C$9:$AX$9</definedName>
    <definedName name="LIFO_Reserve">[11]Data_Download!$C$9:$AE$9</definedName>
    <definedName name="limcount" hidden="1">1</definedName>
    <definedName name="Linking_1">Vimizim!$B$5:$BP$68</definedName>
    <definedName name="Linking_10">' Vosoritide (BMN 111)'!$B$6:$N$40</definedName>
    <definedName name="Linking_11">"Source: Company Reports, Bloomberg, Morgan Stanley Research"</definedName>
    <definedName name="Linking_16">'BMN 270'!$B$7:$O$83</definedName>
    <definedName name="Linking_18">'BMN 250'!$B$6:$AJ$37</definedName>
    <definedName name="Linking_19">'BMN 270'!$B$86:$T$101</definedName>
    <definedName name="Linking_20">' Vosoritide (BMN 111)'!$B$45:$S$60</definedName>
    <definedName name="Linking_21">'BMN 250'!$B$41:$AO$56</definedName>
    <definedName name="Linking_22">PKU!$B$206:$V$220</definedName>
    <definedName name="Linking_24">SOP!$C$45:$G$74</definedName>
    <definedName name="Linking_25">SOP!$C$80:$G$102</definedName>
    <definedName name="Linking_26">'Rev-Exp'!$B$2:$AR$97</definedName>
    <definedName name="Linking_27">IS!$B$2:$CX$147</definedName>
    <definedName name="Linking_28">BS!$C$2:$W$34</definedName>
    <definedName name="Linking_29">DCF!$B$4:$V$27</definedName>
    <definedName name="Linking_3">Naglazyme!$B$5:$AV$67</definedName>
    <definedName name="Linking_30">CS!$C$2:$W$44</definedName>
    <definedName name="Linking_31">IS!$B$2:$CX$86</definedName>
    <definedName name="Linking_32">IS!$B$1:$BY$86</definedName>
    <definedName name="Linking_33">BS!$C$2:$R$34</definedName>
    <definedName name="Linking_34">CS!$C$2:$R$44</definedName>
    <definedName name="Linking_35">IS!$B$2:$CX$85</definedName>
    <definedName name="Linking_36">IS!$B$2:$BY$86</definedName>
    <definedName name="Linking_4">PKU!$B$6:$Q$99</definedName>
    <definedName name="Linking_5">SOP!$C$4:$G$11</definedName>
    <definedName name="Linking_6">SOP!$C$4:$G$23</definedName>
    <definedName name="Linking_7">Aldurazyme!$B$5:$AK$56</definedName>
    <definedName name="Linking_8">'Brineura (BMN 190)'!$B$6:$AB$28</definedName>
    <definedName name="Linking_9">PKU!$B$6:$Q$171</definedName>
    <definedName name="Lipitor">'[2]5 yr Sales and Earnings'!$A$6:$AA$6</definedName>
    <definedName name="LT_debt">[11]Data_Download!$C$57:$AE$57</definedName>
    <definedName name="LT_debt_growth_fore">[11]Data_Download!$H$160:$K$160</definedName>
    <definedName name="m">'[12]Qtr Sales'!$AH$2:$BQ$127</definedName>
    <definedName name="MacroVersion" localSheetId="18">IndexInformation!$B$1</definedName>
    <definedName name="Margins">'[2]5 yr Sales and Earnings'!$A$82:$AA$82</definedName>
    <definedName name="Market_Implied_CAP">[11]Data_Download!$C$90</definedName>
    <definedName name="Medrol">'[2]5 yr Sales and Earnings'!$A$35:$AA$35</definedName>
    <definedName name="Millions_Except_EPS">[14]QTRINC!$A$4:$AA$122</definedName>
    <definedName name="Minority_Interest">'[2]5 yr Sales and Earnings'!$A$62:$AA$62</definedName>
    <definedName name="Minority_Interests">[11]Data_Download!$C$74:$AZ$74</definedName>
    <definedName name="MktSec2001">'[17]Balance Sheet'!$K$8</definedName>
    <definedName name="MktSec2002">'[17]Balance Sheet'!$L$8</definedName>
    <definedName name="ModelPrice" localSheetId="0">ImportantDisclosures!$A$14</definedName>
    <definedName name="MonitorRow">1</definedName>
    <definedName name="Multiplier" localSheetId="18">IndexInformation!$B$35</definedName>
    <definedName name="multSecurities_L">[36]MultipleSecurities!$A$2:$A$17</definedName>
    <definedName name="n">'[12]Qtr Sales'!$BS$2:$CT$127</definedName>
    <definedName name="N_A">[11]Data_Download!$C$140</definedName>
    <definedName name="Net_Adj_capitalized_expenses">[11]Data_Download!$C$24:$AZ$24</definedName>
    <definedName name="Net_adj_for_capitalized_expenses">[11]Data_Download!$E$23:$Z$23</definedName>
    <definedName name="Net_Income">[37]NOPAT_VDF!$C$94:$AZ$94</definedName>
    <definedName name="Net_income_adj_cap_expenses">[11]Data_Download!$C$46:$AZ$46</definedName>
    <definedName name="Net_income_fore">[11]Data_Download!$E$40:$M$40</definedName>
    <definedName name="Net_income_growth">[11]Data_Download!$C$141:$AU$141</definedName>
    <definedName name="Net_income_margin">'[2]5 yr Sales and Earnings'!$A$86:$AA$86</definedName>
    <definedName name="Net_margin">[11]Data_Download!$C$113:$AU$113</definedName>
    <definedName name="Net_PPE">[11]Data_Download!$C$33:$AU$33</definedName>
    <definedName name="Net_PPE_DCF">[11]Data_Download!$C$75:$AZ$75</definedName>
    <definedName name="Net_PPE_growth_fore">[11]Data_Download!$H$157:$K$157</definedName>
    <definedName name="Net_property_under_capital_leases">[11]Data_Download!$C$34:$AU$34</definedName>
    <definedName name="Net_sales">[11]Data_Download!$C$8:$AE$8</definedName>
    <definedName name="Net_sales_DCF">[11]Data_Download!$C$9:$AZ$9</definedName>
    <definedName name="Net_sales_fore">[11]Data_Download!$E$7:$G$7</definedName>
    <definedName name="Net_sales_growth_fore">[11]Data_Download!$H$53:$K$53</definedName>
    <definedName name="Net_Tax_Benefit_of_Non_Op_Charges_Gains">[11]Data_Download!$C$35:$AZ$35</definedName>
    <definedName name="Net_Unrealized_Gains_Losses">[11]Data_Download!$C$79:$AZ$79</definedName>
    <definedName name="Net_working_capital_DCF">[11]Data_Download!$C$74:$AZ$74</definedName>
    <definedName name="Net_working_capital_turns">[11]Data_Download!$C$97:$AU$97</definedName>
    <definedName name="Net_working_capital_turns_DCF">[11]Data_Download!$C$80:$AZ$80</definedName>
    <definedName name="NetInc02">[38]Annual!$H$42</definedName>
    <definedName name="NetInc03">[38]Annual!$J$42</definedName>
    <definedName name="NetInc04">[38]Annual!$L$42</definedName>
    <definedName name="NetInc05">[38]Annual!$N$42</definedName>
    <definedName name="NetIncome2001">[25]Annual!$N$49</definedName>
    <definedName name="NetIncome2002">[25]Annual!$P$50</definedName>
    <definedName name="NetIncome2003">[25]Annual!$R$53</definedName>
    <definedName name="NetIncome2004">[25]Annual!$V$53</definedName>
    <definedName name="NetIncome2005">[9]Annual!$AL$52</definedName>
    <definedName name="NetWC_turns_fore">[11]Data_Download!$E$77:$K$77</definedName>
    <definedName name="Neurontin">'[2]5 yr Sales and Earnings'!$A$14:$AA$14</definedName>
    <definedName name="new"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stone">{"Client Name or Project Name"}</definedName>
    <definedName name="newstone1">{"Client Name or Project Name"}</definedName>
    <definedName name="NextYearEPS" localSheetId="18">IndexInformation!$B$13</definedName>
    <definedName name="NextYearTotalRevenue" localSheetId="18">IndexInformation!$B$12</definedName>
    <definedName name="NextYearTotalRevenueActual" localSheetId="18">IndexInformation!$B$33</definedName>
    <definedName name="NIBCLs">[11]Data_Download!$C$24:$AE$24</definedName>
    <definedName name="Non_Operating_Income">'[2]5 yr Sales and Earnings'!$A$58:$AA$58</definedName>
    <definedName name="Non_Recurring_loss_gain">[11]Data_Download!$C$50:$AZ$50</definedName>
    <definedName name="NOPAT_DCF">[11]Data_Download!$C$12:$AZ$12</definedName>
    <definedName name="NOPAT_fore">[11]Data_Download!$E$29:$G$29</definedName>
    <definedName name="NOPAT_growth">[11]Data_Download!$C$144:$AU$144</definedName>
    <definedName name="NOPAT_margin">[11]Data_Download!$C$112:$AU$112</definedName>
    <definedName name="NOPAT_margin_fore">[11]Data_Download!$H$54:$K$54</definedName>
    <definedName name="NOPBT">[11]Data_Download!$C$32:$AU$32</definedName>
    <definedName name="NOPBT_fore">[11]Data_Download!$E$27:$V$27</definedName>
    <definedName name="Norm_forecast_11_15">[11]Data_Download!$J$8:$J$224</definedName>
    <definedName name="Norm_forecast_16_25">[11]Data_Download!$K:$K</definedName>
    <definedName name="Norm_forecast_4_5">[11]Data_Download!$H$8:$H$224</definedName>
    <definedName name="Norm_forecast_6_10">[11]Data_Download!$I$8:$I$224</definedName>
    <definedName name="Norvasc">'[2]5 yr Sales and Earnings'!$A$7:$AA$7</definedName>
    <definedName name="NOVZ_NtDbt98">'[39]Balance Sheet'!$D$42</definedName>
    <definedName name="NPT_1">[11]Data_Download!$P:$P</definedName>
    <definedName name="NPT_10">[11]Data_Download!$G:$G</definedName>
    <definedName name="NPT_11">[11]Data_Download!$F:$F</definedName>
    <definedName name="NPT_12">[11]Data_Download!$E:$E</definedName>
    <definedName name="NPT_13">[11]Data_Download!$D:$D</definedName>
    <definedName name="NPT_14">[11]Data_Download!$C:$C</definedName>
    <definedName name="NPT_2">[11]Data_Download!$O:$O</definedName>
    <definedName name="NPT_3">[11]Data_Download!$N:$N</definedName>
    <definedName name="NPT_4">[11]Data_Download!$M:$M</definedName>
    <definedName name="NPT_5">[11]Data_Download!$L:$L</definedName>
    <definedName name="NPT_6">[11]Data_Download!$K:$K</definedName>
    <definedName name="NPT_7">[11]Data_Download!$J:$J</definedName>
    <definedName name="NPT_8">[11]Data_Download!$I:$I</definedName>
    <definedName name="NPT_9">[11]Data_Download!$H:$H</definedName>
    <definedName name="NPT_EY1">[11]Data_Download!$R:$R</definedName>
    <definedName name="NPT_EY2">[11]Data_Download!$S:$S</definedName>
    <definedName name="NPT_EY3">[11]Data_Download!$T:$T</definedName>
    <definedName name="NPT_P">[11]Data_Download!$Q:$Q</definedName>
    <definedName name="o">'[12]Qtr Sales'!$CV$2:$DP$127</definedName>
    <definedName name="ObjectType" localSheetId="18">IndexInformation!$B$37</definedName>
    <definedName name="ObjectType">[33]IndexInformation!$B$37</definedName>
    <definedName name="Off_B_S_Income">[11]Data_Download!$C$7:$AZ$7</definedName>
    <definedName name="Off_B_S_Income_DCF">[11]Data_Download!$C$8:$BZ$8</definedName>
    <definedName name="Off_B_S_Income_fore">[11]Data_Download!$E$6:$Z$6</definedName>
    <definedName name="Off_B_S_Income_growth_fore">[11]Data_Download!$H$52:$K$52</definedName>
    <definedName name="OL_1">[11]Data_Download!$AD:$AD</definedName>
    <definedName name="OL_10">[11]Data_Download!$L:$L</definedName>
    <definedName name="OL_11">[11]Data_Download!$J:$J</definedName>
    <definedName name="OL_12">[11]Data_Download!$H:$H</definedName>
    <definedName name="OL_13">[11]Data_Download!$F:$F</definedName>
    <definedName name="OL_14">[11]Data_Download!$D:$D</definedName>
    <definedName name="OL_2">[11]Data_Download!$AB:$AB</definedName>
    <definedName name="OL_3">[11]Data_Download!$Z:$Z</definedName>
    <definedName name="OL_4">[11]Data_Download!$X:$X</definedName>
    <definedName name="OL_5">[11]Data_Download!$V:$V</definedName>
    <definedName name="OL_6">[11]Data_Download!$T:$T</definedName>
    <definedName name="OL_7">[11]Data_Download!$R:$R</definedName>
    <definedName name="OL_8">[11]Data_Download!$P:$P</definedName>
    <definedName name="OL_9">[11]Data_Download!$N:$N</definedName>
    <definedName name="OL_P">[11]Data_Download!$AF:$AF</definedName>
    <definedName name="Operating_Expenses">[11]Data_Download!$C$15:$AZ$15</definedName>
    <definedName name="Operating_Income">'[2]5 yr Sales and Earnings'!$A$57:$AA$57</definedName>
    <definedName name="Operating_income_fore">[11]Data_Download!$E$13:$G$13</definedName>
    <definedName name="Operating_Lease_Expense">[11]Data_Download!$C$23:$AZ$23</definedName>
    <definedName name="Operating_Lease_Expense_fore">[11]Data_Download!$E$22:$Z$22</definedName>
    <definedName name="Operating_margin">'[2]5 yr Sales and Earnings'!$A$84:$AA$84</definedName>
    <definedName name="Operating_Profit">'[2]5 yr Sales and Earnings'!$A$97:$AA$97</definedName>
    <definedName name="Other">[11]Data_Download!$C$45:$AU$45</definedName>
    <definedName name="Other_asset_turns">[11]Data_Download!$A$101:$Z$101</definedName>
    <definedName name="Other_asset_turns_DCF">[11]Data_Download!$C$82:$AZ$82</definedName>
    <definedName name="Other_asset_turns_fore">[11]Data_Download!$B$79:$K$79</definedName>
    <definedName name="Other_assets">[11]Data_Download!$C$45:$AU$45</definedName>
    <definedName name="Other_assets_DCF">[11]Data_Download!$C$76:$AZ$76</definedName>
    <definedName name="Other_Assets2">[11]Data_Download!$C$46:$AZ$46</definedName>
    <definedName name="Other_current_assets">[11]Data_Download!$C$12:$AE$12</definedName>
    <definedName name="Other_current_assets_growth_fore">[11]Data_Download!$H$149:$K$149</definedName>
    <definedName name="Other_Current_Assets2">[11]Data_Download!$C$14:$AZ$14</definedName>
    <definedName name="Other_current_liabilities">[11]Data_Download!$C$22:$AU$22</definedName>
    <definedName name="Other_current_liabilities_growth_fore">[11]Data_Download!$H$155:$K$155</definedName>
    <definedName name="Other_Current_Liabilities2">[11]Data_Download!$C$23:$AZ$23</definedName>
    <definedName name="Other_DCF">[11]Data_Download!$C$76:$AZ$76</definedName>
    <definedName name="Other_Expenses">[11]Data_Download!$C$59:$AZ$59</definedName>
    <definedName name="Other_Expenses_fore">[11]Data_Download!$E$35:$G$35</definedName>
    <definedName name="Other_expenses_gains">[11]Data_Download!$C$14:$AZ$14</definedName>
    <definedName name="Other_expenses_gains_fore">[11]Data_Download!$E$12:$G$12</definedName>
    <definedName name="Other_expenses_growth_fore">[11]Data_Download!$H$172:$K$172</definedName>
    <definedName name="Other_fixed_asset_turns">[11]Data_Download!$C$100:$AU$100</definedName>
    <definedName name="Other_fixed_asset_turns_fore">[11]Data_Download!$H$131:$K$131</definedName>
    <definedName name="Other_fixed_assets">[11]Data_Download!$D$41:$AU$41</definedName>
    <definedName name="Other_fixed_assets_growth_fore">[11]Data_Download!$H$158:$K$158</definedName>
    <definedName name="Other_fixed_assets2">[11]Data_Download!$C$42:$AZ$42</definedName>
    <definedName name="Other_growth_fore">[11]Data_Download!$H$166:$K$166</definedName>
    <definedName name="Other_inc_exp_fore">[11]Data_Download!$E$34:$M$34</definedName>
    <definedName name="Other_Income">[11]Data_Download!$C$58:$AZ$58</definedName>
    <definedName name="Other_income_growth_fore">[11]Data_Download!$H$173:$K$173</definedName>
    <definedName name="Other_Intangible_Assets">[11]Data_Download!$C$38:$AZ$38</definedName>
    <definedName name="Other_liabilities">[11]Data_Download!$C$72:$AE$72</definedName>
    <definedName name="Other_liabilities_growth_fore">[11]Data_Download!$H$168:$K$168</definedName>
    <definedName name="Other_liabilities2">[11]Data_Download!$C$73:$AZ$73</definedName>
    <definedName name="Other_LT_Debt">[11]Data_Download!$C$60:$AZ$60</definedName>
    <definedName name="Other_ncome_expenses">[11]Data_Download!$C$58:$AZ$58</definedName>
    <definedName name="Other_New_Pharmaceuticals">'[2]5 yr Sales and Earnings'!$A$43:$AA$43</definedName>
    <definedName name="Other_Pharmaceuticals">'[2]5 yr Sales and Earnings'!$A$36:$AA$36</definedName>
    <definedName name="Other_reserves">[11]Data_Download!$C$11:$AZ$11</definedName>
    <definedName name="Other_ST_Debt">[11]Data_Download!$C$56:$AZ$56</definedName>
    <definedName name="over_15_years">0.1</definedName>
    <definedName name="p">'[12]Qtr Sales'!$DR$2:$EK$127</definedName>
    <definedName name="P_L_2003_2005E___millions____Assume__4.0_billion_Cost_Savings_From_PHA_Merger">'[2]5 yr Sales and Earnings'!$A$113:$AA$113</definedName>
    <definedName name="PANA" localSheetId="19">ModPubIndex!$A$11</definedName>
    <definedName name="Partial_year">[11]Data_Download!$K$12</definedName>
    <definedName name="PathName" localSheetId="18">IndexInformation!$B$25</definedName>
    <definedName name="PERCENT_CHANGE">[11]Data_Download!$A$40:$C$63</definedName>
    <definedName name="Pharma_Sales">'[2]5 yr Sales and Earnings'!$A$89:$AA$89</definedName>
    <definedName name="PPnE_turns_fore">[11]Data_Download!$H$130:$K$130</definedName>
    <definedName name="Pre_Tax_Income">'[2]5 yr Sales and Earnings'!$A$59:$AA$59</definedName>
    <definedName name="Pre_tax_margin">'[2]5 yr Sales and Earnings'!$A$85:$AA$85</definedName>
    <definedName name="Pre_tax_profit">'[2]5 yr Sales and Earnings'!$A$98:$AA$98</definedName>
    <definedName name="Preferred_book_value">[11]Data_Download!$D$15</definedName>
    <definedName name="Preferred_Dividends">[11]Data_Download!$C$61:$AZ$61</definedName>
    <definedName name="Preferred_stock">[11]Data_Download!$C$81:$AE$81</definedName>
    <definedName name="Preferred_stock_growth_fore">[11]Data_Download!$H$171:$K$171</definedName>
    <definedName name="Pregabalin">'[2]5 yr Sales and Earnings'!$A$19:$AA$19</definedName>
    <definedName name="Present_Value_Oper_lease">[11]Data_Download!$C$62:$AW$62</definedName>
    <definedName name="Pretax_income">[11]Data_Download!$C$90:$AE$90</definedName>
    <definedName name="Pretax_income_fore">[11]Data_Download!$E$36:$Z$36</definedName>
    <definedName name="PrimaryShares2003">[17]Annual!$X$40</definedName>
    <definedName name="PrimaryShares2004">[17]Annual!$Z$40</definedName>
    <definedName name="PrimaryShares2005">[17]Annual!$AB$40</definedName>
    <definedName name="print">'[40]Old Model'!$BY$3:$CH$61,'[40]Old Model'!$BY$64:$CH$120,'[40]Old Model'!$BO$3:$BX$61,'[40]Old Model'!$BO$64:$BX$120,'[40]Old Model'!$CI$3:$CR$61,'[40]Old Model'!$CI$64:$CR$120,'[40]Old Model'!$L$128:$W$188,'[40]Old Model'!$L$205:$W$256,'[40]Old Model'!$B$263:$K$315,'[40]Old Model'!$B$323:$K$375,'[40]Old Model'!$B$385:$K$438</definedName>
    <definedName name="PRODUCT" localSheetId="19">ModPubIndex!$A$6</definedName>
    <definedName name="ProjectName">{"BU Name or Client/Project Name"}</definedName>
    <definedName name="pronames">{"Client Name or Project Name"}</definedName>
    <definedName name="PSYM" localSheetId="19">ModPubIndex!$A$4</definedName>
    <definedName name="PublishDate" localSheetId="18">IndexInformation!$B$2</definedName>
    <definedName name="PV_of_Economic_Profit">[11]Data_Download!$C$49:$BZ$49</definedName>
    <definedName name="PV_of_FCF">[11]Data_Download!$C$26:$AZ$26</definedName>
    <definedName name="PV_of_Residual_Value">[11]Data_Download!$C$30:$AZ$30</definedName>
    <definedName name="PV_Oper_lease">[11]Data_Download!$C$62:$AW$62</definedName>
    <definedName name="PVGO">[11]Data_Download!$C$10</definedName>
    <definedName name="q" hidden="1">'[12]Qtr Sales'!$EM$2:$FJ$127</definedName>
    <definedName name="Q1_00">[3]IS!$AE$7:$AE$39</definedName>
    <definedName name="Q1_97">[3]IS!$K$7:$K$38</definedName>
    <definedName name="Q1_98">[3]IS!$Q$7:$Q$38</definedName>
    <definedName name="Q1_99">[3]IS!$X$7:$X$38</definedName>
    <definedName name="Q2_00">[3]IS!$AF$7:$AF$39</definedName>
    <definedName name="Q2_97">[3]IS!$L$7:$L$38</definedName>
    <definedName name="Q2_98">[3]IS!$R$7:$R$38</definedName>
    <definedName name="Q2_99">[3]IS!$Y$7:$Y$38</definedName>
    <definedName name="Q3_00">[3]IS!$AG$7:$AG$39</definedName>
    <definedName name="Q3_97">[3]IS!$M$7:$M$38</definedName>
    <definedName name="Q3_98">[3]IS!$S$7:$S$38</definedName>
    <definedName name="Q3_99">[3]IS!$Z$7:$Z$38</definedName>
    <definedName name="Q4_00">[3]IS!$AH$7:$AH$39</definedName>
    <definedName name="Q4_97">[3]IS!$N$7:$N$38</definedName>
    <definedName name="Q4_98">[3]IS!$T$7:$T$38</definedName>
    <definedName name="Q4_99">[3]IS!$AA$7:$AA$38</definedName>
    <definedName name="QINC1">'[31]Qtr Income'!$A$1:$X$214</definedName>
    <definedName name="QMARGIN">'[31] Qtr Margin'!$A$1:$O$110</definedName>
    <definedName name="QSALES1">'[31]Qtr Sales'!$A$1:$AO$179</definedName>
    <definedName name="QSALES2">'[31]Qtr Sales'!$AU$1:$CA$179</definedName>
    <definedName name="QSALES3">'[41]Qrt Sales'!$BZ$3:$DV$113</definedName>
    <definedName name="Qsales3wla">'[42]PFE 2 Qtr Salessolo'!$J$1:$Q$107</definedName>
    <definedName name="QSALES4">'[41]Qrt Sales'!$DX$3:$EL$113</definedName>
    <definedName name="Qsales4wla">'[42]PFE 2 Qtr Salessolo'!$R$1:$T$107</definedName>
    <definedName name="QSALESCHG">'[14]QTR-SALES'!$A$68:$O$126</definedName>
    <definedName name="Qsaleswla">'[42]PFE 2 Qtr Salessolo'!$A$1:$I$107</definedName>
    <definedName name="R_D_Amortization">[11]Data_Download!$C$31:$AU$31</definedName>
    <definedName name="R_D_Capzed">[11]Data_Download!$C$21:$Z$21</definedName>
    <definedName name="R_D_ex._Cost_savings">'[2]5 yr Sales and Earnings'!$A$127:$AA$127</definedName>
    <definedName name="R_D_expense">[11]Data_Download!$C$28:$AZ$28</definedName>
    <definedName name="R_D_expense_IS">[11]Data_Download!$C$13:$AZ$13</definedName>
    <definedName name="Ranking_of_Product_Revenues">'[2]5 yr Sales and Earnings'!$A$130:$AA$130</definedName>
    <definedName name="Rating" localSheetId="1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pax">'[2]5 yr Sales and Earnings'!$A$18:$AA$18</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ported_EPS">'[2]5 yr Sales and Earnings'!$A$78:$AA$78</definedName>
    <definedName name="Required_cash">[11]Data_Download!$C$6:$AU$6</definedName>
    <definedName name="Required_cash_percent">[11]Data_Download!$A$9</definedName>
    <definedName name="ResearchTopic" localSheetId="18">IndexInformation!$B$4</definedName>
    <definedName name="Residual_Value">[11]Data_Download!$C$29:$AZ$29</definedName>
    <definedName name="Restructuirng_Charges">'[2]5 yr Sales and Earnings'!$A$65:$AA$65</definedName>
    <definedName name="Restructuring_charges_growth_fore">[11]Data_Download!$H$165:$K$165</definedName>
    <definedName name="RIC" localSheetId="18">IndexInformation!$B$21</definedName>
    <definedName name="RIsk_free_30yr_Treas">[11]Data_Download!$D$47:$S$47</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RnD_expense">[11]Data_Download!$C$28:$AZ$28</definedName>
    <definedName name="RnD_expense_fore">[11]Data_Download!$E$11:$X$11</definedName>
    <definedName name="RnD_expense_growth_fore">[11]Data_Download!$H$156:$K$156</definedName>
    <definedName name="RnD_expenses_fore">[11]Data_Download!$E$11:$X$11</definedName>
    <definedName name="Roflumilast">'[2]5 yr Sales and Earnings'!$A$39:$AA$39</definedName>
    <definedName name="ROIC_DCF">[11]Data_Download!$C$44:$BZ$44</definedName>
    <definedName name="ROIC_WACC">[11]Data_Download!$C$46:$AZ$46</definedName>
    <definedName name="RORIC__3_yr_rolling">[11]Data_Download!$C$92:$BZ$92</definedName>
    <definedName name="ROYAL1">'[14]FEES-R&amp;D'!$A$1:$L$59</definedName>
    <definedName name="ROYAL2">'[14]FEES-R&amp;D'!$A$62:$K$124</definedName>
    <definedName name="S_T_obligations_under_cap_leases">[11]Data_Download!$C$55:$AU$55</definedName>
    <definedName name="sadf">'[10]Qrt Sales'!$AO$3:$BT$133</definedName>
    <definedName name="Sales_growth">[11]Data_Download!$C$140:$AU$140</definedName>
    <definedName name="Sales_growth_avg">[11]Data_Download!$B$53</definedName>
    <definedName name="Sales_of_Products">'[2]5 yr Sales and Earnings'!$A$101:$AA$101</definedName>
    <definedName name="SECSettlement" localSheetId="0">ImportantDisclosures!#REF!</definedName>
    <definedName name="SEDOL" localSheetId="18">IndexInformation!$B$22</definedName>
    <definedName name="Segment1_income">[11]Data_Download!$C$5:$AZ$5</definedName>
    <definedName name="Segment1_income_DCF">[11]Data_Download!$C$6:$BZ$6</definedName>
    <definedName name="Segment1_income_fore">[11]Data_Download!$E$4:$G$4</definedName>
    <definedName name="Segment1_income_growth_fore">[11]Data_Download!$H$50:$K$50</definedName>
    <definedName name="Segment2_income">[11]Data_Download!$C$6:$AZ$6</definedName>
    <definedName name="Segment2_income_DCF">[11]Data_Download!$C$7:$BZ$7</definedName>
    <definedName name="Segment2_income_fore">[11]Data_Download!$E$5:$G$5</definedName>
    <definedName name="Segment2_income_growth_fore">[11]Data_Download!$H$51:$K$51</definedName>
    <definedName name="sencount" hidden="1">1</definedName>
    <definedName name="sf">'[10]Qtr Margin'!$A$1:$O$77</definedName>
    <definedName name="SG_A_ex._cost_savings">'[2]5 yr Sales and Earnings'!$A$125:$AA$125</definedName>
    <definedName name="SGA">[11]Data_Download!$C$12:$AE$12</definedName>
    <definedName name="SGA_fore">[11]Data_Download!$E$10:$X$10</definedName>
    <definedName name="SGA_growth_avg">[11]Data_Download!$B$141</definedName>
    <definedName name="SGA_growth_fore">[11]Data_Download!$H$53:$K$53</definedName>
    <definedName name="SGA_margin">[11]Data_Download!$C$114:$AU$114</definedName>
    <definedName name="Shareholder_value">[11]Data_Download!$C$36:$AB$36</definedName>
    <definedName name="Shareholder_Value_EVA">[11]Data_Download!$C$61:$BZ$61</definedName>
    <definedName name="Shareholders_equity">[11]Data_Download!$C$78:$AE$78</definedName>
    <definedName name="Shares">'[2]5 yr Sales and Earnings'!$A$76:$AA$76</definedName>
    <definedName name="Shares_DCF">[11]Data_Download!$C$37:$AZ$37</definedName>
    <definedName name="Shares_fore">[11]Data_Download!$E$41:$W$41</definedName>
    <definedName name="Shares_growth">[11]Data_Download!$M$151:$Q$151</definedName>
    <definedName name="Shares_growth_fore">[11]Data_Download!$E$59:$W$59</definedName>
    <definedName name="Smoking_Cessation_Drug">'[2]5 yr Sales and Earnings'!$A$42:$AA$42</definedName>
    <definedName name="solver_cvg" localSheetId="12" hidden="1">0.0001</definedName>
    <definedName name="solver_cvg" localSheetId="9" hidden="1">0.0001</definedName>
    <definedName name="solver_drv" localSheetId="12" hidden="1">1</definedName>
    <definedName name="solver_drv" localSheetId="9" hidden="1">1</definedName>
    <definedName name="solver_est" localSheetId="12" hidden="1">1</definedName>
    <definedName name="solver_est" localSheetId="9" hidden="1">1</definedName>
    <definedName name="solver_itr" localSheetId="12" hidden="1">100</definedName>
    <definedName name="solver_itr" localSheetId="9" hidden="1">100</definedName>
    <definedName name="solver_lin" localSheetId="12" hidden="1">2</definedName>
    <definedName name="solver_lin" localSheetId="9" hidden="1">2</definedName>
    <definedName name="solver_neg" localSheetId="12" hidden="1">2</definedName>
    <definedName name="solver_neg" localSheetId="9" hidden="1">2</definedName>
    <definedName name="solver_num" localSheetId="12" hidden="1">0</definedName>
    <definedName name="solver_num" localSheetId="9" hidden="1">0</definedName>
    <definedName name="solver_nwt" localSheetId="12" hidden="1">1</definedName>
    <definedName name="solver_nwt" localSheetId="9" hidden="1">1</definedName>
    <definedName name="solver_pre" localSheetId="12" hidden="1">0.000001</definedName>
    <definedName name="solver_pre" localSheetId="9" hidden="1">0.000001</definedName>
    <definedName name="solver_scl" localSheetId="12" hidden="1">2</definedName>
    <definedName name="solver_scl" localSheetId="9" hidden="1">2</definedName>
    <definedName name="solver_sho" localSheetId="12" hidden="1">2</definedName>
    <definedName name="solver_sho" localSheetId="9" hidden="1">2</definedName>
    <definedName name="solver_tim" localSheetId="12" hidden="1">100</definedName>
    <definedName name="solver_tim" localSheetId="9" hidden="1">100</definedName>
    <definedName name="solver_tol" localSheetId="12" hidden="1">0.05</definedName>
    <definedName name="solver_tol" localSheetId="9" hidden="1">0.05</definedName>
    <definedName name="solver_typ" localSheetId="12" hidden="1">3</definedName>
    <definedName name="solver_typ" localSheetId="9" hidden="1">3</definedName>
    <definedName name="solver_val" localSheetId="12" hidden="1">56324</definedName>
    <definedName name="solver_val" localSheetId="9" hidden="1">56324</definedName>
    <definedName name="SourceDefined" localSheetId="0">ImportantDisclosures!$A$19</definedName>
    <definedName name="Spread_on_debt">[11]Data_Download!$D$49:$S$49</definedName>
    <definedName name="ST_debt">[11]Data_Download!$C$54:$AE$54</definedName>
    <definedName name="ST_debt_growth_fore">[11]Data_Download!$H$159:$K$159</definedName>
    <definedName name="Staightline_charge">[11]Data_Download!$C$29:$AU$29</definedName>
    <definedName name="Stock_price">[11]Data_Download!$B$9</definedName>
    <definedName name="Stock_price_close">[11]Data_Download!$C$54:$AZ$54</definedName>
    <definedName name="Stock_price_high">[11]Data_Download!$C$27:$AY$27</definedName>
    <definedName name="Stock_price_low">[11]Data_Download!$C$28:$AY$28</definedName>
    <definedName name="StockRating" localSheetId="0">ImportantDisclosures!$A$11</definedName>
    <definedName name="SubjectCode" localSheetId="18">IndexInformation!$B$6</definedName>
    <definedName name="SubmissionData">[43]RAPID2!$C$1:$J$99</definedName>
    <definedName name="SubmitterUserId" localSheetId="18">IndexInformation!$B$39</definedName>
    <definedName name="SubmitterUserId">[33]IndexInformation!$B$39</definedName>
    <definedName name="Summary_1">[11]Data_Download!$F:$F</definedName>
    <definedName name="Summary_1991">[11]Data_Download!$C$25:$C$106</definedName>
    <definedName name="Summary_1992">[11]Data_Download!$D$25:$D$106</definedName>
    <definedName name="Summary_1993">[11]Data_Download!$E$25:$E$106</definedName>
    <definedName name="Summary_1994">[11]Data_Download!$F$25:$F$106</definedName>
    <definedName name="Summary_1995">[11]Data_Download!$G$25:$G$106</definedName>
    <definedName name="Summary_1996">[11]Data_Download!$H$25:$H$106</definedName>
    <definedName name="Summary_1997">[11]Data_Download!$I$25:$I$106</definedName>
    <definedName name="Summary_2">[11]Data_Download!$E:$E</definedName>
    <definedName name="Summary_3">[11]Data_Download!$D:$D</definedName>
    <definedName name="Summary_4">[11]Data_Download!$C:$C</definedName>
    <definedName name="Summary_EY1">[11]Data_Download!$H:$H</definedName>
    <definedName name="Summary_EY2">[11]Data_Download!$I:$I</definedName>
    <definedName name="Summary_I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P">[11]Data_Download!$G:$G</definedName>
    <definedName name="SUPPRESSED" localSheetId="19">ModPubIndex!$A$13</definedName>
    <definedName name="Table_10">'[44]SEARLE - SALES'!$B$1:$AJ$82</definedName>
    <definedName name="Tarceva.new">{"Client Name or Project Name"}</definedName>
    <definedName name="Target_debt_to_capital">[11]Data_Download!$E$72:$L$72</definedName>
    <definedName name="TargetPrice" localSheetId="0">ImportantDisclosures!$A$15</definedName>
    <definedName name="Tax_benefit_from_interest">[11]Data_Download!$C$36:$AU$36</definedName>
    <definedName name="Tax_benefit_from_oper_leases">[11]Data_Download!AO1:XEV1</definedName>
    <definedName name="Tax_benefit_from_ops_leases">[11]Data_Download!$C$37:$AZ$37</definedName>
    <definedName name="Tax_Shield_Tax_Rate">[11]Data_Download!$A$33</definedName>
    <definedName name="TemplateRegion" localSheetId="18">IndexInformation!$B$36</definedName>
    <definedName name="TemplateRegion">[33]IndexInformation!$B$36</definedName>
    <definedName name="Ticker" localSheetId="0">ImportantDisclosures!$A$10</definedName>
    <definedName name="TickerRegion">IndexInformation!$B$41</definedName>
    <definedName name="Tickers" localSheetId="18">IndexInformation!$B$19</definedName>
    <definedName name="tones">{"Client Name or Project Name"}</definedName>
    <definedName name="Total_amort_fore">[11]Data_Download!$E$18:$M$18</definedName>
    <definedName name="Total_Amortization">[11]Data_Download!$C$18:$AZ$18</definedName>
    <definedName name="Total_Amortization_fore">[11]Data_Download!$E$15:$G$15</definedName>
    <definedName name="Total_COS">[11]Data_Download!$C$9:$AZ$9</definedName>
    <definedName name="Total_COS_fore">[11]Data_Download!$E$8:$W$8</definedName>
    <definedName name="Total_COS_growth_fore">[11]Data_Download!$H$142:$K$142</definedName>
    <definedName name="Total_COS_net_DnA">[11]Data_Download!$C$103:$AZ$103</definedName>
    <definedName name="Total_debt">[11]Data_Download!$C$61:$AU$61</definedName>
    <definedName name="Total_debt_DCF">[11]Data_Download!$C$35:$AZ$35</definedName>
    <definedName name="Total_debt_fore">[11]Data_Download!$E$46:$W$46</definedName>
    <definedName name="Total_debt_growth_fore">[11]Data_Download!$E$58:$W$58</definedName>
    <definedName name="Total_increase_in_EEs">[11]Data_Download!$C$55:$AZ$55</definedName>
    <definedName name="Total_Increase_in_EEs_fore">[11]Data_Download!$B$26:$AX$26</definedName>
    <definedName name="Total_New_Pharmaceuticals">'[2]5 yr Sales and Earnings'!$A$44:$AA$44</definedName>
    <definedName name="Total_other_assets">[11]Data_Download!$C$47:$Z$47</definedName>
    <definedName name="Total_Prescriptions">'[45]MS Week2'!$A$3:$D$4</definedName>
    <definedName name="total_Rx_growth">'[45]MS Week2'!$K$5:$O$15</definedName>
    <definedName name="trc_XLS_DATASHEET_ProtectDate">35417.7656018519</definedName>
    <definedName name="UpdateReason" localSheetId="18">IndexInformation!$B$17</definedName>
    <definedName name="USRegDisclosures" localSheetId="0">ImportantDisclosures!#REF!</definedName>
    <definedName name="Value_of_Firm">[11]Data_Download!$C$58:$BZ$58</definedName>
    <definedName name="Value_of_Unconsol._Subs">[11]Data_Download!$C$34:$AZ$34</definedName>
    <definedName name="Value_per_share">[11]Data_Download!$C$39:$AZ$39</definedName>
    <definedName name="Vfend">'[2]5 yr Sales and Earnings'!$A$27:$AA$27</definedName>
    <definedName name="Viagra">'[2]5 yr Sales and Earnings'!$A$28:$AA$28</definedName>
    <definedName name="Viracept">'[2]5 yr Sales and Earnings'!$A$25:$AA$25</definedName>
    <definedName name="WACC_1">[11]Data_Download!$Q$44</definedName>
    <definedName name="WACC_10">[11]Data_Download!$H$44</definedName>
    <definedName name="WACC_11">[11]Data_Download!$G$44</definedName>
    <definedName name="WACC_12">[11]Data_Download!$F$44</definedName>
    <definedName name="WACC_13">[11]Data_Download!$E$44</definedName>
    <definedName name="WACC_14">[11]Data_Download!$D$44</definedName>
    <definedName name="WACC_4">[11]Data_Download!$N$44</definedName>
    <definedName name="WACC_5">[11]Data_Download!$M$44</definedName>
    <definedName name="WACC_6">[11]Data_Download!$L$44</definedName>
    <definedName name="WACC_7">[11]Data_Download!$K$44</definedName>
    <definedName name="WACC_8">[11]Data_Download!$J$44</definedName>
    <definedName name="WACC_9">[11]Data_Download!$I$44</definedName>
    <definedName name="WACC_fore">[11]Data_Download!$S$44</definedName>
    <definedName name="WACC_P">[11]Data_Download!$R$44</definedName>
    <definedName name="WACC_P_1">[11]Data_Download!$U$23</definedName>
    <definedName name="WACC_P_10">[11]Data_Download!$U$11</definedName>
    <definedName name="WACC_P_11">[11]Data_Download!$U$10</definedName>
    <definedName name="WACC_P_12">[11]Data_Download!$U$9</definedName>
    <definedName name="WACC_P_13">[11]Data_Download!$U$8</definedName>
    <definedName name="WACC_P_14">[11]Data_Download!$U$7</definedName>
    <definedName name="WACC_P_2">[11]Data_Download!$U$19</definedName>
    <definedName name="WACC_P_3">[11]Data_Download!$U$18</definedName>
    <definedName name="WACC_P_4">[11]Data_Download!$U$17</definedName>
    <definedName name="WACC_P_5">[11]Data_Download!$U$16</definedName>
    <definedName name="WACC_P_6">[11]Data_Download!$U$15</definedName>
    <definedName name="WACC_P_7">[11]Data_Download!$U$14</definedName>
    <definedName name="WACC_P_9">[11]Data_Download!$U$12</definedName>
    <definedName name="wrn.AGN._.MODELS." hidden="1">{"QTRINC1",#N/A,FALSE,"QTRINC";"QTRINC2",#N/A,FALSE,"QTRINC";"QTRSALES",#N/A,FALSE,"QTRSALES";"ANNSALES",#N/A,FALSE,"ANNSALES";"CASHFLOW",#N/A,FALSE,"CASHFLOW"}</definedName>
    <definedName name="wrn.AHP._.MODELS." hidden="1">{"QTRINC",#N/A,FALSE,"QTRINC";"MARGIN",#N/A,FALSE,"MARGIN";"CASHFLOW",#N/A,FALSE,"CASHFLOW"}</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asicModel." hidden="1">{"MacroCo",#N/A,FALSE,"masmode";"IncomeS",#N/A,FALSE,"masmode";"BalanceS",#N/A,FALSE,"masmode";"CashF",#N/A,FALSE,"masmode";"Ratios",#N/A,FALSE,"masmode";"DebtFC",#N/A,FALSE,"masmode"}</definedName>
    <definedName name="wrn.Biogen._.model." localSheetId="12" hidden="1">{#N/A,#N/A,FALSE,"Inc";#N/A,#N/A,FALSE,"QInc";#N/A,#N/A,FALSE,"Pro";#N/A,#N/A,FALSE,"QPro"}</definedName>
    <definedName name="wrn.Biogen._.model." localSheetId="9" hidden="1">{#N/A,#N/A,FALSE,"Inc";#N/A,#N/A,FALSE,"QInc";#N/A,#N/A,FALSE,"Pro";#N/A,#N/A,FALSE,"QPro"}</definedName>
    <definedName name="wrn.Biogen._.model." hidden="1">{#N/A,#N/A,FALSE,"Inc";#N/A,#N/A,FALSE,"QInc";#N/A,#N/A,FALSE,"Pro";#N/A,#N/A,FALSE,"QPro"}</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stat." hidden="1">{"ass",#N/A,FALSE,"finstat";"inc",#N/A,FALSE,"finstat";"bs",#N/A,FALSE,"finstat";"cf",#N/A,FALSE,"finstat";"ratios",#N/A,FALSE,"finstat"}</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Genentech._.Model." localSheetId="12" hidden="1">{#N/A,#N/A,FALSE,"Inc";#N/A,#N/A,FALSE,"Prod";#N/A,#N/A,FALSE,"QInc";#N/A,#N/A,FALSE,"QProd"}</definedName>
    <definedName name="wrn.Genentech._.Model." localSheetId="9" hidden="1">{#N/A,#N/A,FALSE,"Inc";#N/A,#N/A,FALSE,"Prod";#N/A,#N/A,FALSE,"QInc";#N/A,#N/A,FALSE,"QProd"}</definedName>
    <definedName name="wrn.Genentech._.Model." hidden="1">{#N/A,#N/A,FALSE,"Inc";#N/A,#N/A,FALSE,"Prod";#N/A,#N/A,FALSE,"QInc";#N/A,#N/A,FALSE,"QProd"}</definedName>
    <definedName name="wrn.inc." hidden="1">{"inc",#N/A,FALSE,"finstat"}</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nthlyunits." hidden="1">{"monthlyunits",#N/A,FALSE,"openings"}</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 hidden="1">{"quart",#N/A,FALSE,"quartfin"}</definedName>
    <definedName name="wrn.quartfin." hidden="1">{"quartfin",#N/A,FALSE,"quartfin"}</definedName>
    <definedName name="wrn.Report." hidden="1">{#N/A,#N/A,FALSE,"COVER";#N/A,#N/A,FALSE,"FORECAST";#N/A,#N/A,FALSE,"VALUATION";#N/A,#N/A,FALSE,"FY ANALYSIS ";#N/A,#N/A,FALSE," HY ANALYSIS"}</definedName>
    <definedName name="wrn.salesassum." hidden="1">{"Salesass",#N/A,FALSE,"assumpt"}</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Short._.Report." hidden="1">{"short1",#N/A,FALSE,"masmode";"short2",#N/A,FALSE,"masmode";"qtrres",#N/A,FALSE,"QTR. RES.";"sales",#N/A,FALSE,"Sales &amp; Market Share"}</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WLAVARIANCEANALYSIS." hidden="1">{"INCOME STATEMENT",#N/A,FALSE,"IS";"WWSALES",#N/A,FALSE,"WWSALES";"USSALES",#N/A,FALSE,"USSALES";"INTLSALES",#N/A,FALSE,"INTLSALES"}</definedName>
    <definedName name="Xalatan">'[2]5 yr Sales and Earnings'!$A$30:$AA$30</definedName>
    <definedName name="Xanax">'[2]5 yr Sales and Earnings'!$A$15:$AA$15</definedName>
    <definedName name="Years_in_full_stream">[11]Data_Download!$C$15:$AX$15</definedName>
    <definedName name="Years_into_future">[11]Data_Download!$C$41:$AZ$41</definedName>
    <definedName name="Zithromax">'[2]5 yr Sales and Earnings'!$A$23:$AA$23</definedName>
    <definedName name="Zoloft">'[2]5 yr Sales and Earnings'!$A$13:$AA$13</definedName>
    <definedName name="Zyrtec">'[2]5 yr Sales and Earnings'!$A$34:$AA$34</definedName>
    <definedName name="Zyrtec_Reactine">'[2]5 yr Sales and Earnings'!$A$34:$AA$34</definedName>
    <definedName name="Zyvox">'[2]5 yr Sales and Earnings'!$A$26:$AA$26</definedName>
  </definedNames>
  <calcPr calcId="145621" iterate="1"/>
</workbook>
</file>

<file path=xl/calcChain.xml><?xml version="1.0" encoding="utf-8"?>
<calcChain xmlns="http://schemas.openxmlformats.org/spreadsheetml/2006/main">
  <c r="J75" i="50" l="1"/>
  <c r="CX106" i="5" l="1"/>
  <c r="CX105" i="5"/>
  <c r="CS106" i="5"/>
  <c r="CS105" i="5"/>
  <c r="CN106" i="5"/>
  <c r="CN105" i="5"/>
  <c r="CI106" i="5"/>
  <c r="CI105" i="5"/>
  <c r="CD106" i="5"/>
  <c r="CD105" i="5"/>
  <c r="BY106" i="5"/>
  <c r="BY105" i="5"/>
  <c r="BT106" i="5"/>
  <c r="BT105" i="5"/>
  <c r="BO106" i="5"/>
  <c r="BO105" i="5"/>
  <c r="BJ106" i="5"/>
  <c r="BJ105" i="5"/>
  <c r="BE106" i="5"/>
  <c r="BE105" i="5"/>
  <c r="AZ106" i="5"/>
  <c r="AZ105" i="5"/>
  <c r="J63" i="51" l="1"/>
  <c r="J57" i="51"/>
  <c r="J55" i="51"/>
  <c r="J52" i="51"/>
  <c r="J73" i="50"/>
  <c r="J71" i="50"/>
  <c r="J66" i="50"/>
  <c r="J64" i="50"/>
  <c r="J62" i="50"/>
  <c r="J60" i="50"/>
  <c r="J58" i="50"/>
  <c r="J56" i="50"/>
  <c r="J34" i="51"/>
  <c r="J31" i="51"/>
  <c r="J26" i="51"/>
  <c r="J10" i="51"/>
  <c r="J31" i="50"/>
  <c r="J23" i="50"/>
  <c r="J19" i="50"/>
  <c r="J14" i="50"/>
  <c r="AJ73" i="5" l="1"/>
  <c r="AJ86" i="5"/>
  <c r="AJ28" i="5"/>
  <c r="J5" i="52" l="1"/>
  <c r="DH2" i="5"/>
  <c r="AL23" i="5"/>
  <c r="AN23" i="5"/>
  <c r="AO23" i="5"/>
  <c r="AL82" i="5"/>
  <c r="AP82" i="5"/>
  <c r="AO82" i="5"/>
  <c r="AM82" i="5"/>
  <c r="AU82" i="5"/>
  <c r="AN82" i="5"/>
  <c r="AZ82" i="5"/>
  <c r="AL27" i="5" l="1"/>
  <c r="AM117" i="5"/>
  <c r="AN117" i="5" s="1"/>
  <c r="AM116" i="5"/>
  <c r="AN116" i="5" s="1"/>
  <c r="AM115" i="5"/>
  <c r="AL114" i="5"/>
  <c r="AL113" i="5" s="1"/>
  <c r="AM106" i="5"/>
  <c r="AN106" i="5" s="1"/>
  <c r="AM105" i="5"/>
  <c r="AN105" i="5" s="1"/>
  <c r="AM104" i="5"/>
  <c r="AM27" i="5" s="1"/>
  <c r="AM66" i="5"/>
  <c r="AN66" i="5" s="1"/>
  <c r="AM53" i="5"/>
  <c r="AN53" i="5" s="1"/>
  <c r="AO21" i="5"/>
  <c r="AN12" i="5"/>
  <c r="AM12" i="5"/>
  <c r="AL12" i="5"/>
  <c r="AB167" i="49"/>
  <c r="AC167" i="49" s="1"/>
  <c r="AD167" i="49" s="1"/>
  <c r="AE167" i="49" s="1"/>
  <c r="AD73" i="49"/>
  <c r="AC73" i="49"/>
  <c r="AC166" i="49" s="1"/>
  <c r="AB73" i="49"/>
  <c r="AE71" i="49"/>
  <c r="AB185" i="49"/>
  <c r="AC185" i="49" s="1"/>
  <c r="AD185" i="49" s="1"/>
  <c r="AE185" i="49" s="1"/>
  <c r="AB137" i="49"/>
  <c r="AC137" i="49" s="1"/>
  <c r="AD137" i="49" s="1"/>
  <c r="AE137" i="49" s="1"/>
  <c r="AC129" i="49"/>
  <c r="AD129" i="49" s="1"/>
  <c r="AE129" i="49" s="1"/>
  <c r="AB129" i="49"/>
  <c r="AD121" i="49"/>
  <c r="AE121" i="49" s="1"/>
  <c r="AC121" i="49"/>
  <c r="AB121" i="49"/>
  <c r="AL107" i="5"/>
  <c r="AL118" i="5" s="1"/>
  <c r="AM23" i="5"/>
  <c r="AM114" i="5" l="1"/>
  <c r="AM113" i="5" s="1"/>
  <c r="AN115" i="5"/>
  <c r="AN114" i="5" s="1"/>
  <c r="AN113" i="5" s="1"/>
  <c r="AN104" i="5"/>
  <c r="AN27" i="5" s="1"/>
  <c r="AM107" i="5"/>
  <c r="AM118" i="5" s="1"/>
  <c r="AB166" i="49"/>
  <c r="AD166" i="49"/>
  <c r="AN107" i="5" l="1"/>
  <c r="AN118" i="5" s="1"/>
  <c r="AH1" i="51" l="1"/>
  <c r="BC23" i="5"/>
  <c r="BB23" i="5"/>
  <c r="BD23" i="5"/>
  <c r="BA23" i="5"/>
  <c r="AH2" i="51" l="1"/>
  <c r="AU23" i="5"/>
  <c r="G49" i="51"/>
  <c r="D49" i="51"/>
  <c r="AZ23" i="5"/>
  <c r="F49" i="51"/>
  <c r="AP23" i="5"/>
  <c r="H49" i="51"/>
  <c r="E49" i="51"/>
  <c r="Y61" i="49" l="1"/>
  <c r="BH29" i="15"/>
  <c r="BH27" i="15"/>
  <c r="Y55" i="49"/>
  <c r="AD55" i="49" s="1"/>
  <c r="Y51" i="49"/>
  <c r="Y43" i="49"/>
  <c r="Y31" i="49"/>
  <c r="Y16" i="49"/>
  <c r="AK119" i="5"/>
  <c r="AK117" i="5"/>
  <c r="AK112" i="5"/>
  <c r="AK111" i="5"/>
  <c r="AK110" i="5"/>
  <c r="AJ109" i="5"/>
  <c r="AK106" i="5"/>
  <c r="AK105" i="5"/>
  <c r="AK104" i="5"/>
  <c r="AI27" i="5"/>
  <c r="AI114" i="5"/>
  <c r="AI113" i="5" l="1"/>
  <c r="AJ116" i="5"/>
  <c r="AK116" i="5" s="1"/>
  <c r="AJ115" i="5"/>
  <c r="AK115" i="5" s="1"/>
  <c r="AN14" i="5"/>
  <c r="AD56" i="49"/>
  <c r="AI85" i="5"/>
  <c r="AI86" i="5" s="1"/>
  <c r="AI75" i="5"/>
  <c r="AI109" i="5"/>
  <c r="AI28" i="5"/>
  <c r="CD226" i="5" l="1"/>
  <c r="BY226" i="5"/>
  <c r="CD225" i="5"/>
  <c r="BY225" i="5"/>
  <c r="AK213" i="5"/>
  <c r="AK219" i="5" s="1"/>
  <c r="AP211" i="5" l="1"/>
  <c r="AK216" i="5"/>
  <c r="X55" i="49"/>
  <c r="AC55" i="49" s="1"/>
  <c r="X51" i="49"/>
  <c r="X31" i="49"/>
  <c r="X16" i="49"/>
  <c r="X43" i="49"/>
  <c r="X25" i="49" l="1"/>
  <c r="X10" i="49"/>
  <c r="AM14" i="5"/>
  <c r="AC56" i="49"/>
  <c r="AP213" i="5"/>
  <c r="AH109" i="5"/>
  <c r="AH114" i="5"/>
  <c r="AH85" i="5"/>
  <c r="AH86" i="5" s="1"/>
  <c r="AH75" i="5"/>
  <c r="AH73" i="5"/>
  <c r="AH28" i="5"/>
  <c r="AP216" i="5" l="1"/>
  <c r="AU211" i="5"/>
  <c r="AP219" i="5"/>
  <c r="AH113" i="5"/>
  <c r="AU213" i="5" l="1"/>
  <c r="AU216" i="5" l="1"/>
  <c r="AZ211" i="5"/>
  <c r="AU219" i="5"/>
  <c r="AZ213" i="5" l="1"/>
  <c r="BE211" i="5" l="1"/>
  <c r="AZ216" i="5"/>
  <c r="AZ219" i="5"/>
  <c r="BE213" i="5" l="1"/>
  <c r="BE219" i="5" s="1"/>
  <c r="BE226" i="5" s="1"/>
  <c r="BE216" i="5" l="1"/>
  <c r="BE225" i="5" s="1"/>
  <c r="BJ211" i="5"/>
  <c r="BJ213" i="5" l="1"/>
  <c r="BJ216" i="5" l="1"/>
  <c r="BJ225" i="5" s="1"/>
  <c r="BO211" i="5"/>
  <c r="BJ219" i="5"/>
  <c r="BJ226" i="5" s="1"/>
  <c r="BO213" i="5" l="1"/>
  <c r="BO219" i="5" s="1"/>
  <c r="BO226" i="5" s="1"/>
  <c r="AP63" i="54"/>
  <c r="AQ63" i="54" s="1"/>
  <c r="AH44" i="54"/>
  <c r="AI44" i="54" s="1"/>
  <c r="AJ44" i="54" s="1"/>
  <c r="AK44" i="54" s="1"/>
  <c r="AL44" i="54" s="1"/>
  <c r="AM44" i="54" s="1"/>
  <c r="AN44" i="54" s="1"/>
  <c r="AO44" i="54" s="1"/>
  <c r="AG44" i="54"/>
  <c r="AF44" i="54"/>
  <c r="AD43" i="54"/>
  <c r="AC43" i="54"/>
  <c r="AB43" i="54"/>
  <c r="AA43" i="54"/>
  <c r="AO30" i="54"/>
  <c r="AN30" i="54"/>
  <c r="AM30" i="54"/>
  <c r="AL30" i="54"/>
  <c r="AK30" i="54"/>
  <c r="AJ30" i="54"/>
  <c r="AI30" i="54"/>
  <c r="AH30" i="54"/>
  <c r="AG30" i="54"/>
  <c r="AA16" i="54"/>
  <c r="K8" i="54"/>
  <c r="X7" i="54"/>
  <c r="W7" i="54"/>
  <c r="V7" i="54" s="1"/>
  <c r="U7" i="54" s="1"/>
  <c r="T7" i="54" s="1"/>
  <c r="S7" i="54" s="1"/>
  <c r="R7" i="54" s="1"/>
  <c r="Q7" i="54" s="1"/>
  <c r="P7" i="54" s="1"/>
  <c r="O7" i="54" s="1"/>
  <c r="N7" i="54" s="1"/>
  <c r="M7" i="54" s="1"/>
  <c r="L7" i="54" s="1"/>
  <c r="K7" i="54" s="1"/>
  <c r="J7" i="54" s="1"/>
  <c r="I7" i="54" s="1"/>
  <c r="H7" i="54" s="1"/>
  <c r="G7" i="54" s="1"/>
  <c r="F7" i="54" s="1"/>
  <c r="E7" i="54" s="1"/>
  <c r="D7" i="54" s="1"/>
  <c r="C7" i="54" s="1"/>
  <c r="Z7" i="54"/>
  <c r="AA7" i="54" s="1"/>
  <c r="AB7" i="54" s="1"/>
  <c r="AC7" i="54" s="1"/>
  <c r="AD7" i="54" s="1"/>
  <c r="AE7" i="54" s="1"/>
  <c r="AF7" i="54" s="1"/>
  <c r="AG7" i="54" s="1"/>
  <c r="AH7" i="54" s="1"/>
  <c r="AI7" i="54" s="1"/>
  <c r="AJ7" i="54" s="1"/>
  <c r="AK7" i="54" s="1"/>
  <c r="AL7" i="54" s="1"/>
  <c r="AM7" i="54" s="1"/>
  <c r="AN7" i="54" s="1"/>
  <c r="AO7" i="54" s="1"/>
  <c r="L6" i="54"/>
  <c r="M6" i="54" s="1"/>
  <c r="N6" i="54" s="1"/>
  <c r="O6" i="54" s="1"/>
  <c r="P6" i="54" s="1"/>
  <c r="Q6" i="54" s="1"/>
  <c r="R6" i="54" s="1"/>
  <c r="S6" i="54" s="1"/>
  <c r="T6" i="54" s="1"/>
  <c r="U6" i="54" s="1"/>
  <c r="V6" i="54" s="1"/>
  <c r="W6" i="54" s="1"/>
  <c r="X6" i="54" s="1"/>
  <c r="Y6" i="54" s="1"/>
  <c r="Z6" i="54" s="1"/>
  <c r="AA6" i="54" s="1"/>
  <c r="J6" i="54"/>
  <c r="H6" i="54"/>
  <c r="F6" i="54"/>
  <c r="D6" i="54"/>
  <c r="AA4" i="54"/>
  <c r="AA2" i="54"/>
  <c r="J111" i="47"/>
  <c r="U106" i="47"/>
  <c r="V106" i="47" s="1"/>
  <c r="T106" i="47"/>
  <c r="S106" i="47"/>
  <c r="R106" i="47"/>
  <c r="Q106" i="47"/>
  <c r="P106" i="47"/>
  <c r="O106" i="47"/>
  <c r="N106" i="47"/>
  <c r="M106" i="47"/>
  <c r="L106" i="47"/>
  <c r="K106" i="47"/>
  <c r="J106" i="47"/>
  <c r="M89" i="47"/>
  <c r="N89" i="47" s="1"/>
  <c r="O89" i="47" s="1"/>
  <c r="P89" i="47" s="1"/>
  <c r="Q89" i="47" s="1"/>
  <c r="R89" i="47" s="1"/>
  <c r="S89" i="47" s="1"/>
  <c r="T89" i="47" s="1"/>
  <c r="L89" i="47"/>
  <c r="K89" i="47"/>
  <c r="J89" i="47"/>
  <c r="T86" i="47"/>
  <c r="S86" i="47"/>
  <c r="R86" i="47"/>
  <c r="Q86" i="47"/>
  <c r="P86" i="47"/>
  <c r="O86" i="47"/>
  <c r="N86" i="47"/>
  <c r="M86" i="47"/>
  <c r="L86" i="47"/>
  <c r="K86" i="47"/>
  <c r="J86" i="47"/>
  <c r="J81" i="47"/>
  <c r="K81" i="47" s="1"/>
  <c r="L81" i="47" s="1"/>
  <c r="M81" i="47" s="1"/>
  <c r="N81" i="47" s="1"/>
  <c r="O81" i="47" s="1"/>
  <c r="P81" i="47" s="1"/>
  <c r="Q81" i="47" s="1"/>
  <c r="R81" i="47" s="1"/>
  <c r="S81" i="47" s="1"/>
  <c r="T81" i="47" s="1"/>
  <c r="J76" i="47"/>
  <c r="J75" i="47"/>
  <c r="K74" i="47"/>
  <c r="K75" i="47" s="1"/>
  <c r="J74" i="47"/>
  <c r="I65" i="47"/>
  <c r="D60" i="47"/>
  <c r="E60" i="47" s="1"/>
  <c r="F60" i="47" s="1"/>
  <c r="G60" i="47" s="1"/>
  <c r="H60" i="47" s="1"/>
  <c r="I60" i="47" s="1"/>
  <c r="J60" i="47" s="1"/>
  <c r="K60" i="47" s="1"/>
  <c r="L60" i="47" s="1"/>
  <c r="M60" i="47" s="1"/>
  <c r="N60" i="47" s="1"/>
  <c r="O60" i="47" s="1"/>
  <c r="P60" i="47" s="1"/>
  <c r="Q60" i="47" s="1"/>
  <c r="R60" i="47" s="1"/>
  <c r="S60" i="47" s="1"/>
  <c r="T60" i="47" s="1"/>
  <c r="E57" i="47"/>
  <c r="F57" i="47" s="1"/>
  <c r="G57" i="47" s="1"/>
  <c r="H57" i="47" s="1"/>
  <c r="I57" i="47" s="1"/>
  <c r="J57" i="47" s="1"/>
  <c r="K57" i="47" s="1"/>
  <c r="L57" i="47" s="1"/>
  <c r="M57" i="47" s="1"/>
  <c r="N57" i="47" s="1"/>
  <c r="O57" i="47" s="1"/>
  <c r="P57" i="47" s="1"/>
  <c r="Q57" i="47" s="1"/>
  <c r="R57" i="47" s="1"/>
  <c r="S57" i="47" s="1"/>
  <c r="T57" i="47" s="1"/>
  <c r="C56" i="47"/>
  <c r="K47" i="47"/>
  <c r="K48" i="47" s="1"/>
  <c r="D33" i="47"/>
  <c r="E33" i="47" s="1"/>
  <c r="F33" i="47" s="1"/>
  <c r="G33" i="47" s="1"/>
  <c r="H33" i="47" s="1"/>
  <c r="I33" i="47" s="1"/>
  <c r="J33" i="47" s="1"/>
  <c r="K33" i="47" s="1"/>
  <c r="L33" i="47" s="1"/>
  <c r="M33" i="47" s="1"/>
  <c r="N33" i="47" s="1"/>
  <c r="O33" i="47" s="1"/>
  <c r="P33" i="47" s="1"/>
  <c r="Q33" i="47" s="1"/>
  <c r="R33" i="47" s="1"/>
  <c r="S33" i="47" s="1"/>
  <c r="T33" i="47" s="1"/>
  <c r="E30" i="47"/>
  <c r="F30" i="47" s="1"/>
  <c r="G30" i="47" s="1"/>
  <c r="H30" i="47" s="1"/>
  <c r="I30" i="47" s="1"/>
  <c r="J30" i="47" s="1"/>
  <c r="K30" i="47" s="1"/>
  <c r="L30" i="47" s="1"/>
  <c r="M30" i="47" s="1"/>
  <c r="N30" i="47" s="1"/>
  <c r="O30" i="47" s="1"/>
  <c r="P30" i="47" s="1"/>
  <c r="Q30" i="47" s="1"/>
  <c r="R30" i="47" s="1"/>
  <c r="S30" i="47" s="1"/>
  <c r="T30" i="47" s="1"/>
  <c r="C29" i="47"/>
  <c r="C32" i="47" s="1"/>
  <c r="T25" i="47"/>
  <c r="S25" i="47"/>
  <c r="R25" i="47"/>
  <c r="Q25" i="47"/>
  <c r="P25" i="47"/>
  <c r="O25" i="47"/>
  <c r="N25" i="47"/>
  <c r="M25" i="47"/>
  <c r="L25" i="47"/>
  <c r="K25" i="47"/>
  <c r="J25" i="47"/>
  <c r="I25" i="47"/>
  <c r="T24" i="47"/>
  <c r="S24" i="47"/>
  <c r="R24" i="47"/>
  <c r="Q24" i="47"/>
  <c r="P24" i="47"/>
  <c r="O24" i="47"/>
  <c r="N24" i="47"/>
  <c r="M24" i="47"/>
  <c r="L24" i="47"/>
  <c r="K24" i="47"/>
  <c r="J24" i="47"/>
  <c r="I24" i="47"/>
  <c r="T23" i="47"/>
  <c r="S23" i="47"/>
  <c r="R23" i="47"/>
  <c r="Q23" i="47"/>
  <c r="P23" i="47"/>
  <c r="O23" i="47"/>
  <c r="N23" i="47"/>
  <c r="M23" i="47"/>
  <c r="L23" i="47"/>
  <c r="K23" i="47"/>
  <c r="J23" i="47"/>
  <c r="I23" i="47"/>
  <c r="T20" i="47"/>
  <c r="S20" i="47"/>
  <c r="R20" i="47"/>
  <c r="Q20" i="47"/>
  <c r="P20" i="47"/>
  <c r="O20" i="47"/>
  <c r="N20" i="47"/>
  <c r="M20" i="47"/>
  <c r="L20" i="47"/>
  <c r="K20" i="47"/>
  <c r="J20" i="47"/>
  <c r="I20" i="47"/>
  <c r="I19" i="47"/>
  <c r="I18" i="47"/>
  <c r="K19" i="47"/>
  <c r="J18" i="47"/>
  <c r="K9" i="47"/>
  <c r="L9" i="47" s="1"/>
  <c r="K8" i="47"/>
  <c r="K18" i="47" s="1"/>
  <c r="J8" i="47"/>
  <c r="I5" i="47"/>
  <c r="I3" i="47"/>
  <c r="T65" i="34"/>
  <c r="L48" i="34"/>
  <c r="M48" i="34" s="1"/>
  <c r="N48" i="34" s="1"/>
  <c r="O48" i="34" s="1"/>
  <c r="P48" i="34" s="1"/>
  <c r="Q48" i="34" s="1"/>
  <c r="R48" i="34" s="1"/>
  <c r="S48" i="34" s="1"/>
  <c r="K48" i="34"/>
  <c r="J48" i="34"/>
  <c r="I48" i="34"/>
  <c r="J36" i="34"/>
  <c r="J32" i="34"/>
  <c r="I32" i="34"/>
  <c r="I31" i="34" s="1"/>
  <c r="J31" i="34"/>
  <c r="I29" i="34"/>
  <c r="J29" i="34" s="1"/>
  <c r="C26" i="34"/>
  <c r="J22" i="34"/>
  <c r="J21" i="34"/>
  <c r="K21" i="34" s="1"/>
  <c r="L21" i="34" s="1"/>
  <c r="M21" i="34" s="1"/>
  <c r="N21" i="34" s="1"/>
  <c r="O21" i="34" s="1"/>
  <c r="P21" i="34" s="1"/>
  <c r="Q21" i="34" s="1"/>
  <c r="R21" i="34" s="1"/>
  <c r="S21" i="34" s="1"/>
  <c r="K17" i="34"/>
  <c r="L17" i="34" s="1"/>
  <c r="J16" i="34"/>
  <c r="I16" i="34"/>
  <c r="J14" i="34"/>
  <c r="K14" i="34" s="1"/>
  <c r="L14" i="34" s="1"/>
  <c r="M14" i="34" s="1"/>
  <c r="N14" i="34" s="1"/>
  <c r="O14" i="34" s="1"/>
  <c r="P14" i="34" s="1"/>
  <c r="Q14" i="34" s="1"/>
  <c r="R14" i="34" s="1"/>
  <c r="S14" i="34" s="1"/>
  <c r="J13" i="34"/>
  <c r="C9" i="34"/>
  <c r="S9" i="34"/>
  <c r="R9" i="34"/>
  <c r="Q9" i="34"/>
  <c r="P9" i="34"/>
  <c r="O9" i="34"/>
  <c r="N9" i="34"/>
  <c r="M9" i="34"/>
  <c r="L9" i="34"/>
  <c r="K9" i="34"/>
  <c r="J9" i="34"/>
  <c r="I9" i="34"/>
  <c r="H9" i="34"/>
  <c r="G9" i="34"/>
  <c r="F9" i="34"/>
  <c r="E9" i="34"/>
  <c r="D9" i="34"/>
  <c r="Q7" i="34"/>
  <c r="Q10" i="34" s="1"/>
  <c r="M7" i="34"/>
  <c r="M10" i="34" s="1"/>
  <c r="I7" i="34"/>
  <c r="I10" i="34" s="1"/>
  <c r="E7" i="34"/>
  <c r="E10" i="34" s="1"/>
  <c r="C7" i="34"/>
  <c r="C10" i="34" s="1"/>
  <c r="D11" i="34" s="1"/>
  <c r="D6" i="34"/>
  <c r="E6" i="34" s="1"/>
  <c r="F6" i="34" s="1"/>
  <c r="G6" i="34" s="1"/>
  <c r="H6" i="34" s="1"/>
  <c r="I6" i="34" s="1"/>
  <c r="I4" i="34"/>
  <c r="I2" i="34"/>
  <c r="J19" i="34" s="1"/>
  <c r="W39" i="30"/>
  <c r="X39" i="30" s="1"/>
  <c r="Y39" i="30" s="1"/>
  <c r="Z39" i="30" s="1"/>
  <c r="AA39" i="30" s="1"/>
  <c r="AB39" i="30" s="1"/>
  <c r="AC39" i="30" s="1"/>
  <c r="AD39" i="30" s="1"/>
  <c r="AE39" i="30" s="1"/>
  <c r="AF39" i="30" s="1"/>
  <c r="AG39" i="30" s="1"/>
  <c r="U39" i="30"/>
  <c r="AG22" i="30"/>
  <c r="AF22" i="30"/>
  <c r="AE22" i="30"/>
  <c r="AD22" i="30"/>
  <c r="AC22" i="30"/>
  <c r="AB22" i="30"/>
  <c r="AA22" i="30"/>
  <c r="Z22" i="30"/>
  <c r="Y22" i="30"/>
  <c r="X22" i="30"/>
  <c r="W22" i="30"/>
  <c r="V22" i="30"/>
  <c r="U22" i="30"/>
  <c r="T22" i="30"/>
  <c r="S22" i="30"/>
  <c r="S21" i="30"/>
  <c r="S20" i="30"/>
  <c r="Y21" i="30"/>
  <c r="X21" i="30"/>
  <c r="W21" i="30"/>
  <c r="V20" i="30"/>
  <c r="U20" i="30"/>
  <c r="T20" i="30"/>
  <c r="S16" i="30"/>
  <c r="D8" i="30"/>
  <c r="C8" i="30"/>
  <c r="P7" i="30"/>
  <c r="O7" i="30" s="1"/>
  <c r="N7" i="30" s="1"/>
  <c r="M7" i="30" s="1"/>
  <c r="L7" i="30" s="1"/>
  <c r="K7" i="30" s="1"/>
  <c r="J7" i="30" s="1"/>
  <c r="I7" i="30" s="1"/>
  <c r="H7" i="30" s="1"/>
  <c r="G7" i="30" s="1"/>
  <c r="F7" i="30" s="1"/>
  <c r="E7" i="30" s="1"/>
  <c r="D7" i="30" s="1"/>
  <c r="C7" i="30" s="1"/>
  <c r="C9" i="30" s="1"/>
  <c r="Z12" i="30"/>
  <c r="Z21" i="30" s="1"/>
  <c r="W11" i="30"/>
  <c r="W20" i="30" s="1"/>
  <c r="R7" i="30"/>
  <c r="S7" i="30" s="1"/>
  <c r="T7" i="30" s="1"/>
  <c r="U7" i="30" s="1"/>
  <c r="V7" i="30" s="1"/>
  <c r="W7" i="30" s="1"/>
  <c r="X7" i="30" s="1"/>
  <c r="Y7" i="30" s="1"/>
  <c r="Z7" i="30" s="1"/>
  <c r="AA7" i="30" s="1"/>
  <c r="AB7" i="30" s="1"/>
  <c r="AC7" i="30" s="1"/>
  <c r="AD7" i="30" s="1"/>
  <c r="AE7" i="30" s="1"/>
  <c r="AF7" i="30" s="1"/>
  <c r="AG7" i="30" s="1"/>
  <c r="S7" i="34" s="1"/>
  <c r="S10" i="34" s="1"/>
  <c r="D6" i="30"/>
  <c r="E6" i="30" s="1"/>
  <c r="F6" i="30" s="1"/>
  <c r="G6" i="30" s="1"/>
  <c r="H6" i="30" s="1"/>
  <c r="I6" i="30" s="1"/>
  <c r="J6" i="30" s="1"/>
  <c r="K6" i="30" s="1"/>
  <c r="L6" i="30" s="1"/>
  <c r="M6" i="30" s="1"/>
  <c r="N6" i="30" s="1"/>
  <c r="O6" i="30" s="1"/>
  <c r="P6" i="30" s="1"/>
  <c r="Q6" i="30" s="1"/>
  <c r="R6" i="30" s="1"/>
  <c r="S6" i="30" s="1"/>
  <c r="T6" i="30" s="1"/>
  <c r="U6" i="30" s="1"/>
  <c r="V6" i="30" s="1"/>
  <c r="W6" i="30" s="1"/>
  <c r="X6" i="30" s="1"/>
  <c r="Y6" i="30" s="1"/>
  <c r="Z6" i="30" s="1"/>
  <c r="AA6" i="30" s="1"/>
  <c r="AB6" i="30" s="1"/>
  <c r="AC6" i="30" s="1"/>
  <c r="AD6" i="30" s="1"/>
  <c r="AE6" i="30" s="1"/>
  <c r="AF6" i="30" s="1"/>
  <c r="AG6" i="30" s="1"/>
  <c r="S4" i="30"/>
  <c r="S2" i="30"/>
  <c r="AB73" i="46"/>
  <c r="AC73" i="46" s="1"/>
  <c r="AD73" i="46" s="1"/>
  <c r="AE73" i="46" s="1"/>
  <c r="AF73" i="46" s="1"/>
  <c r="AG73" i="46" s="1"/>
  <c r="AH73" i="46" s="1"/>
  <c r="AI73" i="46" s="1"/>
  <c r="AJ73" i="46" s="1"/>
  <c r="AK73" i="46" s="1"/>
  <c r="AL73" i="46" s="1"/>
  <c r="AM73" i="46" s="1"/>
  <c r="AN73" i="46" s="1"/>
  <c r="AO73" i="46" s="1"/>
  <c r="AP73" i="46" s="1"/>
  <c r="AA64" i="46"/>
  <c r="AA49" i="46" s="1"/>
  <c r="AB49" i="46" s="1"/>
  <c r="AC49" i="46" s="1"/>
  <c r="AD49" i="46" s="1"/>
  <c r="AE49" i="46" s="1"/>
  <c r="AF49" i="46" s="1"/>
  <c r="AG49" i="46" s="1"/>
  <c r="AH49" i="46" s="1"/>
  <c r="AI49" i="46" s="1"/>
  <c r="AJ49" i="46" s="1"/>
  <c r="AK49" i="46" s="1"/>
  <c r="AL49" i="46" s="1"/>
  <c r="AM49" i="46" s="1"/>
  <c r="AN49" i="46" s="1"/>
  <c r="AO49" i="46" s="1"/>
  <c r="AP49" i="46" s="1"/>
  <c r="Z64" i="46"/>
  <c r="Y64" i="46"/>
  <c r="Y49" i="46" s="1"/>
  <c r="X64" i="46"/>
  <c r="W64" i="46"/>
  <c r="W49" i="46" s="1"/>
  <c r="AE54" i="46"/>
  <c r="AF54" i="46" s="1"/>
  <c r="AG54" i="46" s="1"/>
  <c r="AH54" i="46" s="1"/>
  <c r="AI54" i="46" s="1"/>
  <c r="AJ54" i="46" s="1"/>
  <c r="AK54" i="46" s="1"/>
  <c r="AL54" i="46" s="1"/>
  <c r="AM54" i="46" s="1"/>
  <c r="AN54" i="46" s="1"/>
  <c r="AO54" i="46" s="1"/>
  <c r="AP54" i="46" s="1"/>
  <c r="X54" i="46"/>
  <c r="W54" i="46"/>
  <c r="Z49" i="46"/>
  <c r="X49" i="46"/>
  <c r="AD44" i="46"/>
  <c r="AE44" i="46" s="1"/>
  <c r="AF44" i="46" s="1"/>
  <c r="AG44" i="46" s="1"/>
  <c r="AH44" i="46" s="1"/>
  <c r="AI44" i="46" s="1"/>
  <c r="AJ44" i="46" s="1"/>
  <c r="AK44" i="46" s="1"/>
  <c r="AL44" i="46" s="1"/>
  <c r="AM44" i="46" s="1"/>
  <c r="AN44" i="46" s="1"/>
  <c r="AO44" i="46" s="1"/>
  <c r="AP44" i="46" s="1"/>
  <c r="AB44" i="46"/>
  <c r="AC44" i="46" s="1"/>
  <c r="Y44" i="46"/>
  <c r="X44" i="46" s="1"/>
  <c r="W44" i="46" s="1"/>
  <c r="X40" i="46"/>
  <c r="Y40" i="46" s="1"/>
  <c r="Z40" i="46" s="1"/>
  <c r="AA40" i="46" s="1"/>
  <c r="AB40" i="46" s="1"/>
  <c r="AC40" i="46" s="1"/>
  <c r="AD40" i="46" s="1"/>
  <c r="AE40" i="46" s="1"/>
  <c r="AF40" i="46" s="1"/>
  <c r="AG40" i="46" s="1"/>
  <c r="AH40" i="46" s="1"/>
  <c r="AI40" i="46" s="1"/>
  <c r="AJ40" i="46" s="1"/>
  <c r="AK40" i="46" s="1"/>
  <c r="AL40" i="46" s="1"/>
  <c r="AM40" i="46" s="1"/>
  <c r="AN40" i="46" s="1"/>
  <c r="AO40" i="46" s="1"/>
  <c r="AP40" i="46" s="1"/>
  <c r="AB37" i="46"/>
  <c r="AD37" i="46" s="1"/>
  <c r="AE37" i="46" s="1"/>
  <c r="AF37" i="46" s="1"/>
  <c r="AG37" i="46" s="1"/>
  <c r="AH37" i="46" s="1"/>
  <c r="AI37" i="46" s="1"/>
  <c r="AJ37" i="46" s="1"/>
  <c r="AK37" i="46" s="1"/>
  <c r="AL37" i="46" s="1"/>
  <c r="AM37" i="46" s="1"/>
  <c r="AN37" i="46" s="1"/>
  <c r="AO37" i="46" s="1"/>
  <c r="AP37" i="46" s="1"/>
  <c r="AA37" i="46"/>
  <c r="Z37" i="46"/>
  <c r="Y37" i="46"/>
  <c r="X37" i="46"/>
  <c r="W37" i="46"/>
  <c r="AD36" i="46"/>
  <c r="AE36" i="46" s="1"/>
  <c r="AF36" i="46" s="1"/>
  <c r="AG36" i="46" s="1"/>
  <c r="AH36" i="46" s="1"/>
  <c r="AI36" i="46" s="1"/>
  <c r="AJ36" i="46" s="1"/>
  <c r="AK36" i="46" s="1"/>
  <c r="AL36" i="46" s="1"/>
  <c r="AM36" i="46" s="1"/>
  <c r="AN36" i="46" s="1"/>
  <c r="AO36" i="46" s="1"/>
  <c r="AP36" i="46" s="1"/>
  <c r="AB35" i="46"/>
  <c r="AD35" i="46" s="1"/>
  <c r="AE35" i="46" s="1"/>
  <c r="AF35" i="46" s="1"/>
  <c r="AG35" i="46" s="1"/>
  <c r="AH35" i="46" s="1"/>
  <c r="AI35" i="46" s="1"/>
  <c r="AJ35" i="46" s="1"/>
  <c r="AK35" i="46" s="1"/>
  <c r="AL35" i="46" s="1"/>
  <c r="AM35" i="46" s="1"/>
  <c r="AN35" i="46" s="1"/>
  <c r="AO35" i="46" s="1"/>
  <c r="AP35" i="46" s="1"/>
  <c r="AA35" i="46"/>
  <c r="Z35" i="46"/>
  <c r="Y35" i="46"/>
  <c r="X35" i="46"/>
  <c r="W35" i="46"/>
  <c r="AP14" i="46"/>
  <c r="AO14" i="46"/>
  <c r="AN14" i="46"/>
  <c r="AM14" i="46"/>
  <c r="AL14" i="46"/>
  <c r="AK14" i="46"/>
  <c r="AJ14" i="46"/>
  <c r="AI14" i="46"/>
  <c r="AH14" i="46"/>
  <c r="AG14" i="46"/>
  <c r="AF14" i="46"/>
  <c r="AE14" i="46"/>
  <c r="AD14" i="46"/>
  <c r="AC14" i="46"/>
  <c r="AB14" i="46"/>
  <c r="AA14" i="46"/>
  <c r="Z14" i="46"/>
  <c r="Y14" i="46"/>
  <c r="X14" i="46"/>
  <c r="W14" i="46"/>
  <c r="V14" i="46"/>
  <c r="U14" i="46"/>
  <c r="T14" i="46"/>
  <c r="S14" i="46"/>
  <c r="R14" i="46"/>
  <c r="Q14" i="46"/>
  <c r="P14" i="46"/>
  <c r="O14" i="46"/>
  <c r="N14" i="46"/>
  <c r="M14" i="46"/>
  <c r="L14" i="46"/>
  <c r="K14" i="46"/>
  <c r="J14" i="46"/>
  <c r="I14" i="46"/>
  <c r="H14" i="46"/>
  <c r="G14" i="46"/>
  <c r="F14" i="46"/>
  <c r="E14" i="46"/>
  <c r="D14" i="46"/>
  <c r="C14" i="46"/>
  <c r="AP13" i="46"/>
  <c r="AO13" i="46"/>
  <c r="AN13" i="46"/>
  <c r="AM13" i="46"/>
  <c r="AL13" i="46"/>
  <c r="AK13" i="46"/>
  <c r="AJ13" i="46"/>
  <c r="AI13" i="46"/>
  <c r="AH13" i="46"/>
  <c r="AG13" i="46"/>
  <c r="AF13" i="46"/>
  <c r="AE13" i="46"/>
  <c r="AD13" i="46"/>
  <c r="AC13" i="46"/>
  <c r="AB13" i="46"/>
  <c r="AA13" i="46"/>
  <c r="Z13" i="46"/>
  <c r="Y13" i="46"/>
  <c r="X13" i="46"/>
  <c r="W13" i="46"/>
  <c r="V13" i="46"/>
  <c r="U13" i="46"/>
  <c r="T13" i="46"/>
  <c r="S13" i="46"/>
  <c r="R13" i="46"/>
  <c r="Q13" i="46"/>
  <c r="P13" i="46"/>
  <c r="O13" i="46"/>
  <c r="N13" i="46"/>
  <c r="M13" i="46"/>
  <c r="L13" i="46"/>
  <c r="K13" i="46"/>
  <c r="J13" i="46"/>
  <c r="I13" i="46"/>
  <c r="H13" i="46"/>
  <c r="G13" i="46"/>
  <c r="F13" i="46"/>
  <c r="E13" i="46"/>
  <c r="D13" i="46"/>
  <c r="C13" i="46"/>
  <c r="AP12" i="46"/>
  <c r="AO12" i="46"/>
  <c r="AN12" i="46"/>
  <c r="AM12" i="46"/>
  <c r="AL12" i="46"/>
  <c r="AK12" i="46"/>
  <c r="AJ12" i="46"/>
  <c r="AI12" i="46"/>
  <c r="AH12" i="46"/>
  <c r="AG12" i="46"/>
  <c r="AF12" i="46"/>
  <c r="AE12" i="46"/>
  <c r="AD12" i="46"/>
  <c r="AC12" i="46"/>
  <c r="AB12" i="46"/>
  <c r="AA12" i="46"/>
  <c r="Z12" i="46"/>
  <c r="Y12" i="46"/>
  <c r="X12" i="46"/>
  <c r="W12" i="46"/>
  <c r="V12" i="46"/>
  <c r="U12" i="46"/>
  <c r="T12" i="46"/>
  <c r="S12" i="46"/>
  <c r="R12" i="46"/>
  <c r="Q12" i="46"/>
  <c r="P12" i="46"/>
  <c r="O12" i="46"/>
  <c r="N12" i="46"/>
  <c r="M12" i="46"/>
  <c r="L12" i="46"/>
  <c r="K12" i="46"/>
  <c r="J12" i="46"/>
  <c r="I12" i="46"/>
  <c r="H12" i="46"/>
  <c r="G12" i="46"/>
  <c r="F12" i="46"/>
  <c r="E12" i="46"/>
  <c r="D12" i="46"/>
  <c r="C12" i="46"/>
  <c r="Z9" i="46"/>
  <c r="Z18" i="46" s="1"/>
  <c r="AA8" i="46"/>
  <c r="AA17" i="46" s="1"/>
  <c r="Z3" i="46"/>
  <c r="V224" i="45"/>
  <c r="U224" i="45"/>
  <c r="T224" i="45"/>
  <c r="S224" i="45"/>
  <c r="R224" i="45"/>
  <c r="Q224" i="45"/>
  <c r="P224" i="45"/>
  <c r="O224" i="45"/>
  <c r="N224" i="45"/>
  <c r="M224" i="45"/>
  <c r="L224" i="45"/>
  <c r="K224" i="45"/>
  <c r="J224" i="45"/>
  <c r="I224" i="45"/>
  <c r="K209" i="45"/>
  <c r="L209" i="45" s="1"/>
  <c r="M209" i="45" s="1"/>
  <c r="N209" i="45" s="1"/>
  <c r="O209" i="45" s="1"/>
  <c r="P209" i="45" s="1"/>
  <c r="Q209" i="45" s="1"/>
  <c r="R209" i="45" s="1"/>
  <c r="S209" i="45" s="1"/>
  <c r="T209" i="45" s="1"/>
  <c r="U209" i="45" s="1"/>
  <c r="V209" i="45" s="1"/>
  <c r="J209" i="45"/>
  <c r="I209" i="45"/>
  <c r="V206" i="45"/>
  <c r="U206" i="45"/>
  <c r="T206" i="45"/>
  <c r="S206" i="45"/>
  <c r="R206" i="45"/>
  <c r="Q206" i="45"/>
  <c r="P206" i="45"/>
  <c r="O206" i="45"/>
  <c r="N206" i="45"/>
  <c r="M206" i="45"/>
  <c r="L206" i="45"/>
  <c r="K206" i="45"/>
  <c r="J206" i="45"/>
  <c r="I206" i="45"/>
  <c r="F186" i="45"/>
  <c r="D174" i="45"/>
  <c r="C174" i="45"/>
  <c r="I168" i="45"/>
  <c r="J167" i="45"/>
  <c r="J166" i="45"/>
  <c r="J168" i="45" s="1"/>
  <c r="I163" i="45"/>
  <c r="J154" i="45"/>
  <c r="J161" i="45" s="1"/>
  <c r="J151" i="45"/>
  <c r="K151" i="45" s="1"/>
  <c r="L151" i="45" s="1"/>
  <c r="M151" i="45" s="1"/>
  <c r="N151" i="45" s="1"/>
  <c r="O151" i="45" s="1"/>
  <c r="P151" i="45" s="1"/>
  <c r="Q151" i="45" s="1"/>
  <c r="R151" i="45" s="1"/>
  <c r="S151" i="45" s="1"/>
  <c r="T151" i="45" s="1"/>
  <c r="U151" i="45" s="1"/>
  <c r="V151" i="45" s="1"/>
  <c r="J150" i="45"/>
  <c r="K150" i="45" s="1"/>
  <c r="C145" i="45"/>
  <c r="D142" i="45"/>
  <c r="D145" i="45" s="1"/>
  <c r="V120" i="45"/>
  <c r="V124" i="45" s="1"/>
  <c r="U120" i="45"/>
  <c r="U124" i="45" s="1"/>
  <c r="T120" i="45"/>
  <c r="T124" i="45" s="1"/>
  <c r="S120" i="45"/>
  <c r="S124" i="45" s="1"/>
  <c r="R120" i="45"/>
  <c r="R124" i="45" s="1"/>
  <c r="Q120" i="45"/>
  <c r="Q124" i="45" s="1"/>
  <c r="P120" i="45"/>
  <c r="P124" i="45" s="1"/>
  <c r="O120" i="45"/>
  <c r="O124" i="45" s="1"/>
  <c r="N120" i="45"/>
  <c r="N124" i="45" s="1"/>
  <c r="M120" i="45"/>
  <c r="M124" i="45" s="1"/>
  <c r="L120" i="45"/>
  <c r="L124" i="45" s="1"/>
  <c r="K120" i="45"/>
  <c r="K124" i="45" s="1"/>
  <c r="J120" i="45"/>
  <c r="J124" i="45" s="1"/>
  <c r="J119" i="45"/>
  <c r="J123" i="45" s="1"/>
  <c r="V118" i="45"/>
  <c r="V122" i="45" s="1"/>
  <c r="U118" i="45"/>
  <c r="U122" i="45" s="1"/>
  <c r="T118" i="45"/>
  <c r="T122" i="45" s="1"/>
  <c r="S118" i="45"/>
  <c r="S122" i="45" s="1"/>
  <c r="R118" i="45"/>
  <c r="R122" i="45" s="1"/>
  <c r="Q118" i="45"/>
  <c r="Q122" i="45" s="1"/>
  <c r="P118" i="45"/>
  <c r="P122" i="45" s="1"/>
  <c r="O118" i="45"/>
  <c r="O122" i="45" s="1"/>
  <c r="N118" i="45"/>
  <c r="N122" i="45" s="1"/>
  <c r="M118" i="45"/>
  <c r="M122" i="45" s="1"/>
  <c r="L118" i="45"/>
  <c r="L122" i="45" s="1"/>
  <c r="K118" i="45"/>
  <c r="K122" i="45" s="1"/>
  <c r="J118" i="45"/>
  <c r="J122" i="45" s="1"/>
  <c r="K115" i="45"/>
  <c r="K119" i="45" s="1"/>
  <c r="K123" i="45" s="1"/>
  <c r="R94" i="45"/>
  <c r="S94" i="45" s="1"/>
  <c r="T94" i="45" s="1"/>
  <c r="U94" i="45" s="1"/>
  <c r="V94" i="45" s="1"/>
  <c r="N89" i="45"/>
  <c r="O89" i="45" s="1"/>
  <c r="P89" i="45" s="1"/>
  <c r="Q89" i="45" s="1"/>
  <c r="R89" i="45" s="1"/>
  <c r="S89" i="45" s="1"/>
  <c r="T89" i="45" s="1"/>
  <c r="U89" i="45" s="1"/>
  <c r="V89" i="45" s="1"/>
  <c r="H81" i="45"/>
  <c r="H84" i="45" s="1"/>
  <c r="I80" i="45"/>
  <c r="J80" i="45" s="1"/>
  <c r="H80" i="45"/>
  <c r="H83" i="45" s="1"/>
  <c r="G80" i="45"/>
  <c r="F80" i="45" s="1"/>
  <c r="F77" i="45"/>
  <c r="G77" i="45" s="1"/>
  <c r="H77" i="45" s="1"/>
  <c r="I77" i="45" s="1"/>
  <c r="J77" i="45" s="1"/>
  <c r="K77" i="45" s="1"/>
  <c r="L77" i="45" s="1"/>
  <c r="M77" i="45" s="1"/>
  <c r="N77" i="45" s="1"/>
  <c r="O77" i="45" s="1"/>
  <c r="P77" i="45" s="1"/>
  <c r="Q77" i="45" s="1"/>
  <c r="R77" i="45" s="1"/>
  <c r="S77" i="45" s="1"/>
  <c r="T77" i="45" s="1"/>
  <c r="U77" i="45" s="1"/>
  <c r="V77" i="45" s="1"/>
  <c r="F76" i="45"/>
  <c r="G76" i="45" s="1"/>
  <c r="H76" i="45" s="1"/>
  <c r="I76" i="45" s="1"/>
  <c r="J76" i="45" s="1"/>
  <c r="K76" i="45" s="1"/>
  <c r="L76" i="45" s="1"/>
  <c r="M76" i="45" s="1"/>
  <c r="N76" i="45" s="1"/>
  <c r="O76" i="45" s="1"/>
  <c r="P76" i="45" s="1"/>
  <c r="Q76" i="45" s="1"/>
  <c r="R76" i="45" s="1"/>
  <c r="S76" i="45" s="1"/>
  <c r="T76" i="45" s="1"/>
  <c r="U76" i="45" s="1"/>
  <c r="V76" i="45" s="1"/>
  <c r="E71" i="45"/>
  <c r="E70" i="45"/>
  <c r="G56" i="45"/>
  <c r="H55" i="45"/>
  <c r="H56" i="45" s="1"/>
  <c r="G55" i="45"/>
  <c r="F55" i="45"/>
  <c r="F56" i="45" s="1"/>
  <c r="G54" i="45"/>
  <c r="H45" i="45"/>
  <c r="H59" i="45" s="1"/>
  <c r="G45" i="45"/>
  <c r="G59" i="45" s="1"/>
  <c r="F45" i="45"/>
  <c r="F59" i="45" s="1"/>
  <c r="E45" i="45"/>
  <c r="E49" i="45" s="1"/>
  <c r="F44" i="45"/>
  <c r="H42" i="45"/>
  <c r="H46" i="45" s="1"/>
  <c r="G42" i="45"/>
  <c r="F42" i="45"/>
  <c r="E42" i="45"/>
  <c r="J41" i="45"/>
  <c r="K41" i="45" s="1"/>
  <c r="I41" i="45"/>
  <c r="I55" i="45" s="1"/>
  <c r="H40" i="45"/>
  <c r="H44" i="45" s="1"/>
  <c r="G40" i="45"/>
  <c r="F40" i="45"/>
  <c r="E40" i="45"/>
  <c r="E15" i="45"/>
  <c r="E25" i="45" s="1"/>
  <c r="E36" i="45" s="1"/>
  <c r="E14" i="45"/>
  <c r="E20" i="45" s="1"/>
  <c r="E31" i="45" s="1"/>
  <c r="E7" i="45"/>
  <c r="E12" i="45" s="1"/>
  <c r="W6" i="45"/>
  <c r="W224" i="45" s="1"/>
  <c r="G4" i="45"/>
  <c r="G2" i="45"/>
  <c r="AM78" i="48"/>
  <c r="AN78" i="48" s="1"/>
  <c r="AO78" i="48" s="1"/>
  <c r="AP78" i="48" s="1"/>
  <c r="AQ78" i="48" s="1"/>
  <c r="AR78" i="48" s="1"/>
  <c r="AS78" i="48" s="1"/>
  <c r="AT78" i="48" s="1"/>
  <c r="AU78" i="48" s="1"/>
  <c r="AV78" i="48" s="1"/>
  <c r="AW78" i="48" s="1"/>
  <c r="AX78" i="48" s="1"/>
  <c r="AY78" i="48" s="1"/>
  <c r="AZ78" i="48" s="1"/>
  <c r="BA78" i="48" s="1"/>
  <c r="AK78" i="48"/>
  <c r="AL59" i="48"/>
  <c r="AM59" i="48" s="1"/>
  <c r="AN59" i="48" s="1"/>
  <c r="AO59" i="48" s="1"/>
  <c r="AP59" i="48" s="1"/>
  <c r="AQ59" i="48" s="1"/>
  <c r="AR59" i="48" s="1"/>
  <c r="AS59" i="48" s="1"/>
  <c r="AT59" i="48" s="1"/>
  <c r="AU59" i="48" s="1"/>
  <c r="AV59" i="48" s="1"/>
  <c r="AW59" i="48" s="1"/>
  <c r="AX59" i="48" s="1"/>
  <c r="AY59" i="48" s="1"/>
  <c r="AZ59" i="48" s="1"/>
  <c r="BA59" i="48" s="1"/>
  <c r="AL58" i="48"/>
  <c r="AM58" i="48" s="1"/>
  <c r="AN58" i="48" s="1"/>
  <c r="AO58" i="48" s="1"/>
  <c r="AP58" i="48" s="1"/>
  <c r="AQ58" i="48" s="1"/>
  <c r="AR58" i="48" s="1"/>
  <c r="AS58" i="48" s="1"/>
  <c r="AT58" i="48" s="1"/>
  <c r="AU58" i="48" s="1"/>
  <c r="AV58" i="48" s="1"/>
  <c r="AW58" i="48" s="1"/>
  <c r="AX58" i="48" s="1"/>
  <c r="AY58" i="48" s="1"/>
  <c r="AZ58" i="48" s="1"/>
  <c r="BA58" i="48" s="1"/>
  <c r="AN53" i="48"/>
  <c r="AO53" i="48" s="1"/>
  <c r="AL53" i="48"/>
  <c r="AM53" i="48" s="1"/>
  <c r="AK53" i="48"/>
  <c r="AI44" i="48"/>
  <c r="AJ44" i="48" s="1"/>
  <c r="AK44" i="48" s="1"/>
  <c r="AL44" i="48" s="1"/>
  <c r="AM44" i="48" s="1"/>
  <c r="AN44" i="48" s="1"/>
  <c r="AO44" i="48" s="1"/>
  <c r="AP44" i="48" s="1"/>
  <c r="AQ44" i="48" s="1"/>
  <c r="AR44" i="48" s="1"/>
  <c r="AS44" i="48" s="1"/>
  <c r="AT44" i="48" s="1"/>
  <c r="AU44" i="48" s="1"/>
  <c r="AV44" i="48" s="1"/>
  <c r="AW44" i="48" s="1"/>
  <c r="AX44" i="48" s="1"/>
  <c r="AY44" i="48" s="1"/>
  <c r="AZ44" i="48" s="1"/>
  <c r="BA44" i="48" s="1"/>
  <c r="AL32" i="48"/>
  <c r="AL36" i="48" s="1"/>
  <c r="AK32" i="48"/>
  <c r="AL29" i="48"/>
  <c r="AM29" i="48" s="1"/>
  <c r="AN29" i="48" s="1"/>
  <c r="AO29" i="48" s="1"/>
  <c r="AP29" i="48" s="1"/>
  <c r="AQ29" i="48" s="1"/>
  <c r="AR29" i="48" s="1"/>
  <c r="AS29" i="48" s="1"/>
  <c r="AT29" i="48" s="1"/>
  <c r="AU29" i="48" s="1"/>
  <c r="AV29" i="48" s="1"/>
  <c r="AW29" i="48" s="1"/>
  <c r="AX29" i="48" s="1"/>
  <c r="AY29" i="48" s="1"/>
  <c r="AZ29" i="48" s="1"/>
  <c r="BA29" i="48" s="1"/>
  <c r="AK29" i="48"/>
  <c r="AM28" i="48"/>
  <c r="AL27" i="48"/>
  <c r="AM27" i="48" s="1"/>
  <c r="AN27" i="48" s="1"/>
  <c r="AO27" i="48" s="1"/>
  <c r="AP27" i="48" s="1"/>
  <c r="AQ27" i="48" s="1"/>
  <c r="AR27" i="48" s="1"/>
  <c r="AS27" i="48" s="1"/>
  <c r="AT27" i="48" s="1"/>
  <c r="AU27" i="48" s="1"/>
  <c r="AV27" i="48" s="1"/>
  <c r="AW27" i="48" s="1"/>
  <c r="AX27" i="48" s="1"/>
  <c r="AY27" i="48" s="1"/>
  <c r="AZ27" i="48" s="1"/>
  <c r="BA27" i="48" s="1"/>
  <c r="AK27" i="48"/>
  <c r="C12" i="48"/>
  <c r="C13" i="48" s="1"/>
  <c r="D13" i="48" s="1"/>
  <c r="E13" i="48" s="1"/>
  <c r="F13" i="48" s="1"/>
  <c r="G13" i="48" s="1"/>
  <c r="H13" i="48" s="1"/>
  <c r="I13" i="48" s="1"/>
  <c r="J13" i="48" s="1"/>
  <c r="K13" i="48" s="1"/>
  <c r="L13" i="48" s="1"/>
  <c r="M13" i="48" s="1"/>
  <c r="N13" i="48" s="1"/>
  <c r="O13" i="48" s="1"/>
  <c r="P13" i="48" s="1"/>
  <c r="Q13" i="48" s="1"/>
  <c r="R13" i="48" s="1"/>
  <c r="S13" i="48" s="1"/>
  <c r="T13" i="48" s="1"/>
  <c r="U13" i="48" s="1"/>
  <c r="V13" i="48" s="1"/>
  <c r="W13" i="48" s="1"/>
  <c r="X13" i="48" s="1"/>
  <c r="Y13" i="48" s="1"/>
  <c r="Z13" i="48" s="1"/>
  <c r="AA13" i="48" s="1"/>
  <c r="AB13" i="48" s="1"/>
  <c r="AC13" i="48" s="1"/>
  <c r="AD13" i="48" s="1"/>
  <c r="AE13" i="48" s="1"/>
  <c r="AF13" i="48" s="1"/>
  <c r="AG13" i="48" s="1"/>
  <c r="AH13" i="48" s="1"/>
  <c r="AI13" i="48" s="1"/>
  <c r="AJ13" i="48" s="1"/>
  <c r="AK13" i="48" s="1"/>
  <c r="AL13" i="48" s="1"/>
  <c r="AL9" i="48"/>
  <c r="AJ9" i="48"/>
  <c r="AI9" i="48" s="1"/>
  <c r="AK8" i="48"/>
  <c r="AJ8" i="48"/>
  <c r="AM8" i="48"/>
  <c r="AL7" i="48"/>
  <c r="AK7" i="48"/>
  <c r="AJ7" i="48"/>
  <c r="AK3" i="48"/>
  <c r="BE78" i="15"/>
  <c r="BF59" i="15"/>
  <c r="BG59" i="15" s="1"/>
  <c r="BH59" i="15" s="1"/>
  <c r="BI59" i="15" s="1"/>
  <c r="BJ59" i="15" s="1"/>
  <c r="BK59" i="15" s="1"/>
  <c r="BL59" i="15" s="1"/>
  <c r="BM59" i="15" s="1"/>
  <c r="BN59" i="15" s="1"/>
  <c r="BO59" i="15" s="1"/>
  <c r="BP59" i="15" s="1"/>
  <c r="BQ59" i="15" s="1"/>
  <c r="BR59" i="15" s="1"/>
  <c r="BS59" i="15" s="1"/>
  <c r="BT59" i="15" s="1"/>
  <c r="BU59" i="15" s="1"/>
  <c r="BF58" i="15"/>
  <c r="BG58" i="15" s="1"/>
  <c r="BH58" i="15" s="1"/>
  <c r="BI58" i="15" s="1"/>
  <c r="BJ58" i="15" s="1"/>
  <c r="BK58" i="15" s="1"/>
  <c r="BL58" i="15" s="1"/>
  <c r="BM58" i="15" s="1"/>
  <c r="BN58" i="15" s="1"/>
  <c r="BO58" i="15" s="1"/>
  <c r="BP58" i="15" s="1"/>
  <c r="BQ58" i="15" s="1"/>
  <c r="BR58" i="15" s="1"/>
  <c r="BS58" i="15" s="1"/>
  <c r="BT58" i="15" s="1"/>
  <c r="BU58" i="15" s="1"/>
  <c r="BH53" i="15"/>
  <c r="BE53" i="15"/>
  <c r="BE56" i="15" s="1"/>
  <c r="BC44" i="15"/>
  <c r="BD44" i="15" s="1"/>
  <c r="BE44" i="15" s="1"/>
  <c r="BF44" i="15" s="1"/>
  <c r="BG44" i="15" s="1"/>
  <c r="BH44" i="15" s="1"/>
  <c r="BI44" i="15" s="1"/>
  <c r="BJ44" i="15" s="1"/>
  <c r="BK44" i="15" s="1"/>
  <c r="BL44" i="15" s="1"/>
  <c r="BM44" i="15" s="1"/>
  <c r="BN44" i="15" s="1"/>
  <c r="BO44" i="15" s="1"/>
  <c r="BP44" i="15" s="1"/>
  <c r="BQ44" i="15" s="1"/>
  <c r="BR44" i="15" s="1"/>
  <c r="BS44" i="15" s="1"/>
  <c r="BT44" i="15" s="1"/>
  <c r="BU44" i="15" s="1"/>
  <c r="BG41" i="15"/>
  <c r="BF41" i="15"/>
  <c r="BE41" i="15"/>
  <c r="BG39" i="15"/>
  <c r="BF39" i="15"/>
  <c r="BE39" i="15"/>
  <c r="BG37" i="15"/>
  <c r="BF37" i="15"/>
  <c r="BE37" i="15"/>
  <c r="BG35" i="15"/>
  <c r="BF35" i="15"/>
  <c r="BE35" i="15"/>
  <c r="BF33" i="15"/>
  <c r="BE33" i="15"/>
  <c r="BG32" i="15"/>
  <c r="BG29" i="15"/>
  <c r="BG33" i="15" s="1"/>
  <c r="BF31" i="15"/>
  <c r="BE31" i="15"/>
  <c r="BF29" i="15"/>
  <c r="BE29" i="15"/>
  <c r="BH40" i="15"/>
  <c r="BI40" i="15" s="1"/>
  <c r="BJ40" i="15" s="1"/>
  <c r="BK40" i="15" s="1"/>
  <c r="BL40" i="15" s="1"/>
  <c r="BM40" i="15" s="1"/>
  <c r="BN40" i="15" s="1"/>
  <c r="BO40" i="15" s="1"/>
  <c r="BP40" i="15" s="1"/>
  <c r="BQ40" i="15" s="1"/>
  <c r="BR40" i="15" s="1"/>
  <c r="BS40" i="15" s="1"/>
  <c r="BT40" i="15" s="1"/>
  <c r="BU40" i="15" s="1"/>
  <c r="BI36" i="15"/>
  <c r="BJ36" i="15" s="1"/>
  <c r="BK36" i="15" s="1"/>
  <c r="BL36" i="15" s="1"/>
  <c r="BM36" i="15" s="1"/>
  <c r="BN36" i="15" s="1"/>
  <c r="BO36" i="15" s="1"/>
  <c r="BP36" i="15" s="1"/>
  <c r="BQ36" i="15" s="1"/>
  <c r="BR36" i="15" s="1"/>
  <c r="BS36" i="15" s="1"/>
  <c r="BT36" i="15" s="1"/>
  <c r="BU36" i="15" s="1"/>
  <c r="BI32" i="15"/>
  <c r="BJ32" i="15" s="1"/>
  <c r="BK32" i="15" s="1"/>
  <c r="BL32" i="15" s="1"/>
  <c r="BM32" i="15" s="1"/>
  <c r="BN32" i="15" s="1"/>
  <c r="BO32" i="15" s="1"/>
  <c r="BP32" i="15" s="1"/>
  <c r="BQ32" i="15" s="1"/>
  <c r="BR32" i="15" s="1"/>
  <c r="BS32" i="15" s="1"/>
  <c r="BT32" i="15" s="1"/>
  <c r="BU32" i="15" s="1"/>
  <c r="BH33" i="15"/>
  <c r="BH37" i="15" s="1"/>
  <c r="BH31" i="15"/>
  <c r="BH35" i="15" s="1"/>
  <c r="BG27" i="15"/>
  <c r="BG31" i="15" s="1"/>
  <c r="BF27" i="15"/>
  <c r="BE27" i="15"/>
  <c r="BB12" i="15"/>
  <c r="BB13" i="15" s="1"/>
  <c r="BB14" i="15" s="1"/>
  <c r="BF9" i="15"/>
  <c r="AA9" i="46" s="1"/>
  <c r="AA18" i="46" s="1"/>
  <c r="BD9" i="15"/>
  <c r="BC9" i="15" s="1"/>
  <c r="X9" i="46" s="1"/>
  <c r="X18" i="46" s="1"/>
  <c r="BE8" i="15"/>
  <c r="BD8" i="15" s="1"/>
  <c r="Y8" i="46" s="1"/>
  <c r="Y17" i="46" s="1"/>
  <c r="BG8" i="15"/>
  <c r="AB8" i="46" s="1"/>
  <c r="AB17" i="46" s="1"/>
  <c r="BE7" i="15"/>
  <c r="BF7" i="15" s="1"/>
  <c r="AA7" i="46" s="1"/>
  <c r="AA16" i="46" s="1"/>
  <c r="BE3" i="15"/>
  <c r="G68" i="51"/>
  <c r="F68" i="51"/>
  <c r="E68" i="51"/>
  <c r="I66" i="51"/>
  <c r="F63" i="51"/>
  <c r="D63" i="51"/>
  <c r="I61" i="51"/>
  <c r="I60" i="51"/>
  <c r="I69" i="51" s="1"/>
  <c r="H60" i="51"/>
  <c r="H69" i="51" s="1"/>
  <c r="G60" i="51"/>
  <c r="G69" i="51" s="1"/>
  <c r="F60" i="51"/>
  <c r="F69" i="51" s="1"/>
  <c r="E60" i="51"/>
  <c r="E69" i="51" s="1"/>
  <c r="D60" i="51"/>
  <c r="F57" i="51"/>
  <c r="D57" i="51"/>
  <c r="F55" i="51"/>
  <c r="D55" i="51"/>
  <c r="F52" i="51"/>
  <c r="D52" i="51"/>
  <c r="G50" i="51"/>
  <c r="G63" i="51" s="1"/>
  <c r="E50" i="51"/>
  <c r="E63" i="51" s="1"/>
  <c r="K13" i="34" l="1"/>
  <c r="L13" i="34" s="1"/>
  <c r="M13" i="34" s="1"/>
  <c r="N13" i="34" s="1"/>
  <c r="O13" i="34" s="1"/>
  <c r="P13" i="34" s="1"/>
  <c r="Q13" i="34" s="1"/>
  <c r="R13" i="34" s="1"/>
  <c r="S13" i="34" s="1"/>
  <c r="AL54" i="48"/>
  <c r="BE54" i="15"/>
  <c r="AN54" i="48"/>
  <c r="AN55" i="48" s="1"/>
  <c r="D7" i="45"/>
  <c r="C7" i="45" s="1"/>
  <c r="I40" i="45"/>
  <c r="I44" i="45" s="1"/>
  <c r="E44" i="45"/>
  <c r="G81" i="45"/>
  <c r="F81" i="45" s="1"/>
  <c r="AA12" i="30"/>
  <c r="AA21" i="30" s="1"/>
  <c r="F7" i="34"/>
  <c r="F10" i="34" s="1"/>
  <c r="J7" i="34"/>
  <c r="J10" i="34" s="1"/>
  <c r="N7" i="34"/>
  <c r="N10" i="34" s="1"/>
  <c r="R7" i="34"/>
  <c r="R10" i="34" s="1"/>
  <c r="L47" i="47"/>
  <c r="M47" i="47" s="1"/>
  <c r="N47" i="47" s="1"/>
  <c r="O47" i="47" s="1"/>
  <c r="P47" i="47" s="1"/>
  <c r="Q47" i="47" s="1"/>
  <c r="R47" i="47" s="1"/>
  <c r="S47" i="47" s="1"/>
  <c r="T47" i="47" s="1"/>
  <c r="J40" i="45"/>
  <c r="J44" i="45" s="1"/>
  <c r="Z7" i="46"/>
  <c r="Z16" i="46" s="1"/>
  <c r="G7" i="34"/>
  <c r="G10" i="34" s="1"/>
  <c r="K7" i="34"/>
  <c r="K10" i="34" s="1"/>
  <c r="O7" i="34"/>
  <c r="O10" i="34" s="1"/>
  <c r="K49" i="47"/>
  <c r="H50" i="51"/>
  <c r="H63" i="51" s="1"/>
  <c r="BF53" i="15"/>
  <c r="G44" i="45"/>
  <c r="I81" i="45"/>
  <c r="I155" i="45" s="1"/>
  <c r="J155" i="45" s="1"/>
  <c r="D7" i="34"/>
  <c r="D10" i="34" s="1"/>
  <c r="H7" i="34"/>
  <c r="H10" i="34" s="1"/>
  <c r="L7" i="34"/>
  <c r="L10" i="34" s="1"/>
  <c r="P7" i="34"/>
  <c r="P10" i="34" s="1"/>
  <c r="D29" i="47"/>
  <c r="E29" i="47" s="1"/>
  <c r="F29" i="47" s="1"/>
  <c r="BT211" i="5"/>
  <c r="BO216" i="5"/>
  <c r="BO225" i="5" s="1"/>
  <c r="AM32" i="48"/>
  <c r="AN28" i="48"/>
  <c r="AO28" i="48" s="1"/>
  <c r="AL31" i="48"/>
  <c r="AL33" i="48"/>
  <c r="BI28" i="15"/>
  <c r="BH8" i="15"/>
  <c r="BI8" i="15" s="1"/>
  <c r="AD8" i="46" s="1"/>
  <c r="AD17" i="46" s="1"/>
  <c r="BG9" i="15"/>
  <c r="BH9" i="15" s="1"/>
  <c r="AC9" i="46" s="1"/>
  <c r="AC18" i="46" s="1"/>
  <c r="Z8" i="46"/>
  <c r="Z17" i="46" s="1"/>
  <c r="Y9" i="46"/>
  <c r="Y18" i="46" s="1"/>
  <c r="BH41" i="15"/>
  <c r="AA63" i="54"/>
  <c r="AA41" i="54"/>
  <c r="AB6" i="54"/>
  <c r="K9" i="54"/>
  <c r="AO32" i="54"/>
  <c r="AM32" i="54"/>
  <c r="AK32" i="54"/>
  <c r="AI32" i="54"/>
  <c r="AG32" i="54"/>
  <c r="AE32" i="54"/>
  <c r="AC32" i="54"/>
  <c r="AA32" i="54"/>
  <c r="AN23" i="54"/>
  <c r="AL23" i="54"/>
  <c r="AJ23" i="54"/>
  <c r="AH23" i="54"/>
  <c r="AF23" i="54"/>
  <c r="AD23" i="54"/>
  <c r="AB23" i="54"/>
  <c r="AN32" i="54"/>
  <c r="AL32" i="54"/>
  <c r="AJ32" i="54"/>
  <c r="AH32" i="54"/>
  <c r="AF32" i="54"/>
  <c r="AD32" i="54"/>
  <c r="AB32" i="54"/>
  <c r="AO23" i="54"/>
  <c r="AM23" i="54"/>
  <c r="AK23" i="54"/>
  <c r="AI23" i="54"/>
  <c r="AG23" i="54"/>
  <c r="AE23" i="54"/>
  <c r="AC23" i="54"/>
  <c r="AA23" i="54"/>
  <c r="AN14" i="54"/>
  <c r="AL14" i="54"/>
  <c r="AJ14" i="54"/>
  <c r="AH14" i="54"/>
  <c r="AF14" i="54"/>
  <c r="AD14" i="54"/>
  <c r="AB14" i="54"/>
  <c r="J8" i="54"/>
  <c r="L8" i="54"/>
  <c r="AC14" i="54"/>
  <c r="AG14" i="54"/>
  <c r="AK14" i="54"/>
  <c r="AO14" i="54"/>
  <c r="AA25" i="54"/>
  <c r="AB16" i="54"/>
  <c r="AA14" i="54"/>
  <c r="AE14" i="54"/>
  <c r="AI14" i="54"/>
  <c r="AM14" i="54"/>
  <c r="M19" i="47"/>
  <c r="L8" i="47"/>
  <c r="L18" i="47" s="1"/>
  <c r="M9" i="47"/>
  <c r="E32" i="47"/>
  <c r="S72" i="47"/>
  <c r="Q72" i="47"/>
  <c r="O72" i="47"/>
  <c r="M72" i="47"/>
  <c r="K72" i="47"/>
  <c r="I72" i="47"/>
  <c r="I71" i="47" s="1"/>
  <c r="M69" i="47"/>
  <c r="K69" i="47"/>
  <c r="I69" i="47"/>
  <c r="T72" i="47"/>
  <c r="R72" i="47"/>
  <c r="P72" i="47"/>
  <c r="N72" i="47"/>
  <c r="L72" i="47"/>
  <c r="J72" i="47"/>
  <c r="J69" i="47"/>
  <c r="L19" i="47"/>
  <c r="L69" i="47" s="1"/>
  <c r="D32" i="47"/>
  <c r="J42" i="47"/>
  <c r="L42" i="47"/>
  <c r="J45" i="47"/>
  <c r="L45" i="47"/>
  <c r="N45" i="47"/>
  <c r="P45" i="47"/>
  <c r="R45" i="47"/>
  <c r="T45" i="47"/>
  <c r="L49" i="47"/>
  <c r="M49" i="47" s="1"/>
  <c r="N49" i="47" s="1"/>
  <c r="O49" i="47" s="1"/>
  <c r="P49" i="47" s="1"/>
  <c r="Q49" i="47" s="1"/>
  <c r="R49" i="47" s="1"/>
  <c r="S49" i="47" s="1"/>
  <c r="T49" i="47" s="1"/>
  <c r="D56" i="47"/>
  <c r="C59" i="47"/>
  <c r="I42" i="47"/>
  <c r="K42" i="47"/>
  <c r="M42" i="47"/>
  <c r="I45" i="47"/>
  <c r="I44" i="47" s="1"/>
  <c r="K45" i="47"/>
  <c r="M45" i="47"/>
  <c r="O45" i="47"/>
  <c r="Q45" i="47"/>
  <c r="S45" i="47"/>
  <c r="K76" i="47"/>
  <c r="L74" i="47"/>
  <c r="M74" i="47" s="1"/>
  <c r="N74" i="47" s="1"/>
  <c r="O74" i="47" s="1"/>
  <c r="P74" i="47" s="1"/>
  <c r="Q74" i="47" s="1"/>
  <c r="R74" i="47" s="1"/>
  <c r="S74" i="47" s="1"/>
  <c r="T74" i="47" s="1"/>
  <c r="I65" i="34"/>
  <c r="I45" i="34"/>
  <c r="J6" i="34"/>
  <c r="K29" i="34"/>
  <c r="L29" i="34" s="1"/>
  <c r="M29" i="34" s="1"/>
  <c r="N29" i="34" s="1"/>
  <c r="O29" i="34" s="1"/>
  <c r="P29" i="34" s="1"/>
  <c r="Q29" i="34" s="1"/>
  <c r="R29" i="34" s="1"/>
  <c r="S29" i="34" s="1"/>
  <c r="J28" i="34"/>
  <c r="D26" i="34"/>
  <c r="E11" i="34"/>
  <c r="F11" i="34" s="1"/>
  <c r="G11" i="34" s="1"/>
  <c r="H11" i="34" s="1"/>
  <c r="I11" i="34" s="1"/>
  <c r="J11" i="34" s="1"/>
  <c r="K11" i="34" s="1"/>
  <c r="L11" i="34" s="1"/>
  <c r="M11" i="34" s="1"/>
  <c r="N11" i="34" s="1"/>
  <c r="O11" i="34" s="1"/>
  <c r="P11" i="34" s="1"/>
  <c r="Q11" i="34" s="1"/>
  <c r="R11" i="34" s="1"/>
  <c r="S11" i="34" s="1"/>
  <c r="L32" i="34"/>
  <c r="L19" i="34"/>
  <c r="M17" i="34"/>
  <c r="M19" i="34" s="1"/>
  <c r="L16" i="34"/>
  <c r="K32" i="34"/>
  <c r="K31" i="34" s="1"/>
  <c r="K36" i="34"/>
  <c r="K34" i="34"/>
  <c r="I34" i="34"/>
  <c r="K16" i="34"/>
  <c r="I19" i="34"/>
  <c r="K19" i="34"/>
  <c r="K22" i="34"/>
  <c r="J34" i="34"/>
  <c r="U65" i="34"/>
  <c r="D9" i="30"/>
  <c r="X11" i="30"/>
  <c r="AB12" i="30"/>
  <c r="E8" i="30"/>
  <c r="S14" i="30"/>
  <c r="W14" i="30"/>
  <c r="AA14" i="30"/>
  <c r="AA23" i="30"/>
  <c r="Y23" i="30"/>
  <c r="S23" i="30"/>
  <c r="Z23" i="30"/>
  <c r="T23" i="30"/>
  <c r="AB14" i="30"/>
  <c r="Z14" i="30"/>
  <c r="X14" i="30"/>
  <c r="V14" i="30"/>
  <c r="T14" i="30"/>
  <c r="U14" i="30"/>
  <c r="Y14" i="30"/>
  <c r="S25" i="30"/>
  <c r="T16" i="30"/>
  <c r="AP38" i="46"/>
  <c r="AN38" i="46"/>
  <c r="AL38" i="46"/>
  <c r="AJ38" i="46"/>
  <c r="AH38" i="46"/>
  <c r="AF38" i="46"/>
  <c r="AD38" i="46"/>
  <c r="AB38" i="46"/>
  <c r="Z38" i="46"/>
  <c r="X38" i="46"/>
  <c r="AO38" i="46"/>
  <c r="AM38" i="46"/>
  <c r="AK38" i="46"/>
  <c r="AI38" i="46"/>
  <c r="AG38" i="46"/>
  <c r="AE38" i="46"/>
  <c r="AC38" i="46"/>
  <c r="AA38" i="46"/>
  <c r="Y38" i="46"/>
  <c r="W38" i="46"/>
  <c r="F12" i="45"/>
  <c r="G12" i="45" s="1"/>
  <c r="H12" i="45" s="1"/>
  <c r="I12" i="45" s="1"/>
  <c r="J12" i="45" s="1"/>
  <c r="K12" i="45" s="1"/>
  <c r="L12" i="45" s="1"/>
  <c r="M12" i="45" s="1"/>
  <c r="N12" i="45" s="1"/>
  <c r="O12" i="45" s="1"/>
  <c r="P12" i="45" s="1"/>
  <c r="Q12" i="45" s="1"/>
  <c r="R12" i="45" s="1"/>
  <c r="S12" i="45" s="1"/>
  <c r="T12" i="45" s="1"/>
  <c r="U12" i="45" s="1"/>
  <c r="V12" i="45" s="1"/>
  <c r="D12" i="45"/>
  <c r="C12" i="45" s="1"/>
  <c r="C11" i="45" s="1"/>
  <c r="C15" i="45" s="1"/>
  <c r="V139" i="45"/>
  <c r="T139" i="45"/>
  <c r="R139" i="45"/>
  <c r="P139" i="45"/>
  <c r="N139" i="45"/>
  <c r="L139" i="45"/>
  <c r="J139" i="45"/>
  <c r="U135" i="45"/>
  <c r="S135" i="45"/>
  <c r="Q135" i="45"/>
  <c r="O135" i="45"/>
  <c r="M135" i="45"/>
  <c r="K135" i="45"/>
  <c r="V131" i="45"/>
  <c r="T131" i="45"/>
  <c r="R131" i="45"/>
  <c r="P131" i="45"/>
  <c r="N131" i="45"/>
  <c r="L131" i="45"/>
  <c r="U139" i="45"/>
  <c r="S139" i="45"/>
  <c r="Q139" i="45"/>
  <c r="O139" i="45"/>
  <c r="M139" i="45"/>
  <c r="K139" i="45"/>
  <c r="V135" i="45"/>
  <c r="T135" i="45"/>
  <c r="R135" i="45"/>
  <c r="P135" i="45"/>
  <c r="N135" i="45"/>
  <c r="L135" i="45"/>
  <c r="J135" i="45"/>
  <c r="U131" i="45"/>
  <c r="S131" i="45"/>
  <c r="Q131" i="45"/>
  <c r="O131" i="45"/>
  <c r="M131" i="45"/>
  <c r="K131" i="45"/>
  <c r="J125" i="45"/>
  <c r="J121" i="45"/>
  <c r="J117" i="45"/>
  <c r="J131" i="45"/>
  <c r="K125" i="45"/>
  <c r="K121" i="45"/>
  <c r="K117" i="45"/>
  <c r="D65" i="45"/>
  <c r="G61" i="45"/>
  <c r="I57" i="45"/>
  <c r="G57" i="45"/>
  <c r="E51" i="45"/>
  <c r="G47" i="45"/>
  <c r="E47" i="45"/>
  <c r="K43" i="45"/>
  <c r="I43" i="45"/>
  <c r="G43" i="45"/>
  <c r="E43" i="45"/>
  <c r="H61" i="45"/>
  <c r="F61" i="45"/>
  <c r="H57" i="45"/>
  <c r="F57" i="45"/>
  <c r="H47" i="45"/>
  <c r="F47" i="45"/>
  <c r="J43" i="45"/>
  <c r="H43" i="45"/>
  <c r="F43" i="45"/>
  <c r="X224" i="45"/>
  <c r="F7" i="45"/>
  <c r="E10" i="45"/>
  <c r="D11" i="45"/>
  <c r="D15" i="45" s="1"/>
  <c r="K55" i="45"/>
  <c r="K45" i="45"/>
  <c r="K42" i="45"/>
  <c r="K46" i="45" s="1"/>
  <c r="K40" i="45"/>
  <c r="K44" i="45" s="1"/>
  <c r="L41" i="45"/>
  <c r="E50" i="45"/>
  <c r="E48" i="45"/>
  <c r="G63" i="45"/>
  <c r="G60" i="45"/>
  <c r="G58" i="45"/>
  <c r="F83" i="45"/>
  <c r="E80" i="45"/>
  <c r="J83" i="45"/>
  <c r="K80" i="45"/>
  <c r="I171" i="45"/>
  <c r="I203" i="45" s="1"/>
  <c r="E18" i="45"/>
  <c r="E29" i="45" s="1"/>
  <c r="E19" i="45"/>
  <c r="E30" i="45" s="1"/>
  <c r="E23" i="45"/>
  <c r="E34" i="45" s="1"/>
  <c r="E24" i="45"/>
  <c r="E35" i="45" s="1"/>
  <c r="I56" i="45"/>
  <c r="I54" i="45"/>
  <c r="F60" i="45"/>
  <c r="F58" i="45"/>
  <c r="H60" i="45"/>
  <c r="H58" i="45"/>
  <c r="H63" i="45"/>
  <c r="H65" i="45" s="1"/>
  <c r="F84" i="45"/>
  <c r="E81" i="45"/>
  <c r="J42" i="45"/>
  <c r="J46" i="45" s="1"/>
  <c r="J45" i="45"/>
  <c r="F46" i="45"/>
  <c r="F49" i="45"/>
  <c r="H49" i="45"/>
  <c r="J55" i="45"/>
  <c r="K155" i="45"/>
  <c r="J158" i="45"/>
  <c r="G83" i="45"/>
  <c r="I83" i="45"/>
  <c r="I157" i="45" s="1"/>
  <c r="G84" i="45"/>
  <c r="I84" i="45"/>
  <c r="I158" i="45" s="1"/>
  <c r="I42" i="45"/>
  <c r="I46" i="45" s="1"/>
  <c r="I45" i="45"/>
  <c r="E46" i="45"/>
  <c r="G46" i="45"/>
  <c r="G49" i="45"/>
  <c r="F54" i="45"/>
  <c r="H54" i="45"/>
  <c r="J81" i="45"/>
  <c r="L115" i="45"/>
  <c r="K166" i="45"/>
  <c r="L150" i="45"/>
  <c r="M150" i="45" s="1"/>
  <c r="N150" i="45" s="1"/>
  <c r="O150" i="45" s="1"/>
  <c r="P150" i="45" s="1"/>
  <c r="Q150" i="45" s="1"/>
  <c r="R150" i="45" s="1"/>
  <c r="S150" i="45" s="1"/>
  <c r="T150" i="45" s="1"/>
  <c r="U150" i="45" s="1"/>
  <c r="V150" i="45" s="1"/>
  <c r="J157" i="45"/>
  <c r="K154" i="45"/>
  <c r="AL17" i="48"/>
  <c r="AM13" i="48"/>
  <c r="AN13" i="48" s="1"/>
  <c r="AO13" i="48" s="1"/>
  <c r="AP13" i="48" s="1"/>
  <c r="AQ13" i="48" s="1"/>
  <c r="AR13" i="48" s="1"/>
  <c r="AS13" i="48" s="1"/>
  <c r="AT13" i="48" s="1"/>
  <c r="AU13" i="48" s="1"/>
  <c r="AV13" i="48" s="1"/>
  <c r="AW13" i="48" s="1"/>
  <c r="AX13" i="48" s="1"/>
  <c r="AY13" i="48" s="1"/>
  <c r="AZ13" i="48" s="1"/>
  <c r="BA13" i="48" s="1"/>
  <c r="AL38" i="48"/>
  <c r="AL34" i="48"/>
  <c r="AN30" i="48"/>
  <c r="AL30" i="48"/>
  <c r="AM34" i="48"/>
  <c r="AK34" i="48"/>
  <c r="AK30" i="48"/>
  <c r="AM30" i="48"/>
  <c r="AJ17" i="48"/>
  <c r="C14" i="48"/>
  <c r="D14" i="48" s="1"/>
  <c r="E14" i="48" s="1"/>
  <c r="F14" i="48" s="1"/>
  <c r="G14" i="48" s="1"/>
  <c r="H14" i="48" s="1"/>
  <c r="I14" i="48" s="1"/>
  <c r="J14" i="48" s="1"/>
  <c r="K14" i="48" s="1"/>
  <c r="L14" i="48" s="1"/>
  <c r="M14" i="48" s="1"/>
  <c r="N14" i="48" s="1"/>
  <c r="O14" i="48" s="1"/>
  <c r="P14" i="48" s="1"/>
  <c r="Q14" i="48" s="1"/>
  <c r="R14" i="48" s="1"/>
  <c r="S14" i="48" s="1"/>
  <c r="T14" i="48" s="1"/>
  <c r="U14" i="48" s="1"/>
  <c r="V14" i="48" s="1"/>
  <c r="W14" i="48" s="1"/>
  <c r="X14" i="48" s="1"/>
  <c r="Y14" i="48" s="1"/>
  <c r="Z14" i="48" s="1"/>
  <c r="AA14" i="48" s="1"/>
  <c r="AB14" i="48" s="1"/>
  <c r="AC14" i="48" s="1"/>
  <c r="AD14" i="48" s="1"/>
  <c r="AE14" i="48" s="1"/>
  <c r="AF14" i="48" s="1"/>
  <c r="AG14" i="48" s="1"/>
  <c r="AH14" i="48" s="1"/>
  <c r="AI14" i="48" s="1"/>
  <c r="AJ14" i="48" s="1"/>
  <c r="AK14" i="48" s="1"/>
  <c r="AI7" i="48"/>
  <c r="AM7" i="48"/>
  <c r="AN8" i="48"/>
  <c r="AI8" i="48"/>
  <c r="AK17" i="48"/>
  <c r="AH9" i="48"/>
  <c r="AM9" i="48"/>
  <c r="D12" i="48"/>
  <c r="E12" i="48" s="1"/>
  <c r="F12" i="48" s="1"/>
  <c r="G12" i="48" s="1"/>
  <c r="H12" i="48" s="1"/>
  <c r="I12" i="48" s="1"/>
  <c r="J12" i="48" s="1"/>
  <c r="K12" i="48" s="1"/>
  <c r="L12" i="48" s="1"/>
  <c r="M12" i="48" s="1"/>
  <c r="N12" i="48" s="1"/>
  <c r="O12" i="48" s="1"/>
  <c r="P12" i="48" s="1"/>
  <c r="Q12" i="48" s="1"/>
  <c r="R12" i="48" s="1"/>
  <c r="S12" i="48" s="1"/>
  <c r="T12" i="48" s="1"/>
  <c r="U12" i="48" s="1"/>
  <c r="V12" i="48" s="1"/>
  <c r="W12" i="48" s="1"/>
  <c r="X12" i="48" s="1"/>
  <c r="Y12" i="48" s="1"/>
  <c r="Z12" i="48" s="1"/>
  <c r="AA12" i="48" s="1"/>
  <c r="AB12" i="48" s="1"/>
  <c r="AC12" i="48" s="1"/>
  <c r="AD12" i="48" s="1"/>
  <c r="AE12" i="48" s="1"/>
  <c r="AF12" i="48" s="1"/>
  <c r="AG12" i="48" s="1"/>
  <c r="AH12" i="48" s="1"/>
  <c r="AI12" i="48" s="1"/>
  <c r="AJ12" i="48" s="1"/>
  <c r="AK12" i="48" s="1"/>
  <c r="AL12" i="48" s="1"/>
  <c r="AM12" i="48" s="1"/>
  <c r="AN12" i="48" s="1"/>
  <c r="AO12" i="48" s="1"/>
  <c r="AP12" i="48" s="1"/>
  <c r="AQ12" i="48" s="1"/>
  <c r="AR12" i="48" s="1"/>
  <c r="AS12" i="48" s="1"/>
  <c r="AT12" i="48" s="1"/>
  <c r="AU12" i="48" s="1"/>
  <c r="AV12" i="48" s="1"/>
  <c r="AW12" i="48" s="1"/>
  <c r="AX12" i="48" s="1"/>
  <c r="AY12" i="48" s="1"/>
  <c r="AZ12" i="48" s="1"/>
  <c r="BA12" i="48" s="1"/>
  <c r="AK33" i="48"/>
  <c r="AK31" i="48"/>
  <c r="AK36" i="48"/>
  <c r="AM33" i="48"/>
  <c r="AM31" i="48"/>
  <c r="AM36" i="48"/>
  <c r="AL40" i="48"/>
  <c r="AL37" i="48"/>
  <c r="AL35" i="48"/>
  <c r="AK56" i="48"/>
  <c r="AK54" i="48"/>
  <c r="AM54" i="48"/>
  <c r="AO54" i="48"/>
  <c r="AP53" i="48"/>
  <c r="AL55" i="48"/>
  <c r="BC8" i="15"/>
  <c r="X8" i="46" s="1"/>
  <c r="X17" i="46" s="1"/>
  <c r="BG7" i="15"/>
  <c r="AB7" i="46" s="1"/>
  <c r="AB16" i="46" s="1"/>
  <c r="BB9" i="15"/>
  <c r="W9" i="46" s="1"/>
  <c r="W18" i="46" s="1"/>
  <c r="BI9" i="15"/>
  <c r="AD9" i="46" s="1"/>
  <c r="AD18" i="46" s="1"/>
  <c r="BC14" i="15"/>
  <c r="BD14" i="15" s="1"/>
  <c r="BE14" i="15" s="1"/>
  <c r="BA14" i="15"/>
  <c r="AZ14" i="15" s="1"/>
  <c r="AY14" i="15" s="1"/>
  <c r="AX14" i="15" s="1"/>
  <c r="AW14" i="15" s="1"/>
  <c r="AV14" i="15" s="1"/>
  <c r="AU14" i="15" s="1"/>
  <c r="AT14" i="15" s="1"/>
  <c r="AS14" i="15" s="1"/>
  <c r="AR14" i="15" s="1"/>
  <c r="AQ14" i="15" s="1"/>
  <c r="AP14" i="15" s="1"/>
  <c r="AO14" i="15" s="1"/>
  <c r="AN14" i="15" s="1"/>
  <c r="AM14" i="15" s="1"/>
  <c r="AL14" i="15" s="1"/>
  <c r="AK14" i="15" s="1"/>
  <c r="AJ14" i="15" s="1"/>
  <c r="AI14" i="15" s="1"/>
  <c r="AH14" i="15" s="1"/>
  <c r="AG14" i="15" s="1"/>
  <c r="AF14" i="15" s="1"/>
  <c r="AE14" i="15" s="1"/>
  <c r="AD14" i="15" s="1"/>
  <c r="AC14" i="15" s="1"/>
  <c r="AB14" i="15" s="1"/>
  <c r="AA14" i="15" s="1"/>
  <c r="Z14" i="15" s="1"/>
  <c r="Y14" i="15" s="1"/>
  <c r="X14" i="15" s="1"/>
  <c r="W14" i="15" s="1"/>
  <c r="V14" i="15" s="1"/>
  <c r="U14" i="15" s="1"/>
  <c r="T14" i="15" s="1"/>
  <c r="S14" i="15" s="1"/>
  <c r="R14" i="15" s="1"/>
  <c r="Q14" i="15" s="1"/>
  <c r="P14" i="15" s="1"/>
  <c r="O14" i="15" s="1"/>
  <c r="N14" i="15" s="1"/>
  <c r="M14" i="15" s="1"/>
  <c r="L14" i="15" s="1"/>
  <c r="K14" i="15" s="1"/>
  <c r="J14" i="15" s="1"/>
  <c r="I14" i="15" s="1"/>
  <c r="H14" i="15" s="1"/>
  <c r="G14" i="15" s="1"/>
  <c r="F14" i="15" s="1"/>
  <c r="E14" i="15" s="1"/>
  <c r="D14" i="15" s="1"/>
  <c r="C14" i="15" s="1"/>
  <c r="BU42" i="15"/>
  <c r="BS42" i="15"/>
  <c r="BQ42" i="15"/>
  <c r="BO42" i="15"/>
  <c r="BM42" i="15"/>
  <c r="BK42" i="15"/>
  <c r="BI42" i="15"/>
  <c r="BG42" i="15"/>
  <c r="BE42" i="15"/>
  <c r="BF38" i="15"/>
  <c r="BG34" i="15"/>
  <c r="BE34" i="15"/>
  <c r="BG30" i="15"/>
  <c r="BF30" i="15"/>
  <c r="BU38" i="15"/>
  <c r="BS38" i="15"/>
  <c r="BQ38" i="15"/>
  <c r="BO38" i="15"/>
  <c r="BM38" i="15"/>
  <c r="BK38" i="15"/>
  <c r="BI38" i="15"/>
  <c r="BU34" i="15"/>
  <c r="BS34" i="15"/>
  <c r="BQ34" i="15"/>
  <c r="BO34" i="15"/>
  <c r="BM34" i="15"/>
  <c r="BK34" i="15"/>
  <c r="BI34" i="15"/>
  <c r="BT42" i="15"/>
  <c r="BR42" i="15"/>
  <c r="BP42" i="15"/>
  <c r="BN42" i="15"/>
  <c r="BL42" i="15"/>
  <c r="BJ42" i="15"/>
  <c r="BH42" i="15"/>
  <c r="BF42" i="15"/>
  <c r="BG38" i="15"/>
  <c r="BE38" i="15"/>
  <c r="BF34" i="15"/>
  <c r="BE30" i="15"/>
  <c r="BT38" i="15"/>
  <c r="BR38" i="15"/>
  <c r="BP38" i="15"/>
  <c r="BN38" i="15"/>
  <c r="BL38" i="15"/>
  <c r="BJ38" i="15"/>
  <c r="BH38" i="15"/>
  <c r="BT34" i="15"/>
  <c r="BR34" i="15"/>
  <c r="BP34" i="15"/>
  <c r="BN34" i="15"/>
  <c r="BL34" i="15"/>
  <c r="BJ34" i="15"/>
  <c r="BH34" i="15"/>
  <c r="BH30" i="15"/>
  <c r="BI30" i="15"/>
  <c r="BD7" i="15"/>
  <c r="Y7" i="46" s="1"/>
  <c r="Y16" i="46" s="1"/>
  <c r="BA12" i="15"/>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Z12" i="15" s="1"/>
  <c r="Y12" i="15" s="1"/>
  <c r="X12" i="15" s="1"/>
  <c r="W12" i="15" s="1"/>
  <c r="V12" i="15" s="1"/>
  <c r="U12" i="15" s="1"/>
  <c r="T12" i="15" s="1"/>
  <c r="S12" i="15" s="1"/>
  <c r="R12" i="15" s="1"/>
  <c r="Q12" i="15" s="1"/>
  <c r="P12" i="15" s="1"/>
  <c r="O12" i="15" s="1"/>
  <c r="N12" i="15" s="1"/>
  <c r="M12" i="15" s="1"/>
  <c r="L12" i="15" s="1"/>
  <c r="K12" i="15" s="1"/>
  <c r="J12" i="15" s="1"/>
  <c r="I12" i="15" s="1"/>
  <c r="H12" i="15" s="1"/>
  <c r="G12" i="15" s="1"/>
  <c r="F12" i="15" s="1"/>
  <c r="E12" i="15" s="1"/>
  <c r="D12" i="15" s="1"/>
  <c r="C12" i="15" s="1"/>
  <c r="BC12" i="15"/>
  <c r="BD12" i="15" s="1"/>
  <c r="BE12" i="15" s="1"/>
  <c r="BF12" i="15" s="1"/>
  <c r="BG12" i="15" s="1"/>
  <c r="BH12" i="15" s="1"/>
  <c r="BI12" i="15" s="1"/>
  <c r="BJ12" i="15" s="1"/>
  <c r="BK12" i="15" s="1"/>
  <c r="BL12" i="15" s="1"/>
  <c r="BM12" i="15" s="1"/>
  <c r="BN12" i="15" s="1"/>
  <c r="BO12" i="15" s="1"/>
  <c r="BP12" i="15" s="1"/>
  <c r="BQ12" i="15" s="1"/>
  <c r="BR12" i="15" s="1"/>
  <c r="BS12" i="15" s="1"/>
  <c r="BT12" i="15" s="1"/>
  <c r="BU12" i="15" s="1"/>
  <c r="BC13" i="15"/>
  <c r="BD13" i="15" s="1"/>
  <c r="BE13" i="15" s="1"/>
  <c r="BF13" i="15" s="1"/>
  <c r="BA13" i="15"/>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Z13" i="15" s="1"/>
  <c r="Y13" i="15" s="1"/>
  <c r="X13" i="15" s="1"/>
  <c r="W13" i="15" s="1"/>
  <c r="V13" i="15" s="1"/>
  <c r="U13" i="15" s="1"/>
  <c r="T13" i="15" s="1"/>
  <c r="S13" i="15" s="1"/>
  <c r="R13" i="15" s="1"/>
  <c r="Q13" i="15" s="1"/>
  <c r="P13" i="15" s="1"/>
  <c r="O13" i="15" s="1"/>
  <c r="N13" i="15" s="1"/>
  <c r="M13" i="15" s="1"/>
  <c r="L13" i="15" s="1"/>
  <c r="K13" i="15" s="1"/>
  <c r="J13" i="15" s="1"/>
  <c r="I13" i="15" s="1"/>
  <c r="H13" i="15" s="1"/>
  <c r="G13" i="15" s="1"/>
  <c r="F13" i="15" s="1"/>
  <c r="E13" i="15" s="1"/>
  <c r="D13" i="15" s="1"/>
  <c r="C13" i="15" s="1"/>
  <c r="BI29" i="15"/>
  <c r="BI33" i="15" s="1"/>
  <c r="BI37" i="15" s="1"/>
  <c r="BI41" i="15" s="1"/>
  <c r="BH39" i="15"/>
  <c r="BF54" i="15"/>
  <c r="BG53" i="15"/>
  <c r="BF56" i="15"/>
  <c r="BH54" i="15"/>
  <c r="BI53" i="15"/>
  <c r="BE55" i="15"/>
  <c r="I50" i="51"/>
  <c r="E52" i="51"/>
  <c r="G52" i="51"/>
  <c r="E55" i="51"/>
  <c r="G55" i="51"/>
  <c r="E57" i="51"/>
  <c r="G57" i="51"/>
  <c r="H52" i="51"/>
  <c r="H55" i="51"/>
  <c r="H57" i="51"/>
  <c r="K58" i="51"/>
  <c r="L58" i="51" s="1"/>
  <c r="M58" i="51" s="1"/>
  <c r="N58" i="51" s="1"/>
  <c r="O58" i="51" s="1"/>
  <c r="P58" i="51" s="1"/>
  <c r="Q58" i="51" s="1"/>
  <c r="R58" i="51" s="1"/>
  <c r="S58" i="51" s="1"/>
  <c r="T58" i="51" s="1"/>
  <c r="U58" i="51" s="1"/>
  <c r="V58" i="51" s="1"/>
  <c r="W58" i="51" s="1"/>
  <c r="J58" i="51"/>
  <c r="J53" i="51"/>
  <c r="K53" i="51" s="1"/>
  <c r="L53" i="51" s="1"/>
  <c r="M53" i="51" s="1"/>
  <c r="N53" i="51" s="1"/>
  <c r="O53" i="51" s="1"/>
  <c r="P53" i="51" s="1"/>
  <c r="Q53" i="51" s="1"/>
  <c r="R53" i="51" s="1"/>
  <c r="S53" i="51" s="1"/>
  <c r="T53" i="51" s="1"/>
  <c r="U53" i="51" s="1"/>
  <c r="V53" i="51" s="1"/>
  <c r="W53" i="51" s="1"/>
  <c r="K49" i="51"/>
  <c r="J49" i="51"/>
  <c r="AN32" i="48" l="1"/>
  <c r="AO32" i="48"/>
  <c r="AO36" i="48" s="1"/>
  <c r="AM17" i="48"/>
  <c r="L48" i="47"/>
  <c r="M48" i="47" s="1"/>
  <c r="N48" i="47" s="1"/>
  <c r="O48" i="47" s="1"/>
  <c r="P48" i="47" s="1"/>
  <c r="Q48" i="47" s="1"/>
  <c r="R48" i="47" s="1"/>
  <c r="S48" i="47" s="1"/>
  <c r="T48" i="47" s="1"/>
  <c r="K28" i="34"/>
  <c r="L28" i="34" s="1"/>
  <c r="M28" i="34" s="1"/>
  <c r="N28" i="34" s="1"/>
  <c r="O28" i="34" s="1"/>
  <c r="P28" i="34" s="1"/>
  <c r="Q28" i="34" s="1"/>
  <c r="R28" i="34" s="1"/>
  <c r="S28" i="34" s="1"/>
  <c r="BT213" i="5"/>
  <c r="BT216" i="5" s="1"/>
  <c r="BT225" i="5" s="1"/>
  <c r="AJ18" i="48"/>
  <c r="BD18" i="15"/>
  <c r="BJ8" i="15"/>
  <c r="AE8" i="46" s="1"/>
  <c r="AE17" i="46" s="1"/>
  <c r="AC8" i="46"/>
  <c r="AC17" i="46" s="1"/>
  <c r="BJ28" i="15"/>
  <c r="BI27" i="15"/>
  <c r="BI31" i="15" s="1"/>
  <c r="BI35" i="15" s="1"/>
  <c r="BI39" i="15" s="1"/>
  <c r="AB9" i="46"/>
  <c r="AB18" i="46" s="1"/>
  <c r="BE17" i="15"/>
  <c r="AC16" i="54"/>
  <c r="AA34" i="54"/>
  <c r="AB25" i="54"/>
  <c r="J9" i="54"/>
  <c r="I8" i="54"/>
  <c r="L9" i="54"/>
  <c r="M8" i="54"/>
  <c r="AB63" i="54"/>
  <c r="AB41" i="54"/>
  <c r="AC6" i="54"/>
  <c r="L75" i="47"/>
  <c r="M75" i="47" s="1"/>
  <c r="N75" i="47" s="1"/>
  <c r="O75" i="47" s="1"/>
  <c r="P75" i="47" s="1"/>
  <c r="Q75" i="47" s="1"/>
  <c r="R75" i="47" s="1"/>
  <c r="S75" i="47" s="1"/>
  <c r="T75" i="47" s="1"/>
  <c r="L76" i="47"/>
  <c r="M76" i="47" s="1"/>
  <c r="N76" i="47" s="1"/>
  <c r="O76" i="47" s="1"/>
  <c r="P76" i="47" s="1"/>
  <c r="Q76" i="47" s="1"/>
  <c r="R76" i="47" s="1"/>
  <c r="S76" i="47" s="1"/>
  <c r="T76" i="47" s="1"/>
  <c r="D59" i="47"/>
  <c r="E56" i="47"/>
  <c r="G29" i="47"/>
  <c r="F32" i="47"/>
  <c r="N9" i="47"/>
  <c r="N19" i="47"/>
  <c r="N69" i="47" s="1"/>
  <c r="M8" i="47"/>
  <c r="M18" i="47" s="1"/>
  <c r="J24" i="34"/>
  <c r="K24" i="34"/>
  <c r="L22" i="34"/>
  <c r="I24" i="34"/>
  <c r="L36" i="34"/>
  <c r="M32" i="34"/>
  <c r="N17" i="34"/>
  <c r="M16" i="34"/>
  <c r="L34" i="34"/>
  <c r="L31" i="34"/>
  <c r="E26" i="34"/>
  <c r="F26" i="34" s="1"/>
  <c r="G26" i="34" s="1"/>
  <c r="H26" i="34" s="1"/>
  <c r="I26" i="34" s="1"/>
  <c r="J26" i="34" s="1"/>
  <c r="K26" i="34" s="1"/>
  <c r="L26" i="34" s="1"/>
  <c r="M26" i="34" s="1"/>
  <c r="N26" i="34" s="1"/>
  <c r="O26" i="34" s="1"/>
  <c r="P26" i="34" s="1"/>
  <c r="Q26" i="34" s="1"/>
  <c r="R26" i="34" s="1"/>
  <c r="S26" i="34" s="1"/>
  <c r="J45" i="34"/>
  <c r="J65" i="34"/>
  <c r="K6" i="34"/>
  <c r="U16" i="30"/>
  <c r="T25" i="30"/>
  <c r="E9" i="30"/>
  <c r="F8" i="30"/>
  <c r="X20" i="30"/>
  <c r="Y11" i="30"/>
  <c r="AB21" i="30"/>
  <c r="AB23" i="30" s="1"/>
  <c r="AC12" i="30"/>
  <c r="C25" i="45"/>
  <c r="C36" i="45" s="1"/>
  <c r="C24" i="45"/>
  <c r="C35" i="45" s="1"/>
  <c r="C23" i="45"/>
  <c r="C34" i="45" s="1"/>
  <c r="K157" i="45"/>
  <c r="L154" i="45"/>
  <c r="L119" i="45"/>
  <c r="M115" i="45"/>
  <c r="G50" i="45"/>
  <c r="G48" i="45"/>
  <c r="J56" i="45"/>
  <c r="J54" i="45"/>
  <c r="F63" i="45"/>
  <c r="F50" i="45"/>
  <c r="F48" i="45"/>
  <c r="J59" i="45"/>
  <c r="J49" i="45"/>
  <c r="D81" i="45"/>
  <c r="E84" i="45"/>
  <c r="G64" i="45"/>
  <c r="G62" i="45"/>
  <c r="K59" i="45"/>
  <c r="K49" i="45"/>
  <c r="D25" i="45"/>
  <c r="D36" i="45" s="1"/>
  <c r="D24" i="45"/>
  <c r="D35" i="45" s="1"/>
  <c r="D23" i="45"/>
  <c r="D34" i="45" s="1"/>
  <c r="F51" i="45"/>
  <c r="K47" i="45"/>
  <c r="L117" i="45"/>
  <c r="J84" i="45"/>
  <c r="K81" i="45"/>
  <c r="I59" i="45"/>
  <c r="I49" i="45"/>
  <c r="K158" i="45"/>
  <c r="L155" i="45"/>
  <c r="H50" i="45"/>
  <c r="H48" i="45"/>
  <c r="H64" i="45"/>
  <c r="H62" i="45"/>
  <c r="E68" i="45"/>
  <c r="E67" i="45"/>
  <c r="E73" i="45" s="1"/>
  <c r="L80" i="45"/>
  <c r="K83" i="45"/>
  <c r="D80" i="45"/>
  <c r="E83" i="45"/>
  <c r="M41" i="45"/>
  <c r="L55" i="45"/>
  <c r="L45" i="45"/>
  <c r="L42" i="45"/>
  <c r="L46" i="45" s="1"/>
  <c r="L40" i="45"/>
  <c r="L44" i="45" s="1"/>
  <c r="K56" i="45"/>
  <c r="K54" i="45"/>
  <c r="D10" i="45"/>
  <c r="F10" i="45"/>
  <c r="G10" i="45" s="1"/>
  <c r="H10" i="45" s="1"/>
  <c r="I10" i="45" s="1"/>
  <c r="J10" i="45" s="1"/>
  <c r="K10" i="45" s="1"/>
  <c r="L10" i="45" s="1"/>
  <c r="M10" i="45" s="1"/>
  <c r="N10" i="45" s="1"/>
  <c r="O10" i="45" s="1"/>
  <c r="P10" i="45" s="1"/>
  <c r="Q10" i="45" s="1"/>
  <c r="R10" i="45" s="1"/>
  <c r="S10" i="45" s="1"/>
  <c r="T10" i="45" s="1"/>
  <c r="U10" i="45" s="1"/>
  <c r="V10" i="45" s="1"/>
  <c r="F11" i="45"/>
  <c r="F15" i="45" s="1"/>
  <c r="G7" i="45"/>
  <c r="L43" i="45"/>
  <c r="J47" i="45"/>
  <c r="H51" i="45"/>
  <c r="J57" i="45"/>
  <c r="I47" i="45"/>
  <c r="G51" i="45"/>
  <c r="K57" i="45"/>
  <c r="G65" i="45"/>
  <c r="AP54" i="48"/>
  <c r="AQ53" i="48"/>
  <c r="AK55" i="48"/>
  <c r="AL41" i="48"/>
  <c r="AM40" i="48"/>
  <c r="AL39" i="48"/>
  <c r="AP28" i="48"/>
  <c r="AK37" i="48"/>
  <c r="AK35" i="48"/>
  <c r="AK40" i="48"/>
  <c r="AN9" i="48"/>
  <c r="AH18" i="48"/>
  <c r="AG9" i="48"/>
  <c r="AI17" i="48"/>
  <c r="AH8" i="48"/>
  <c r="AM16" i="48"/>
  <c r="AN7" i="48"/>
  <c r="AI16" i="48"/>
  <c r="AH7" i="48"/>
  <c r="AL16" i="48"/>
  <c r="AK38" i="48"/>
  <c r="AL42" i="48"/>
  <c r="AO55" i="48"/>
  <c r="AM55" i="48"/>
  <c r="AL56" i="48"/>
  <c r="AM37" i="48"/>
  <c r="AM35" i="48"/>
  <c r="AN17" i="48"/>
  <c r="AO8" i="48"/>
  <c r="AK16" i="48"/>
  <c r="AK18" i="48"/>
  <c r="AL14" i="48"/>
  <c r="AI18" i="48"/>
  <c r="AJ16" i="48"/>
  <c r="AO30" i="48"/>
  <c r="AM38" i="48"/>
  <c r="BH55" i="15"/>
  <c r="BG56" i="15"/>
  <c r="BG54" i="15"/>
  <c r="BD16" i="15"/>
  <c r="BC7" i="15"/>
  <c r="X7" i="46" s="1"/>
  <c r="X16" i="46" s="1"/>
  <c r="BJ9" i="15"/>
  <c r="AE9" i="46" s="1"/>
  <c r="AE18" i="46" s="1"/>
  <c r="BB18" i="15"/>
  <c r="BA9" i="15"/>
  <c r="V9" i="46" s="1"/>
  <c r="V18" i="46" s="1"/>
  <c r="BK8" i="15"/>
  <c r="AF8" i="46" s="1"/>
  <c r="AF17" i="46" s="1"/>
  <c r="BG16" i="15"/>
  <c r="BH7" i="15"/>
  <c r="AC7" i="46" s="1"/>
  <c r="AC16" i="46" s="1"/>
  <c r="BC17" i="15"/>
  <c r="BB8" i="15"/>
  <c r="W8" i="46" s="1"/>
  <c r="W17" i="46" s="1"/>
  <c r="BI54" i="15"/>
  <c r="BJ53" i="15"/>
  <c r="BF55" i="15"/>
  <c r="BE16" i="15"/>
  <c r="BF17" i="15"/>
  <c r="BG13" i="15"/>
  <c r="BE18" i="15"/>
  <c r="BF14" i="15"/>
  <c r="BC18" i="15"/>
  <c r="BF16" i="15"/>
  <c r="BD17" i="15"/>
  <c r="K66" i="51"/>
  <c r="K68" i="51" s="1"/>
  <c r="J66" i="51"/>
  <c r="J68" i="51" s="1"/>
  <c r="L49" i="51"/>
  <c r="I63" i="51"/>
  <c r="K63" i="51" s="1"/>
  <c r="L63" i="51" s="1"/>
  <c r="M63" i="51" s="1"/>
  <c r="N63" i="51" s="1"/>
  <c r="O63" i="51" s="1"/>
  <c r="P63" i="51" s="1"/>
  <c r="Q63" i="51" s="1"/>
  <c r="R63" i="51" s="1"/>
  <c r="S63" i="51" s="1"/>
  <c r="T63" i="51" s="1"/>
  <c r="U63" i="51" s="1"/>
  <c r="V63" i="51" s="1"/>
  <c r="W63" i="51" s="1"/>
  <c r="I57" i="51"/>
  <c r="K57" i="51" s="1"/>
  <c r="L57" i="51" s="1"/>
  <c r="M57" i="51" s="1"/>
  <c r="N57" i="51" s="1"/>
  <c r="O57" i="51" s="1"/>
  <c r="P57" i="51" s="1"/>
  <c r="Q57" i="51" s="1"/>
  <c r="R57" i="51" s="1"/>
  <c r="S57" i="51" s="1"/>
  <c r="T57" i="51" s="1"/>
  <c r="U57" i="51" s="1"/>
  <c r="V57" i="51" s="1"/>
  <c r="W57" i="51" s="1"/>
  <c r="I55" i="51"/>
  <c r="K55" i="51" s="1"/>
  <c r="L55" i="51" s="1"/>
  <c r="M55" i="51" s="1"/>
  <c r="N55" i="51" s="1"/>
  <c r="O55" i="51" s="1"/>
  <c r="P55" i="51" s="1"/>
  <c r="Q55" i="51" s="1"/>
  <c r="R55" i="51" s="1"/>
  <c r="S55" i="51" s="1"/>
  <c r="T55" i="51" s="1"/>
  <c r="U55" i="51" s="1"/>
  <c r="V55" i="51" s="1"/>
  <c r="W55" i="51" s="1"/>
  <c r="I52" i="51"/>
  <c r="K52" i="51" s="1"/>
  <c r="L52" i="51" s="1"/>
  <c r="M52" i="51" s="1"/>
  <c r="N52" i="51" s="1"/>
  <c r="O52" i="51" s="1"/>
  <c r="P52" i="51" s="1"/>
  <c r="Q52" i="51" s="1"/>
  <c r="R52" i="51" s="1"/>
  <c r="S52" i="51" s="1"/>
  <c r="T52" i="51" s="1"/>
  <c r="U52" i="51" s="1"/>
  <c r="V52" i="51" s="1"/>
  <c r="W52" i="51" s="1"/>
  <c r="I43" i="51"/>
  <c r="W34" i="51"/>
  <c r="V34" i="51"/>
  <c r="U34" i="51"/>
  <c r="T34" i="51"/>
  <c r="S34" i="51"/>
  <c r="R34" i="51"/>
  <c r="Q34" i="51"/>
  <c r="P34" i="51"/>
  <c r="O34" i="51"/>
  <c r="N34" i="51"/>
  <c r="M34" i="51"/>
  <c r="L34" i="51"/>
  <c r="K34" i="51"/>
  <c r="I34" i="51"/>
  <c r="I35" i="51" s="1"/>
  <c r="H34" i="51"/>
  <c r="G34" i="51"/>
  <c r="G35" i="51" s="1"/>
  <c r="F34" i="51"/>
  <c r="F35" i="51" s="1"/>
  <c r="E34" i="51"/>
  <c r="E35" i="51" s="1"/>
  <c r="D34" i="51"/>
  <c r="D35" i="51" s="1"/>
  <c r="H33" i="51"/>
  <c r="H32" i="51"/>
  <c r="H31" i="51"/>
  <c r="K32" i="51"/>
  <c r="I26" i="51"/>
  <c r="I27" i="51" s="1"/>
  <c r="H26" i="51"/>
  <c r="G26" i="51"/>
  <c r="G27" i="51" s="1"/>
  <c r="F26" i="51"/>
  <c r="F27" i="51" s="1"/>
  <c r="E26" i="51"/>
  <c r="E27" i="51" s="1"/>
  <c r="D26" i="51"/>
  <c r="D27" i="51" s="1"/>
  <c r="H25" i="51"/>
  <c r="I10" i="51"/>
  <c r="I19" i="51" s="1"/>
  <c r="I46" i="50" s="1"/>
  <c r="H10" i="51"/>
  <c r="H19" i="51" s="1"/>
  <c r="G10" i="51"/>
  <c r="G19" i="51" s="1"/>
  <c r="F10" i="51"/>
  <c r="F19" i="51" s="1"/>
  <c r="F46" i="50" s="1"/>
  <c r="E10" i="51"/>
  <c r="E19" i="51" s="1"/>
  <c r="D10" i="51"/>
  <c r="D19" i="51" s="1"/>
  <c r="I102" i="50"/>
  <c r="G102" i="50"/>
  <c r="F102" i="50"/>
  <c r="E102" i="50"/>
  <c r="D102" i="50"/>
  <c r="I101" i="50"/>
  <c r="J101" i="50" s="1"/>
  <c r="K101" i="50" s="1"/>
  <c r="L101" i="50" s="1"/>
  <c r="M101" i="50" s="1"/>
  <c r="N101" i="50" s="1"/>
  <c r="O101" i="50" s="1"/>
  <c r="P101" i="50" s="1"/>
  <c r="Q101" i="50" s="1"/>
  <c r="R101" i="50" s="1"/>
  <c r="S101" i="50" s="1"/>
  <c r="T101" i="50" s="1"/>
  <c r="U101" i="50" s="1"/>
  <c r="V101" i="50" s="1"/>
  <c r="W101" i="50" s="1"/>
  <c r="I75" i="50"/>
  <c r="J70" i="50" s="1"/>
  <c r="H75" i="50"/>
  <c r="I70" i="50" s="1"/>
  <c r="G75" i="50"/>
  <c r="H70" i="50" s="1"/>
  <c r="F75" i="50"/>
  <c r="E75" i="50"/>
  <c r="F70" i="50" s="1"/>
  <c r="D75" i="50"/>
  <c r="E70" i="50" s="1"/>
  <c r="E74" i="50" s="1"/>
  <c r="I73" i="50"/>
  <c r="H73" i="50"/>
  <c r="H97" i="50" s="1"/>
  <c r="G73" i="50"/>
  <c r="G97" i="50" s="1"/>
  <c r="F73" i="50"/>
  <c r="E73" i="50"/>
  <c r="G70" i="50"/>
  <c r="I64" i="50"/>
  <c r="H64" i="50"/>
  <c r="G64" i="50"/>
  <c r="F64" i="50"/>
  <c r="E64" i="50"/>
  <c r="D64" i="50"/>
  <c r="I60" i="50"/>
  <c r="H60" i="50"/>
  <c r="G60" i="50"/>
  <c r="F60" i="50"/>
  <c r="E60" i="50"/>
  <c r="D60" i="50"/>
  <c r="I58" i="50"/>
  <c r="H58" i="50"/>
  <c r="G58" i="50"/>
  <c r="I56" i="50"/>
  <c r="H56" i="50"/>
  <c r="G56" i="50"/>
  <c r="F56" i="50"/>
  <c r="E56" i="50"/>
  <c r="D56" i="50"/>
  <c r="I47" i="50"/>
  <c r="I71" i="50" s="1"/>
  <c r="I82" i="50" s="1"/>
  <c r="H47" i="50"/>
  <c r="H71" i="50" s="1"/>
  <c r="G47" i="50"/>
  <c r="G71" i="50" s="1"/>
  <c r="G80" i="50" s="1"/>
  <c r="F47" i="50"/>
  <c r="F71" i="50" s="1"/>
  <c r="E47" i="50"/>
  <c r="E71" i="50" s="1"/>
  <c r="D47" i="50"/>
  <c r="E46" i="50"/>
  <c r="H32" i="50"/>
  <c r="G32" i="50"/>
  <c r="F32" i="50"/>
  <c r="E32" i="50"/>
  <c r="D32" i="50"/>
  <c r="I31" i="50"/>
  <c r="I32" i="50" s="1"/>
  <c r="K29" i="50"/>
  <c r="L29" i="50" s="1"/>
  <c r="M29" i="50" s="1"/>
  <c r="N29" i="50" s="1"/>
  <c r="O29" i="50" s="1"/>
  <c r="P29" i="50" s="1"/>
  <c r="Q29" i="50" s="1"/>
  <c r="R29" i="50" s="1"/>
  <c r="S29" i="50" s="1"/>
  <c r="T29" i="50" s="1"/>
  <c r="U29" i="50" s="1"/>
  <c r="V29" i="50" s="1"/>
  <c r="W29" i="50" s="1"/>
  <c r="I23" i="50"/>
  <c r="I66" i="50" s="1"/>
  <c r="H23" i="50"/>
  <c r="H66" i="50" s="1"/>
  <c r="G23" i="50"/>
  <c r="G66" i="50" s="1"/>
  <c r="F23" i="50"/>
  <c r="F66" i="50" s="1"/>
  <c r="E23" i="50"/>
  <c r="E66" i="50" s="1"/>
  <c r="D23" i="50"/>
  <c r="D66" i="50" s="1"/>
  <c r="W22" i="50"/>
  <c r="V22" i="50"/>
  <c r="U22" i="50"/>
  <c r="T22" i="50"/>
  <c r="S22" i="50"/>
  <c r="H20" i="50"/>
  <c r="H24" i="50" s="1"/>
  <c r="G20" i="50"/>
  <c r="G24" i="50" s="1"/>
  <c r="G34" i="50" s="1"/>
  <c r="F20" i="50"/>
  <c r="E20" i="50"/>
  <c r="D20" i="50"/>
  <c r="D24" i="50" s="1"/>
  <c r="K19" i="50"/>
  <c r="L19" i="50" s="1"/>
  <c r="M19" i="50" s="1"/>
  <c r="N19" i="50" s="1"/>
  <c r="O19" i="50" s="1"/>
  <c r="P19" i="50" s="1"/>
  <c r="Q19" i="50" s="1"/>
  <c r="R19" i="50" s="1"/>
  <c r="S19" i="50" s="1"/>
  <c r="T19" i="50" s="1"/>
  <c r="U19" i="50" s="1"/>
  <c r="V19" i="50" s="1"/>
  <c r="W19" i="50" s="1"/>
  <c r="I19" i="50"/>
  <c r="I20" i="50" s="1"/>
  <c r="I14" i="50"/>
  <c r="I62" i="50" s="1"/>
  <c r="H14" i="50"/>
  <c r="H62" i="50" s="1"/>
  <c r="G14" i="50"/>
  <c r="G62" i="50" s="1"/>
  <c r="F14" i="50"/>
  <c r="F62" i="50" s="1"/>
  <c r="E14" i="50"/>
  <c r="E62" i="50" s="1"/>
  <c r="D14" i="50"/>
  <c r="D62" i="50" s="1"/>
  <c r="K12" i="50"/>
  <c r="L12" i="50" s="1"/>
  <c r="M12" i="50" s="1"/>
  <c r="N12" i="50" s="1"/>
  <c r="O12" i="50" s="1"/>
  <c r="P12" i="50" s="1"/>
  <c r="Q12" i="50" s="1"/>
  <c r="R12" i="50" s="1"/>
  <c r="S12" i="50" s="1"/>
  <c r="T12" i="50" s="1"/>
  <c r="U12" i="50" s="1"/>
  <c r="V12" i="50" s="1"/>
  <c r="W12" i="50" s="1"/>
  <c r="F12" i="50"/>
  <c r="E12" i="50"/>
  <c r="D12" i="50"/>
  <c r="I10" i="50"/>
  <c r="I15" i="50" s="1"/>
  <c r="H10" i="50"/>
  <c r="G10" i="50"/>
  <c r="F10" i="50"/>
  <c r="F15" i="50" s="1"/>
  <c r="F9" i="50"/>
  <c r="F58" i="50" s="1"/>
  <c r="E9" i="50"/>
  <c r="E58" i="50" s="1"/>
  <c r="D9" i="50"/>
  <c r="D58" i="50" s="1"/>
  <c r="K6" i="50"/>
  <c r="L6" i="50" s="1"/>
  <c r="M6" i="50" s="1"/>
  <c r="N6" i="50" s="1"/>
  <c r="O6" i="50" s="1"/>
  <c r="P6" i="50" s="1"/>
  <c r="Q6" i="50" s="1"/>
  <c r="R6" i="50" s="1"/>
  <c r="S6" i="50" s="1"/>
  <c r="T6" i="50" s="1"/>
  <c r="U6" i="50" s="1"/>
  <c r="V6" i="50" s="1"/>
  <c r="W6" i="50" s="1"/>
  <c r="L236" i="49"/>
  <c r="P234" i="49"/>
  <c r="W233" i="49"/>
  <c r="W235" i="49" s="1"/>
  <c r="V233" i="49"/>
  <c r="V235" i="49" s="1"/>
  <c r="T233" i="49"/>
  <c r="T235" i="49" s="1"/>
  <c r="S233" i="49"/>
  <c r="S235" i="49" s="1"/>
  <c r="R233" i="49"/>
  <c r="R235" i="49" s="1"/>
  <c r="O233" i="49"/>
  <c r="O235" i="49" s="1"/>
  <c r="N233" i="49"/>
  <c r="N235" i="49" s="1"/>
  <c r="M233" i="49"/>
  <c r="M235" i="49" s="1"/>
  <c r="I233" i="49"/>
  <c r="I235" i="49" s="1"/>
  <c r="V230" i="49"/>
  <c r="S230" i="49"/>
  <c r="N230" i="49"/>
  <c r="I230" i="49"/>
  <c r="V211" i="49"/>
  <c r="T211" i="49"/>
  <c r="S211" i="49"/>
  <c r="R211" i="49"/>
  <c r="AF210" i="49"/>
  <c r="AG210" i="49" s="1"/>
  <c r="AH210" i="49" s="1"/>
  <c r="AI210" i="49" s="1"/>
  <c r="AJ210" i="49" s="1"/>
  <c r="AK210" i="49" s="1"/>
  <c r="AL210" i="49" s="1"/>
  <c r="AM210" i="49" s="1"/>
  <c r="U210" i="49"/>
  <c r="P210" i="49"/>
  <c r="H210" i="49"/>
  <c r="V205" i="49"/>
  <c r="T205" i="49"/>
  <c r="S205" i="49"/>
  <c r="R205" i="49"/>
  <c r="AG205" i="49"/>
  <c r="AH205" i="49" s="1"/>
  <c r="AI205" i="49" s="1"/>
  <c r="AJ205" i="49" s="1"/>
  <c r="AK205" i="49" s="1"/>
  <c r="AL205" i="49" s="1"/>
  <c r="AM205" i="49" s="1"/>
  <c r="Y204" i="49"/>
  <c r="X204" i="49"/>
  <c r="U204" i="49"/>
  <c r="Z204" i="49" s="1"/>
  <c r="P204" i="49"/>
  <c r="H204" i="49"/>
  <c r="V199" i="49"/>
  <c r="T199" i="49"/>
  <c r="S199" i="49"/>
  <c r="R199" i="49"/>
  <c r="AG199" i="49"/>
  <c r="AH199" i="49" s="1"/>
  <c r="AI199" i="49" s="1"/>
  <c r="AJ199" i="49" s="1"/>
  <c r="AK199" i="49" s="1"/>
  <c r="AL199" i="49" s="1"/>
  <c r="AM199" i="49" s="1"/>
  <c r="Y198" i="49"/>
  <c r="X198" i="49"/>
  <c r="W198" i="49"/>
  <c r="W230" i="49" s="1"/>
  <c r="U198" i="49"/>
  <c r="P198" i="49"/>
  <c r="Z43" i="5" s="1"/>
  <c r="H198" i="49"/>
  <c r="Q192" i="49"/>
  <c r="V193" i="49" s="1"/>
  <c r="AG191" i="49"/>
  <c r="AF190" i="49"/>
  <c r="W187" i="49"/>
  <c r="V187" i="49"/>
  <c r="T187" i="49"/>
  <c r="S187" i="49"/>
  <c r="R187" i="49"/>
  <c r="AG187" i="49"/>
  <c r="AH187" i="49" s="1"/>
  <c r="AI187" i="49" s="1"/>
  <c r="AJ187" i="49" s="1"/>
  <c r="AK187" i="49" s="1"/>
  <c r="AL187" i="49" s="1"/>
  <c r="AM187" i="49" s="1"/>
  <c r="Y186" i="49"/>
  <c r="X186" i="49"/>
  <c r="U186" i="49"/>
  <c r="Z186" i="49" s="1"/>
  <c r="P186" i="49"/>
  <c r="H186" i="49"/>
  <c r="AL185" i="49"/>
  <c r="AM185" i="49" s="1"/>
  <c r="AN185" i="49" s="1"/>
  <c r="AO185" i="49" s="1"/>
  <c r="Y184" i="49"/>
  <c r="X184" i="49"/>
  <c r="W184" i="49"/>
  <c r="W181" i="49"/>
  <c r="V181" i="49"/>
  <c r="T181" i="49"/>
  <c r="S181" i="49"/>
  <c r="R181" i="49"/>
  <c r="Y180" i="49"/>
  <c r="X180" i="49"/>
  <c r="U180" i="49"/>
  <c r="P180" i="49"/>
  <c r="H180" i="49"/>
  <c r="AM179" i="49"/>
  <c r="AN179" i="49" s="1"/>
  <c r="AO179" i="49" s="1"/>
  <c r="AF178" i="49"/>
  <c r="T175" i="49"/>
  <c r="S175" i="49"/>
  <c r="Y174" i="49"/>
  <c r="X174" i="49"/>
  <c r="R174" i="49"/>
  <c r="M174" i="49"/>
  <c r="W41" i="5" s="1"/>
  <c r="AN173" i="49"/>
  <c r="AO173" i="49" s="1"/>
  <c r="W169" i="49"/>
  <c r="V169" i="49"/>
  <c r="T169" i="49"/>
  <c r="S169" i="49"/>
  <c r="R169" i="49"/>
  <c r="Z168" i="49"/>
  <c r="Y168" i="49"/>
  <c r="X168" i="49"/>
  <c r="U168" i="49"/>
  <c r="P168" i="49"/>
  <c r="AA167" i="49"/>
  <c r="AG167" i="49"/>
  <c r="AH167" i="49" s="1"/>
  <c r="P162" i="49"/>
  <c r="T160" i="49"/>
  <c r="Q160" i="49"/>
  <c r="O160" i="49"/>
  <c r="O230" i="49" s="1"/>
  <c r="P156" i="49"/>
  <c r="T153" i="49"/>
  <c r="S153" i="49"/>
  <c r="Q153" i="49"/>
  <c r="O153" i="49"/>
  <c r="N153" i="49"/>
  <c r="R152" i="49"/>
  <c r="M152" i="49"/>
  <c r="W35" i="5" s="1"/>
  <c r="H150" i="49"/>
  <c r="H151" i="49" s="1"/>
  <c r="C150" i="49"/>
  <c r="C151" i="49" s="1"/>
  <c r="N150" i="49"/>
  <c r="I150" i="49"/>
  <c r="T147" i="49"/>
  <c r="S147" i="49"/>
  <c r="O147" i="49"/>
  <c r="N147" i="49"/>
  <c r="R146" i="49"/>
  <c r="R147" i="49" s="1"/>
  <c r="M146" i="49"/>
  <c r="M147" i="49" s="1"/>
  <c r="H144" i="49"/>
  <c r="H145" i="49" s="1"/>
  <c r="C144" i="49"/>
  <c r="C145" i="49" s="1"/>
  <c r="X145" i="49"/>
  <c r="T144" i="49"/>
  <c r="S144" i="49"/>
  <c r="R144" i="49"/>
  <c r="O144" i="49"/>
  <c r="N144" i="49"/>
  <c r="M144" i="49"/>
  <c r="I144" i="49"/>
  <c r="T141" i="49"/>
  <c r="S141" i="49"/>
  <c r="R141" i="49"/>
  <c r="O141" i="49"/>
  <c r="N141" i="49"/>
  <c r="M141" i="49"/>
  <c r="U140" i="49"/>
  <c r="P140" i="49"/>
  <c r="Z57" i="5" s="1"/>
  <c r="S139" i="49"/>
  <c r="O139" i="49"/>
  <c r="N139" i="49"/>
  <c r="R138" i="49"/>
  <c r="R139" i="49" s="1"/>
  <c r="M138" i="49"/>
  <c r="P138" i="49" s="1"/>
  <c r="H136" i="49"/>
  <c r="H137" i="49" s="1"/>
  <c r="C136" i="49"/>
  <c r="C137" i="49" s="1"/>
  <c r="AG137" i="49"/>
  <c r="AH137" i="49" s="1"/>
  <c r="T136" i="49"/>
  <c r="S136" i="49"/>
  <c r="R136" i="49"/>
  <c r="O136" i="49"/>
  <c r="N136" i="49"/>
  <c r="M136" i="49"/>
  <c r="I136" i="49"/>
  <c r="S133" i="49"/>
  <c r="R133" i="49"/>
  <c r="Q133" i="49"/>
  <c r="O133" i="49"/>
  <c r="N133" i="49"/>
  <c r="M133" i="49"/>
  <c r="P132" i="49"/>
  <c r="Z56" i="5" s="1"/>
  <c r="S131" i="49"/>
  <c r="O131" i="49"/>
  <c r="N131" i="49"/>
  <c r="R130" i="49"/>
  <c r="R131" i="49" s="1"/>
  <c r="M130" i="49"/>
  <c r="H128" i="49"/>
  <c r="H129" i="49" s="1"/>
  <c r="C128" i="49"/>
  <c r="C129" i="49" s="1"/>
  <c r="AG129" i="49"/>
  <c r="AH129" i="49" s="1"/>
  <c r="AI129" i="49" s="1"/>
  <c r="AJ129" i="49" s="1"/>
  <c r="T125" i="49"/>
  <c r="S125" i="49"/>
  <c r="R125" i="49"/>
  <c r="Q125" i="49"/>
  <c r="O125" i="49"/>
  <c r="N125" i="49"/>
  <c r="M125" i="49"/>
  <c r="U124" i="49"/>
  <c r="U122" i="49"/>
  <c r="P124" i="49"/>
  <c r="P122" i="49"/>
  <c r="T123" i="49"/>
  <c r="S123" i="49"/>
  <c r="R123" i="49"/>
  <c r="Q123" i="49"/>
  <c r="O123" i="49"/>
  <c r="N123" i="49"/>
  <c r="M123" i="49"/>
  <c r="H122" i="49"/>
  <c r="H120" i="49"/>
  <c r="H121" i="49" s="1"/>
  <c r="AG121" i="49"/>
  <c r="AH121" i="49" s="1"/>
  <c r="AI121" i="49" s="1"/>
  <c r="AJ121" i="49" s="1"/>
  <c r="AK121" i="49" s="1"/>
  <c r="AL121" i="49" s="1"/>
  <c r="AM121" i="49" s="1"/>
  <c r="AN121" i="49" s="1"/>
  <c r="AO121" i="49" s="1"/>
  <c r="AP121" i="49" s="1"/>
  <c r="AQ121" i="49" s="1"/>
  <c r="AR121" i="49" s="1"/>
  <c r="T120" i="49"/>
  <c r="S120" i="49"/>
  <c r="R120" i="49"/>
  <c r="Q120" i="49"/>
  <c r="O120" i="49"/>
  <c r="N120" i="49"/>
  <c r="M120" i="49"/>
  <c r="C120" i="49"/>
  <c r="W105" i="49"/>
  <c r="W104" i="49"/>
  <c r="W103" i="49"/>
  <c r="W102" i="49"/>
  <c r="W101" i="49"/>
  <c r="W100" i="49"/>
  <c r="P105" i="49"/>
  <c r="Q105" i="49" s="1"/>
  <c r="I104" i="49"/>
  <c r="I106" i="49" s="1"/>
  <c r="P103" i="49"/>
  <c r="P102" i="49"/>
  <c r="P101" i="49"/>
  <c r="T100" i="49"/>
  <c r="T104" i="49" s="1"/>
  <c r="S100" i="49"/>
  <c r="S104" i="49" s="1"/>
  <c r="S106" i="49" s="1"/>
  <c r="S115" i="49" s="1"/>
  <c r="R100" i="49"/>
  <c r="R104" i="49" s="1"/>
  <c r="O100" i="49"/>
  <c r="N100" i="49"/>
  <c r="N104" i="49" s="1"/>
  <c r="M100" i="49"/>
  <c r="M104" i="49" s="1"/>
  <c r="T96" i="49"/>
  <c r="S96" i="49"/>
  <c r="R96" i="49"/>
  <c r="P96" i="49"/>
  <c r="O96" i="49"/>
  <c r="N96" i="49"/>
  <c r="M96" i="49"/>
  <c r="T95" i="49"/>
  <c r="S95" i="49"/>
  <c r="S163" i="49" s="1"/>
  <c r="R95" i="49"/>
  <c r="O95" i="49"/>
  <c r="O163" i="49" s="1"/>
  <c r="N95" i="49"/>
  <c r="M95" i="49"/>
  <c r="I95" i="49"/>
  <c r="AF85" i="49"/>
  <c r="AF172" i="49" s="1"/>
  <c r="AF84" i="49"/>
  <c r="AF83" i="49"/>
  <c r="AG79" i="49"/>
  <c r="AG178" i="49" s="1"/>
  <c r="AG78" i="49"/>
  <c r="AG77" i="49"/>
  <c r="AA73" i="49"/>
  <c r="AF71" i="49"/>
  <c r="AA71" i="49"/>
  <c r="AF70" i="49"/>
  <c r="AA70" i="49"/>
  <c r="AG69" i="49"/>
  <c r="AF69" i="49"/>
  <c r="AA69" i="49"/>
  <c r="AA67" i="49"/>
  <c r="AA66" i="49"/>
  <c r="AF65" i="49"/>
  <c r="AA65" i="49"/>
  <c r="T56" i="49"/>
  <c r="S56" i="49"/>
  <c r="R56" i="49"/>
  <c r="Q56" i="49"/>
  <c r="AF56" i="49"/>
  <c r="AG56" i="49" s="1"/>
  <c r="AH56" i="49" s="1"/>
  <c r="AI56" i="49" s="1"/>
  <c r="AJ56" i="49" s="1"/>
  <c r="AK56" i="49" s="1"/>
  <c r="AL56" i="49" s="1"/>
  <c r="AM56" i="49" s="1"/>
  <c r="AN56" i="49" s="1"/>
  <c r="AO56" i="49" s="1"/>
  <c r="AP56" i="49" s="1"/>
  <c r="AQ56" i="49" s="1"/>
  <c r="AR56" i="49" s="1"/>
  <c r="W55" i="49"/>
  <c r="V55" i="49"/>
  <c r="P55" i="49"/>
  <c r="U56" i="49" s="1"/>
  <c r="T52" i="49"/>
  <c r="S52" i="49"/>
  <c r="R52" i="49"/>
  <c r="W51" i="49"/>
  <c r="L50" i="49"/>
  <c r="V50" i="49"/>
  <c r="T50" i="49"/>
  <c r="S50" i="49"/>
  <c r="R50" i="49"/>
  <c r="Q50" i="49"/>
  <c r="O50" i="49"/>
  <c r="N50" i="49"/>
  <c r="M50" i="49"/>
  <c r="H50" i="49"/>
  <c r="C50" i="49"/>
  <c r="AR50" i="49"/>
  <c r="AQ50" i="49"/>
  <c r="AP50" i="49"/>
  <c r="AO50" i="49"/>
  <c r="AN50" i="49"/>
  <c r="AM50" i="49"/>
  <c r="AL50" i="49"/>
  <c r="AK50" i="49"/>
  <c r="AJ50" i="49"/>
  <c r="AI50" i="49"/>
  <c r="AH50" i="49"/>
  <c r="AG50" i="49"/>
  <c r="AF50" i="49"/>
  <c r="AA50" i="49"/>
  <c r="T44" i="49"/>
  <c r="S44" i="49"/>
  <c r="R44" i="49"/>
  <c r="W43" i="49"/>
  <c r="AM41" i="49"/>
  <c r="T37" i="49"/>
  <c r="S37" i="49"/>
  <c r="R37" i="49"/>
  <c r="O37" i="49"/>
  <c r="N37" i="49"/>
  <c r="T32" i="49"/>
  <c r="S32" i="49"/>
  <c r="R32" i="49"/>
  <c r="W31" i="49"/>
  <c r="P31" i="49"/>
  <c r="V29" i="49"/>
  <c r="P29" i="49"/>
  <c r="W25" i="49"/>
  <c r="T25" i="49"/>
  <c r="T128" i="49" s="1"/>
  <c r="S25" i="49"/>
  <c r="S128" i="49" s="1"/>
  <c r="R25" i="49"/>
  <c r="R128" i="49" s="1"/>
  <c r="O25" i="49"/>
  <c r="O128" i="49" s="1"/>
  <c r="N25" i="49"/>
  <c r="N128" i="49" s="1"/>
  <c r="M25" i="49"/>
  <c r="M128" i="49" s="1"/>
  <c r="K25" i="49"/>
  <c r="J25" i="49"/>
  <c r="I25" i="49"/>
  <c r="I128" i="49" s="1"/>
  <c r="H25" i="49"/>
  <c r="T17" i="49"/>
  <c r="S17" i="49"/>
  <c r="R17" i="49"/>
  <c r="W16" i="49"/>
  <c r="P16" i="49"/>
  <c r="P10" i="49" s="1"/>
  <c r="V14" i="49"/>
  <c r="Q14" i="49"/>
  <c r="T11" i="49"/>
  <c r="S11" i="49"/>
  <c r="R11" i="49"/>
  <c r="T10" i="49"/>
  <c r="S10" i="49"/>
  <c r="R10" i="49"/>
  <c r="O10" i="49"/>
  <c r="N10" i="49"/>
  <c r="M10" i="49"/>
  <c r="K10" i="49"/>
  <c r="J10" i="49"/>
  <c r="I10" i="49"/>
  <c r="I120" i="49" s="1"/>
  <c r="H10" i="49"/>
  <c r="AF230" i="5"/>
  <c r="AA230" i="5"/>
  <c r="AA229" i="5"/>
  <c r="AK229" i="5"/>
  <c r="AP229" i="5" s="1"/>
  <c r="AU229" i="5" s="1"/>
  <c r="AZ229" i="5" s="1"/>
  <c r="BE229" i="5" s="1"/>
  <c r="BJ229" i="5" s="1"/>
  <c r="BO229" i="5" s="1"/>
  <c r="BT229" i="5" s="1"/>
  <c r="BY229" i="5" s="1"/>
  <c r="CD229" i="5" s="1"/>
  <c r="CI229" i="5" s="1"/>
  <c r="CN229" i="5" s="1"/>
  <c r="CS229" i="5" s="1"/>
  <c r="CX229" i="5" s="1"/>
  <c r="V229" i="5"/>
  <c r="Q229" i="5"/>
  <c r="L229" i="5"/>
  <c r="G229" i="5"/>
  <c r="CX226" i="5"/>
  <c r="CX225" i="5"/>
  <c r="CS226" i="5"/>
  <c r="CS225" i="5"/>
  <c r="CN226" i="5"/>
  <c r="CN225" i="5"/>
  <c r="CI226" i="5"/>
  <c r="CI111" i="5" s="1"/>
  <c r="CI225" i="5"/>
  <c r="R22" i="50"/>
  <c r="Q22" i="50"/>
  <c r="P22" i="50"/>
  <c r="O22" i="50"/>
  <c r="N22" i="50"/>
  <c r="B226" i="5"/>
  <c r="AK205" i="5"/>
  <c r="AA205" i="5"/>
  <c r="AA204" i="5"/>
  <c r="AF204" i="5" s="1"/>
  <c r="V202" i="5"/>
  <c r="AA202" i="5" s="1"/>
  <c r="AF202" i="5" s="1"/>
  <c r="AK202" i="5" s="1"/>
  <c r="AP202" i="5" s="1"/>
  <c r="AU202" i="5" s="1"/>
  <c r="AZ202" i="5" s="1"/>
  <c r="V200" i="5"/>
  <c r="Q197" i="5"/>
  <c r="V195" i="5" s="1"/>
  <c r="AA195" i="5"/>
  <c r="AA197" i="5" s="1"/>
  <c r="AA200" i="5" s="1"/>
  <c r="AA189" i="5"/>
  <c r="AF189" i="5" s="1"/>
  <c r="AK189" i="5" s="1"/>
  <c r="AA188" i="5"/>
  <c r="AF188" i="5" s="1"/>
  <c r="V186" i="5"/>
  <c r="AA186" i="5" s="1"/>
  <c r="AF186" i="5" s="1"/>
  <c r="AK186" i="5" s="1"/>
  <c r="AP186" i="5" s="1"/>
  <c r="Q181" i="5"/>
  <c r="V179" i="5" s="1"/>
  <c r="V181" i="5" s="1"/>
  <c r="V172" i="5"/>
  <c r="V173" i="5" s="1"/>
  <c r="AA170" i="5"/>
  <c r="V170" i="5"/>
  <c r="AA165" i="5"/>
  <c r="AF165" i="5"/>
  <c r="AF167" i="5" s="1"/>
  <c r="AK165" i="5" s="1"/>
  <c r="AP155" i="5"/>
  <c r="AU155" i="5" s="1"/>
  <c r="AZ155" i="5" s="1"/>
  <c r="BE155" i="5" s="1"/>
  <c r="BJ155" i="5" s="1"/>
  <c r="BO155" i="5" s="1"/>
  <c r="BT155" i="5" s="1"/>
  <c r="BY155" i="5" s="1"/>
  <c r="CD155" i="5" s="1"/>
  <c r="CI155" i="5" s="1"/>
  <c r="CN155" i="5" s="1"/>
  <c r="CS155" i="5" s="1"/>
  <c r="CX155" i="5" s="1"/>
  <c r="AA154" i="5"/>
  <c r="AK154" i="5"/>
  <c r="AK156" i="5" s="1"/>
  <c r="AF154" i="5"/>
  <c r="AF156" i="5" s="1"/>
  <c r="AF110" i="5" s="1"/>
  <c r="V154" i="5"/>
  <c r="Z150" i="5"/>
  <c r="U150" i="5"/>
  <c r="P150" i="5"/>
  <c r="K150" i="5"/>
  <c r="F150" i="5"/>
  <c r="CW147" i="5"/>
  <c r="CV147" i="5"/>
  <c r="CU147" i="5"/>
  <c r="CT147" i="5"/>
  <c r="CR147" i="5"/>
  <c r="CQ147" i="5"/>
  <c r="CP147" i="5"/>
  <c r="CO147" i="5"/>
  <c r="CM147" i="5"/>
  <c r="CL147" i="5"/>
  <c r="CK147" i="5"/>
  <c r="CJ147" i="5"/>
  <c r="CH147" i="5"/>
  <c r="CG147" i="5"/>
  <c r="CF147" i="5"/>
  <c r="CE147" i="5"/>
  <c r="CC147" i="5"/>
  <c r="CB147" i="5"/>
  <c r="CA147" i="5"/>
  <c r="BZ147" i="5"/>
  <c r="BX147" i="5"/>
  <c r="BW147" i="5"/>
  <c r="BV147" i="5"/>
  <c r="BU147" i="5"/>
  <c r="BS147" i="5"/>
  <c r="BR147" i="5"/>
  <c r="BQ147" i="5"/>
  <c r="BP147" i="5"/>
  <c r="BN147" i="5"/>
  <c r="BM147" i="5"/>
  <c r="BL147" i="5"/>
  <c r="BK147" i="5"/>
  <c r="BI147" i="5"/>
  <c r="BH147" i="5"/>
  <c r="BG147" i="5"/>
  <c r="BF147" i="5"/>
  <c r="BD147" i="5"/>
  <c r="BC147" i="5"/>
  <c r="BB147" i="5"/>
  <c r="BA147" i="5"/>
  <c r="AY147" i="5"/>
  <c r="AX147" i="5"/>
  <c r="AW147" i="5"/>
  <c r="AV147" i="5"/>
  <c r="AE147" i="5"/>
  <c r="AD147" i="5"/>
  <c r="AA147" i="5"/>
  <c r="Z147" i="5"/>
  <c r="Y147" i="5"/>
  <c r="V147" i="5"/>
  <c r="U147" i="5"/>
  <c r="T147" i="5"/>
  <c r="S147" i="5"/>
  <c r="R147" i="5"/>
  <c r="Q147" i="5"/>
  <c r="P147" i="5"/>
  <c r="O147" i="5"/>
  <c r="N147" i="5"/>
  <c r="M147" i="5"/>
  <c r="L147" i="5"/>
  <c r="K147" i="5"/>
  <c r="J147" i="5"/>
  <c r="I147" i="5"/>
  <c r="H147" i="5"/>
  <c r="CW146" i="5"/>
  <c r="CV146" i="5"/>
  <c r="CU146" i="5"/>
  <c r="CT146" i="5"/>
  <c r="CR146" i="5"/>
  <c r="CQ146" i="5"/>
  <c r="CP146" i="5"/>
  <c r="CO146" i="5"/>
  <c r="CM146" i="5"/>
  <c r="CL146" i="5"/>
  <c r="CK146" i="5"/>
  <c r="CJ146" i="5"/>
  <c r="CH146" i="5"/>
  <c r="CG146" i="5"/>
  <c r="CF146" i="5"/>
  <c r="CE146" i="5"/>
  <c r="CC146" i="5"/>
  <c r="CB146" i="5"/>
  <c r="CA146" i="5"/>
  <c r="BZ146" i="5"/>
  <c r="BX146" i="5"/>
  <c r="BW146" i="5"/>
  <c r="BV146" i="5"/>
  <c r="BU146" i="5"/>
  <c r="BS146" i="5"/>
  <c r="BR146" i="5"/>
  <c r="BQ146" i="5"/>
  <c r="BP146" i="5"/>
  <c r="BN146" i="5"/>
  <c r="BM146" i="5"/>
  <c r="BL146" i="5"/>
  <c r="BK146" i="5"/>
  <c r="BI146" i="5"/>
  <c r="BH146" i="5"/>
  <c r="BG146" i="5"/>
  <c r="BF146" i="5"/>
  <c r="BD146" i="5"/>
  <c r="BC146" i="5"/>
  <c r="BB146" i="5"/>
  <c r="BA146" i="5"/>
  <c r="AY146" i="5"/>
  <c r="AX146" i="5"/>
  <c r="AW146" i="5"/>
  <c r="AV146" i="5"/>
  <c r="CW145" i="5"/>
  <c r="CV145" i="5"/>
  <c r="CU145" i="5"/>
  <c r="CT145" i="5"/>
  <c r="CR145" i="5"/>
  <c r="CQ145" i="5"/>
  <c r="CP145" i="5"/>
  <c r="CO145" i="5"/>
  <c r="CM145" i="5"/>
  <c r="CL145" i="5"/>
  <c r="CK145" i="5"/>
  <c r="CJ145" i="5"/>
  <c r="CH145" i="5"/>
  <c r="CG145" i="5"/>
  <c r="CF145" i="5"/>
  <c r="CE145" i="5"/>
  <c r="CC145" i="5"/>
  <c r="CB145" i="5"/>
  <c r="CA145" i="5"/>
  <c r="BZ145" i="5"/>
  <c r="BX145" i="5"/>
  <c r="BW145" i="5"/>
  <c r="BV145" i="5"/>
  <c r="BU145" i="5"/>
  <c r="BS145" i="5"/>
  <c r="BR145" i="5"/>
  <c r="BQ145" i="5"/>
  <c r="BP145" i="5"/>
  <c r="BN145" i="5"/>
  <c r="BM145" i="5"/>
  <c r="BL145" i="5"/>
  <c r="BK145" i="5"/>
  <c r="BI145" i="5"/>
  <c r="BH145" i="5"/>
  <c r="BG145" i="5"/>
  <c r="BF145" i="5"/>
  <c r="BD145" i="5"/>
  <c r="BC145" i="5"/>
  <c r="BB145" i="5"/>
  <c r="BA145" i="5"/>
  <c r="AY145" i="5"/>
  <c r="AX145" i="5"/>
  <c r="AW145" i="5"/>
  <c r="AV145" i="5"/>
  <c r="CW144" i="5"/>
  <c r="CV144" i="5"/>
  <c r="CU144" i="5"/>
  <c r="CT144" i="5"/>
  <c r="CR144" i="5"/>
  <c r="CQ144" i="5"/>
  <c r="CP144" i="5"/>
  <c r="CO144" i="5"/>
  <c r="CM144" i="5"/>
  <c r="CL144" i="5"/>
  <c r="CK144" i="5"/>
  <c r="CJ144" i="5"/>
  <c r="CH144" i="5"/>
  <c r="CG144" i="5"/>
  <c r="CF144" i="5"/>
  <c r="CE144" i="5"/>
  <c r="CC144" i="5"/>
  <c r="CB144" i="5"/>
  <c r="CA144" i="5"/>
  <c r="BZ144" i="5"/>
  <c r="BX144" i="5"/>
  <c r="BW144" i="5"/>
  <c r="BV144" i="5"/>
  <c r="BU144" i="5"/>
  <c r="BS144" i="5"/>
  <c r="BR144" i="5"/>
  <c r="BQ144" i="5"/>
  <c r="BP144" i="5"/>
  <c r="BN144" i="5"/>
  <c r="BM144" i="5"/>
  <c r="BL144" i="5"/>
  <c r="BK144" i="5"/>
  <c r="BI144" i="5"/>
  <c r="BH144" i="5"/>
  <c r="BG144" i="5"/>
  <c r="BF144" i="5"/>
  <c r="BD144" i="5"/>
  <c r="BC144" i="5"/>
  <c r="BB144" i="5"/>
  <c r="BA144" i="5"/>
  <c r="AY144" i="5"/>
  <c r="AX144" i="5"/>
  <c r="AW144" i="5"/>
  <c r="AV144" i="5"/>
  <c r="CW143" i="5"/>
  <c r="CV143" i="5"/>
  <c r="CU143" i="5"/>
  <c r="CT143" i="5"/>
  <c r="CR143" i="5"/>
  <c r="CQ143" i="5"/>
  <c r="CP143" i="5"/>
  <c r="CO143" i="5"/>
  <c r="CM143" i="5"/>
  <c r="CL143" i="5"/>
  <c r="CK143" i="5"/>
  <c r="CJ143" i="5"/>
  <c r="CH143" i="5"/>
  <c r="CG143" i="5"/>
  <c r="CF143" i="5"/>
  <c r="CE143" i="5"/>
  <c r="CC143" i="5"/>
  <c r="CB143" i="5"/>
  <c r="CA143" i="5"/>
  <c r="BZ143" i="5"/>
  <c r="BX143" i="5"/>
  <c r="BW143" i="5"/>
  <c r="BV143" i="5"/>
  <c r="BU143" i="5"/>
  <c r="BS143" i="5"/>
  <c r="BR143" i="5"/>
  <c r="BQ143" i="5"/>
  <c r="BP143" i="5"/>
  <c r="BN143" i="5"/>
  <c r="BM143" i="5"/>
  <c r="BL143" i="5"/>
  <c r="BK143" i="5"/>
  <c r="BI143" i="5"/>
  <c r="BH143" i="5"/>
  <c r="BG143" i="5"/>
  <c r="BF143" i="5"/>
  <c r="BD143" i="5"/>
  <c r="BC143" i="5"/>
  <c r="BB143" i="5"/>
  <c r="BA143" i="5"/>
  <c r="AY143" i="5"/>
  <c r="AX143" i="5"/>
  <c r="AW143" i="5"/>
  <c r="AV143" i="5"/>
  <c r="CW142" i="5"/>
  <c r="CV142" i="5"/>
  <c r="CU142" i="5"/>
  <c r="CT142" i="5"/>
  <c r="CR142" i="5"/>
  <c r="CQ142" i="5"/>
  <c r="CP142" i="5"/>
  <c r="CO142" i="5"/>
  <c r="CM142" i="5"/>
  <c r="CL142" i="5"/>
  <c r="CK142" i="5"/>
  <c r="CJ142" i="5"/>
  <c r="CH142" i="5"/>
  <c r="CG142" i="5"/>
  <c r="CF142" i="5"/>
  <c r="CE142" i="5"/>
  <c r="CC142" i="5"/>
  <c r="CB142" i="5"/>
  <c r="CA142" i="5"/>
  <c r="BZ142" i="5"/>
  <c r="BX142" i="5"/>
  <c r="BW142" i="5"/>
  <c r="BV142" i="5"/>
  <c r="BU142" i="5"/>
  <c r="BS142" i="5"/>
  <c r="BR142" i="5"/>
  <c r="BQ142" i="5"/>
  <c r="BP142" i="5"/>
  <c r="BN142" i="5"/>
  <c r="BM142" i="5"/>
  <c r="BL142" i="5"/>
  <c r="BK142" i="5"/>
  <c r="BI142" i="5"/>
  <c r="BH142" i="5"/>
  <c r="BG142" i="5"/>
  <c r="BF142" i="5"/>
  <c r="BD142" i="5"/>
  <c r="BC142" i="5"/>
  <c r="BB142" i="5"/>
  <c r="BA142" i="5"/>
  <c r="AY142" i="5"/>
  <c r="AX142" i="5"/>
  <c r="AW142" i="5"/>
  <c r="AV142" i="5"/>
  <c r="CW141" i="5"/>
  <c r="CV141" i="5"/>
  <c r="CU141" i="5"/>
  <c r="CT141" i="5"/>
  <c r="CR141" i="5"/>
  <c r="CQ141" i="5"/>
  <c r="CP141" i="5"/>
  <c r="CO141" i="5"/>
  <c r="CM141" i="5"/>
  <c r="CL141" i="5"/>
  <c r="CK141" i="5"/>
  <c r="CJ141" i="5"/>
  <c r="CH141" i="5"/>
  <c r="CG141" i="5"/>
  <c r="CF141" i="5"/>
  <c r="CE141" i="5"/>
  <c r="CC141" i="5"/>
  <c r="CB141" i="5"/>
  <c r="CA141" i="5"/>
  <c r="BZ141" i="5"/>
  <c r="BX141" i="5"/>
  <c r="BW141" i="5"/>
  <c r="BV141" i="5"/>
  <c r="BU141" i="5"/>
  <c r="BS141" i="5"/>
  <c r="BR141" i="5"/>
  <c r="BQ141" i="5"/>
  <c r="BP141" i="5"/>
  <c r="BN141" i="5"/>
  <c r="BM141" i="5"/>
  <c r="BL141" i="5"/>
  <c r="BK141" i="5"/>
  <c r="BI141" i="5"/>
  <c r="BH141" i="5"/>
  <c r="BG141" i="5"/>
  <c r="BF141" i="5"/>
  <c r="BD141" i="5"/>
  <c r="BC141" i="5"/>
  <c r="BB141" i="5"/>
  <c r="BA141" i="5"/>
  <c r="AY141" i="5"/>
  <c r="AX141" i="5"/>
  <c r="AW141" i="5"/>
  <c r="AV141" i="5"/>
  <c r="CW140" i="5"/>
  <c r="CV140" i="5"/>
  <c r="CU140" i="5"/>
  <c r="CT140" i="5"/>
  <c r="CR140" i="5"/>
  <c r="CQ140" i="5"/>
  <c r="CP140" i="5"/>
  <c r="CO140" i="5"/>
  <c r="CM140" i="5"/>
  <c r="CL140" i="5"/>
  <c r="CK140" i="5"/>
  <c r="CJ140" i="5"/>
  <c r="CH140" i="5"/>
  <c r="CG140" i="5"/>
  <c r="CF140" i="5"/>
  <c r="CE140" i="5"/>
  <c r="CC140" i="5"/>
  <c r="CB140" i="5"/>
  <c r="CA140" i="5"/>
  <c r="BZ140" i="5"/>
  <c r="BX140" i="5"/>
  <c r="BW140" i="5"/>
  <c r="BV140" i="5"/>
  <c r="BU140" i="5"/>
  <c r="BS140" i="5"/>
  <c r="BR140" i="5"/>
  <c r="BQ140" i="5"/>
  <c r="BP140" i="5"/>
  <c r="BN140" i="5"/>
  <c r="BM140" i="5"/>
  <c r="BL140" i="5"/>
  <c r="BK140" i="5"/>
  <c r="BI140" i="5"/>
  <c r="BH140" i="5"/>
  <c r="BG140" i="5"/>
  <c r="BF140" i="5"/>
  <c r="BD140" i="5"/>
  <c r="BC140" i="5"/>
  <c r="BB140" i="5"/>
  <c r="BA140" i="5"/>
  <c r="AY140" i="5"/>
  <c r="AX140" i="5"/>
  <c r="AW140" i="5"/>
  <c r="AV140" i="5"/>
  <c r="CW139" i="5"/>
  <c r="CV139" i="5"/>
  <c r="CU139" i="5"/>
  <c r="CT139" i="5"/>
  <c r="CR139" i="5"/>
  <c r="CQ139" i="5"/>
  <c r="CP139" i="5"/>
  <c r="CO139" i="5"/>
  <c r="CM139" i="5"/>
  <c r="CL139" i="5"/>
  <c r="CK139" i="5"/>
  <c r="CJ139" i="5"/>
  <c r="CH139" i="5"/>
  <c r="CG139" i="5"/>
  <c r="CF139" i="5"/>
  <c r="CE139" i="5"/>
  <c r="CC139" i="5"/>
  <c r="CB139" i="5"/>
  <c r="CA139" i="5"/>
  <c r="BZ139" i="5"/>
  <c r="BX139" i="5"/>
  <c r="BW139" i="5"/>
  <c r="BV139" i="5"/>
  <c r="BU139" i="5"/>
  <c r="BS139" i="5"/>
  <c r="BR139" i="5"/>
  <c r="BQ139" i="5"/>
  <c r="BP139" i="5"/>
  <c r="BN139" i="5"/>
  <c r="BM139" i="5"/>
  <c r="BL139" i="5"/>
  <c r="BK139" i="5"/>
  <c r="BI139" i="5"/>
  <c r="BH139" i="5"/>
  <c r="BG139" i="5"/>
  <c r="BF139" i="5"/>
  <c r="BD139" i="5"/>
  <c r="BC139" i="5"/>
  <c r="BB139" i="5"/>
  <c r="BA139" i="5"/>
  <c r="AY139" i="5"/>
  <c r="AX139" i="5"/>
  <c r="AW139" i="5"/>
  <c r="AV139" i="5"/>
  <c r="CW138" i="5"/>
  <c r="CV138" i="5"/>
  <c r="CU138" i="5"/>
  <c r="CT138" i="5"/>
  <c r="CR138" i="5"/>
  <c r="CQ138" i="5"/>
  <c r="CP138" i="5"/>
  <c r="CO138" i="5"/>
  <c r="CM138" i="5"/>
  <c r="CL138" i="5"/>
  <c r="CK138" i="5"/>
  <c r="CJ138" i="5"/>
  <c r="CH138" i="5"/>
  <c r="CG138" i="5"/>
  <c r="CF138" i="5"/>
  <c r="CE138" i="5"/>
  <c r="CC138" i="5"/>
  <c r="CB138" i="5"/>
  <c r="CA138" i="5"/>
  <c r="BZ138" i="5"/>
  <c r="BX138" i="5"/>
  <c r="BW138" i="5"/>
  <c r="BV138" i="5"/>
  <c r="BU138" i="5"/>
  <c r="BS138" i="5"/>
  <c r="BR138" i="5"/>
  <c r="BQ138" i="5"/>
  <c r="BP138" i="5"/>
  <c r="BN138" i="5"/>
  <c r="BM138" i="5"/>
  <c r="BL138" i="5"/>
  <c r="BK138" i="5"/>
  <c r="BI138" i="5"/>
  <c r="BH138" i="5"/>
  <c r="BG138" i="5"/>
  <c r="BF138" i="5"/>
  <c r="BD138" i="5"/>
  <c r="BC138" i="5"/>
  <c r="BB138" i="5"/>
  <c r="BA138" i="5"/>
  <c r="AY138" i="5"/>
  <c r="AX138" i="5"/>
  <c r="AW138" i="5"/>
  <c r="AV138" i="5"/>
  <c r="CW135" i="5"/>
  <c r="CV135" i="5"/>
  <c r="CU135" i="5"/>
  <c r="CT135" i="5"/>
  <c r="CR135" i="5"/>
  <c r="CQ135" i="5"/>
  <c r="CP135" i="5"/>
  <c r="CO135" i="5"/>
  <c r="CM135" i="5"/>
  <c r="CL135" i="5"/>
  <c r="CK135" i="5"/>
  <c r="CJ135" i="5"/>
  <c r="CH135" i="5"/>
  <c r="CG135" i="5"/>
  <c r="CF135" i="5"/>
  <c r="CE135" i="5"/>
  <c r="CC135" i="5"/>
  <c r="CB135" i="5"/>
  <c r="CA135" i="5"/>
  <c r="BZ135" i="5"/>
  <c r="BX135" i="5"/>
  <c r="BW135" i="5"/>
  <c r="BV135" i="5"/>
  <c r="BU135" i="5"/>
  <c r="BS135" i="5"/>
  <c r="BR135" i="5"/>
  <c r="BQ135" i="5"/>
  <c r="BP135" i="5"/>
  <c r="BN135" i="5"/>
  <c r="BM135" i="5"/>
  <c r="BL135" i="5"/>
  <c r="BK135" i="5"/>
  <c r="BI135" i="5"/>
  <c r="BH135" i="5"/>
  <c r="BG135" i="5"/>
  <c r="BF135" i="5"/>
  <c r="BD135" i="5"/>
  <c r="BC135" i="5"/>
  <c r="BB135" i="5"/>
  <c r="BA135" i="5"/>
  <c r="AY135" i="5"/>
  <c r="AX135" i="5"/>
  <c r="AW135" i="5"/>
  <c r="AV135" i="5"/>
  <c r="AT135" i="5"/>
  <c r="AS135" i="5"/>
  <c r="AR135" i="5"/>
  <c r="AQ135" i="5"/>
  <c r="CW134" i="5"/>
  <c r="CV134" i="5"/>
  <c r="CU134" i="5"/>
  <c r="CT134" i="5"/>
  <c r="CR134" i="5"/>
  <c r="CQ134" i="5"/>
  <c r="CP134" i="5"/>
  <c r="CO134" i="5"/>
  <c r="CM134" i="5"/>
  <c r="CL134" i="5"/>
  <c r="CK134" i="5"/>
  <c r="CJ134" i="5"/>
  <c r="CH134" i="5"/>
  <c r="CG134" i="5"/>
  <c r="CF134" i="5"/>
  <c r="CE134" i="5"/>
  <c r="CC134" i="5"/>
  <c r="CB134" i="5"/>
  <c r="CA134" i="5"/>
  <c r="BZ134" i="5"/>
  <c r="BX134" i="5"/>
  <c r="BW134" i="5"/>
  <c r="BV134" i="5"/>
  <c r="BU134" i="5"/>
  <c r="BS134" i="5"/>
  <c r="BR134" i="5"/>
  <c r="BQ134" i="5"/>
  <c r="BP134" i="5"/>
  <c r="BN134" i="5"/>
  <c r="BM134" i="5"/>
  <c r="BL134" i="5"/>
  <c r="BK134" i="5"/>
  <c r="BI134" i="5"/>
  <c r="BH134" i="5"/>
  <c r="BG134" i="5"/>
  <c r="BF134" i="5"/>
  <c r="BD134" i="5"/>
  <c r="BC134" i="5"/>
  <c r="BB134" i="5"/>
  <c r="BA134" i="5"/>
  <c r="AY134" i="5"/>
  <c r="AX134" i="5"/>
  <c r="AW134" i="5"/>
  <c r="AV134" i="5"/>
  <c r="AT134" i="5"/>
  <c r="AS134" i="5"/>
  <c r="AR134" i="5"/>
  <c r="AQ134" i="5"/>
  <c r="CW133" i="5"/>
  <c r="CV133" i="5"/>
  <c r="CU133" i="5"/>
  <c r="CT133" i="5"/>
  <c r="CR133" i="5"/>
  <c r="CQ133" i="5"/>
  <c r="CP133" i="5"/>
  <c r="CO133" i="5"/>
  <c r="CM133" i="5"/>
  <c r="CL133" i="5"/>
  <c r="CK133" i="5"/>
  <c r="CJ133" i="5"/>
  <c r="CH133" i="5"/>
  <c r="CG133" i="5"/>
  <c r="CF133" i="5"/>
  <c r="CE133" i="5"/>
  <c r="CC133" i="5"/>
  <c r="CB133" i="5"/>
  <c r="CA133" i="5"/>
  <c r="BZ133" i="5"/>
  <c r="BX133" i="5"/>
  <c r="BW133" i="5"/>
  <c r="BV133" i="5"/>
  <c r="BU133" i="5"/>
  <c r="BS133" i="5"/>
  <c r="BR133" i="5"/>
  <c r="BQ133" i="5"/>
  <c r="BP133" i="5"/>
  <c r="BN133" i="5"/>
  <c r="BM133" i="5"/>
  <c r="BL133" i="5"/>
  <c r="BK133" i="5"/>
  <c r="BI133" i="5"/>
  <c r="BH133" i="5"/>
  <c r="BG133" i="5"/>
  <c r="BF133" i="5"/>
  <c r="BD133" i="5"/>
  <c r="BC133" i="5"/>
  <c r="BB133" i="5"/>
  <c r="BA133" i="5"/>
  <c r="AY133" i="5"/>
  <c r="AX133" i="5"/>
  <c r="AW133" i="5"/>
  <c r="AV133" i="5"/>
  <c r="AT133" i="5"/>
  <c r="AS133" i="5"/>
  <c r="AR133" i="5"/>
  <c r="AQ133" i="5"/>
  <c r="CW132" i="5"/>
  <c r="CV132" i="5"/>
  <c r="CU132" i="5"/>
  <c r="CT132" i="5"/>
  <c r="CR132" i="5"/>
  <c r="CQ132" i="5"/>
  <c r="CP132" i="5"/>
  <c r="CO132" i="5"/>
  <c r="CM132" i="5"/>
  <c r="CL132" i="5"/>
  <c r="CK132" i="5"/>
  <c r="CJ132" i="5"/>
  <c r="CH132" i="5"/>
  <c r="CG132" i="5"/>
  <c r="CF132" i="5"/>
  <c r="CE132" i="5"/>
  <c r="CC132" i="5"/>
  <c r="CB132" i="5"/>
  <c r="CA132" i="5"/>
  <c r="BZ132" i="5"/>
  <c r="BX132" i="5"/>
  <c r="BW132" i="5"/>
  <c r="BV132" i="5"/>
  <c r="BU132" i="5"/>
  <c r="BS132" i="5"/>
  <c r="BR132" i="5"/>
  <c r="BQ132" i="5"/>
  <c r="BP132" i="5"/>
  <c r="BN132" i="5"/>
  <c r="BM132" i="5"/>
  <c r="BL132" i="5"/>
  <c r="BK132" i="5"/>
  <c r="BI132" i="5"/>
  <c r="BH132" i="5"/>
  <c r="BG132" i="5"/>
  <c r="BF132" i="5"/>
  <c r="BD132" i="5"/>
  <c r="BC132" i="5"/>
  <c r="BB132" i="5"/>
  <c r="BA132" i="5"/>
  <c r="AY132" i="5"/>
  <c r="AX132" i="5"/>
  <c r="AW132" i="5"/>
  <c r="AV132" i="5"/>
  <c r="AT132" i="5"/>
  <c r="AS132" i="5"/>
  <c r="AR132" i="5"/>
  <c r="AQ132" i="5"/>
  <c r="CW131" i="5"/>
  <c r="CV131" i="5"/>
  <c r="CU131" i="5"/>
  <c r="CT131" i="5"/>
  <c r="CR131" i="5"/>
  <c r="CQ131" i="5"/>
  <c r="CP131" i="5"/>
  <c r="CO131" i="5"/>
  <c r="CM131" i="5"/>
  <c r="CL131" i="5"/>
  <c r="CK131" i="5"/>
  <c r="CJ131" i="5"/>
  <c r="CH131" i="5"/>
  <c r="CG131" i="5"/>
  <c r="CF131" i="5"/>
  <c r="CE131" i="5"/>
  <c r="CC131" i="5"/>
  <c r="CB131" i="5"/>
  <c r="CA131" i="5"/>
  <c r="BZ131" i="5"/>
  <c r="BX131" i="5"/>
  <c r="BW131" i="5"/>
  <c r="BV131" i="5"/>
  <c r="BU131" i="5"/>
  <c r="BS131" i="5"/>
  <c r="BR131" i="5"/>
  <c r="BQ131" i="5"/>
  <c r="BP131" i="5"/>
  <c r="BN131" i="5"/>
  <c r="BM131" i="5"/>
  <c r="BL131" i="5"/>
  <c r="BK131" i="5"/>
  <c r="BI131" i="5"/>
  <c r="BH131" i="5"/>
  <c r="BG131" i="5"/>
  <c r="BF131" i="5"/>
  <c r="BD131" i="5"/>
  <c r="BC131" i="5"/>
  <c r="BB131" i="5"/>
  <c r="BA131" i="5"/>
  <c r="AY131" i="5"/>
  <c r="AX131" i="5"/>
  <c r="AW131" i="5"/>
  <c r="AV131" i="5"/>
  <c r="AT131" i="5"/>
  <c r="AS131" i="5"/>
  <c r="AR131" i="5"/>
  <c r="AQ131" i="5"/>
  <c r="CW129" i="5"/>
  <c r="CV129" i="5"/>
  <c r="CU129" i="5"/>
  <c r="CT129" i="5"/>
  <c r="CR129" i="5"/>
  <c r="CQ129" i="5"/>
  <c r="CP129" i="5"/>
  <c r="CO129" i="5"/>
  <c r="CM129" i="5"/>
  <c r="CL129" i="5"/>
  <c r="CK129" i="5"/>
  <c r="CJ129" i="5"/>
  <c r="CH129" i="5"/>
  <c r="CG129" i="5"/>
  <c r="CF129" i="5"/>
  <c r="CE129" i="5"/>
  <c r="CC129" i="5"/>
  <c r="CB129" i="5"/>
  <c r="CA129" i="5"/>
  <c r="BZ129" i="5"/>
  <c r="BX129" i="5"/>
  <c r="BW129" i="5"/>
  <c r="BV129" i="5"/>
  <c r="BU129" i="5"/>
  <c r="BS129" i="5"/>
  <c r="BR129" i="5"/>
  <c r="BQ129" i="5"/>
  <c r="BP129" i="5"/>
  <c r="BN129" i="5"/>
  <c r="BM129" i="5"/>
  <c r="BL129" i="5"/>
  <c r="BK129" i="5"/>
  <c r="BI129" i="5"/>
  <c r="BH129" i="5"/>
  <c r="BG129" i="5"/>
  <c r="BF129" i="5"/>
  <c r="BD129" i="5"/>
  <c r="BC129" i="5"/>
  <c r="BB129" i="5"/>
  <c r="BA129" i="5"/>
  <c r="AY129" i="5"/>
  <c r="AX129" i="5"/>
  <c r="AW129" i="5"/>
  <c r="AV129" i="5"/>
  <c r="AT129" i="5"/>
  <c r="AS129" i="5"/>
  <c r="AR129" i="5"/>
  <c r="AQ129" i="5"/>
  <c r="CX127" i="5"/>
  <c r="CX137" i="5" s="1"/>
  <c r="CW127" i="5"/>
  <c r="CW137" i="5" s="1"/>
  <c r="CV127" i="5"/>
  <c r="CV137" i="5" s="1"/>
  <c r="CU127" i="5"/>
  <c r="CU137" i="5" s="1"/>
  <c r="CT127" i="5"/>
  <c r="CT137" i="5" s="1"/>
  <c r="CS127" i="5"/>
  <c r="CS137" i="5" s="1"/>
  <c r="CR127" i="5"/>
  <c r="CR137" i="5" s="1"/>
  <c r="CQ127" i="5"/>
  <c r="CQ137" i="5" s="1"/>
  <c r="CP127" i="5"/>
  <c r="CP137" i="5" s="1"/>
  <c r="CO127" i="5"/>
  <c r="CO137" i="5" s="1"/>
  <c r="CN127" i="5"/>
  <c r="CN137" i="5" s="1"/>
  <c r="CM127" i="5"/>
  <c r="CM137" i="5" s="1"/>
  <c r="CL127" i="5"/>
  <c r="CL137" i="5" s="1"/>
  <c r="CK127" i="5"/>
  <c r="CK137" i="5" s="1"/>
  <c r="CJ127" i="5"/>
  <c r="CJ137" i="5" s="1"/>
  <c r="CI127" i="5"/>
  <c r="CI137" i="5" s="1"/>
  <c r="CH127" i="5"/>
  <c r="CH137" i="5" s="1"/>
  <c r="CG127" i="5"/>
  <c r="CG137" i="5" s="1"/>
  <c r="CF127" i="5"/>
  <c r="CF137" i="5" s="1"/>
  <c r="CE127" i="5"/>
  <c r="CE137" i="5" s="1"/>
  <c r="CD127" i="5"/>
  <c r="CD137" i="5" s="1"/>
  <c r="CC127" i="5"/>
  <c r="CC137" i="5" s="1"/>
  <c r="CB127" i="5"/>
  <c r="CB137" i="5" s="1"/>
  <c r="CA127" i="5"/>
  <c r="CA137" i="5" s="1"/>
  <c r="BZ127" i="5"/>
  <c r="BZ137" i="5" s="1"/>
  <c r="BY127" i="5"/>
  <c r="BY137" i="5" s="1"/>
  <c r="BX127" i="5"/>
  <c r="BX137" i="5" s="1"/>
  <c r="BW127" i="5"/>
  <c r="BW137" i="5" s="1"/>
  <c r="BV127" i="5"/>
  <c r="BV137" i="5" s="1"/>
  <c r="BU127" i="5"/>
  <c r="BU137" i="5" s="1"/>
  <c r="BT127" i="5"/>
  <c r="BT137" i="5" s="1"/>
  <c r="BS127" i="5"/>
  <c r="BS137" i="5" s="1"/>
  <c r="BR127" i="5"/>
  <c r="BR137" i="5" s="1"/>
  <c r="BQ127" i="5"/>
  <c r="BQ137" i="5" s="1"/>
  <c r="BP127" i="5"/>
  <c r="BP137" i="5" s="1"/>
  <c r="BO127" i="5"/>
  <c r="BO137" i="5" s="1"/>
  <c r="BN127" i="5"/>
  <c r="BN137" i="5" s="1"/>
  <c r="BM127" i="5"/>
  <c r="BM137" i="5" s="1"/>
  <c r="BL127" i="5"/>
  <c r="BL137" i="5" s="1"/>
  <c r="BK127" i="5"/>
  <c r="BK137" i="5" s="1"/>
  <c r="BJ127" i="5"/>
  <c r="BJ137" i="5" s="1"/>
  <c r="BI127" i="5"/>
  <c r="BI137" i="5" s="1"/>
  <c r="BH127" i="5"/>
  <c r="BH137" i="5" s="1"/>
  <c r="BG127" i="5"/>
  <c r="BG137" i="5" s="1"/>
  <c r="BF127" i="5"/>
  <c r="BF137" i="5" s="1"/>
  <c r="BE127" i="5"/>
  <c r="BE137" i="5" s="1"/>
  <c r="BD127" i="5"/>
  <c r="BD137" i="5" s="1"/>
  <c r="BC127" i="5"/>
  <c r="BC137" i="5" s="1"/>
  <c r="BB127" i="5"/>
  <c r="BB137" i="5" s="1"/>
  <c r="BA127" i="5"/>
  <c r="BA137" i="5" s="1"/>
  <c r="AZ127" i="5"/>
  <c r="AZ137" i="5" s="1"/>
  <c r="AY127" i="5"/>
  <c r="AY137" i="5" s="1"/>
  <c r="AX127" i="5"/>
  <c r="AX137" i="5" s="1"/>
  <c r="AW127" i="5"/>
  <c r="AW137" i="5" s="1"/>
  <c r="AV127" i="5"/>
  <c r="AV137" i="5" s="1"/>
  <c r="AU127" i="5"/>
  <c r="AU137" i="5" s="1"/>
  <c r="AT127" i="5"/>
  <c r="AT137" i="5" s="1"/>
  <c r="AS127" i="5"/>
  <c r="AS137" i="5" s="1"/>
  <c r="AR127" i="5"/>
  <c r="AR137" i="5" s="1"/>
  <c r="AQ127" i="5"/>
  <c r="AQ137" i="5" s="1"/>
  <c r="AP127" i="5"/>
  <c r="AP137" i="5" s="1"/>
  <c r="AO127" i="5"/>
  <c r="AO137" i="5" s="1"/>
  <c r="AN127" i="5"/>
  <c r="AN137" i="5" s="1"/>
  <c r="AM127" i="5"/>
  <c r="AM137" i="5" s="1"/>
  <c r="AL127" i="5"/>
  <c r="AL137" i="5" s="1"/>
  <c r="AK127" i="5"/>
  <c r="AK137" i="5" s="1"/>
  <c r="AJ127" i="5"/>
  <c r="AJ137" i="5" s="1"/>
  <c r="AI127" i="5"/>
  <c r="AI137" i="5" s="1"/>
  <c r="AH127" i="5"/>
  <c r="AH137" i="5" s="1"/>
  <c r="AG127" i="5"/>
  <c r="AG137" i="5" s="1"/>
  <c r="AF127" i="5"/>
  <c r="AF137" i="5" s="1"/>
  <c r="AE127" i="5"/>
  <c r="AE137" i="5" s="1"/>
  <c r="AD127" i="5"/>
  <c r="AD137" i="5" s="1"/>
  <c r="AC127" i="5"/>
  <c r="AC137" i="5" s="1"/>
  <c r="AB127" i="5"/>
  <c r="AB137" i="5" s="1"/>
  <c r="AA127" i="5"/>
  <c r="AA137" i="5" s="1"/>
  <c r="Z127" i="5"/>
  <c r="Z137" i="5" s="1"/>
  <c r="Y127" i="5"/>
  <c r="Y137" i="5" s="1"/>
  <c r="X127" i="5"/>
  <c r="X137" i="5" s="1"/>
  <c r="W127" i="5"/>
  <c r="W137" i="5" s="1"/>
  <c r="V127" i="5"/>
  <c r="V137" i="5" s="1"/>
  <c r="U127" i="5"/>
  <c r="U137" i="5" s="1"/>
  <c r="T127" i="5"/>
  <c r="T137" i="5" s="1"/>
  <c r="S127" i="5"/>
  <c r="S137" i="5" s="1"/>
  <c r="R127" i="5"/>
  <c r="R137" i="5" s="1"/>
  <c r="Q127" i="5"/>
  <c r="Q137" i="5" s="1"/>
  <c r="P127" i="5"/>
  <c r="P137" i="5" s="1"/>
  <c r="O127" i="5"/>
  <c r="O137" i="5" s="1"/>
  <c r="N127" i="5"/>
  <c r="N137" i="5" s="1"/>
  <c r="M127" i="5"/>
  <c r="M137" i="5" s="1"/>
  <c r="L127" i="5"/>
  <c r="L137" i="5" s="1"/>
  <c r="K127" i="5"/>
  <c r="K137" i="5" s="1"/>
  <c r="J127" i="5"/>
  <c r="J137" i="5" s="1"/>
  <c r="I127" i="5"/>
  <c r="I137" i="5" s="1"/>
  <c r="H127" i="5"/>
  <c r="H137" i="5" s="1"/>
  <c r="G127" i="5"/>
  <c r="G137" i="5" s="1"/>
  <c r="F127" i="5"/>
  <c r="F137" i="5" s="1"/>
  <c r="E127" i="5"/>
  <c r="E137" i="5" s="1"/>
  <c r="D127" i="5"/>
  <c r="D137" i="5" s="1"/>
  <c r="C127" i="5"/>
  <c r="C137" i="5" s="1"/>
  <c r="AJ124" i="5"/>
  <c r="AI124" i="5"/>
  <c r="AH124" i="5"/>
  <c r="AG124" i="5"/>
  <c r="AF124" i="5"/>
  <c r="AA124" i="5"/>
  <c r="AA122" i="5"/>
  <c r="AA99" i="5" s="1"/>
  <c r="AA121" i="5"/>
  <c r="AA98" i="5" s="1"/>
  <c r="AA120" i="5"/>
  <c r="AA97" i="5" s="1"/>
  <c r="AA119" i="5"/>
  <c r="AA96" i="5" s="1"/>
  <c r="AA117" i="5"/>
  <c r="AA93" i="5" s="1"/>
  <c r="AA115" i="5"/>
  <c r="AA114" i="5"/>
  <c r="AA92" i="5" s="1"/>
  <c r="AA112" i="5"/>
  <c r="AA91" i="5" s="1"/>
  <c r="AA111" i="5"/>
  <c r="AA110" i="5"/>
  <c r="AA156" i="5" s="1"/>
  <c r="V124" i="5"/>
  <c r="V122" i="5"/>
  <c r="V99" i="5" s="1"/>
  <c r="V121" i="5"/>
  <c r="V98" i="5" s="1"/>
  <c r="V120" i="5"/>
  <c r="V97" i="5" s="1"/>
  <c r="V119" i="5"/>
  <c r="V96" i="5" s="1"/>
  <c r="V117" i="5"/>
  <c r="V93" i="5" s="1"/>
  <c r="Q124" i="5"/>
  <c r="Q122" i="5"/>
  <c r="Q99" i="5" s="1"/>
  <c r="Q121" i="5"/>
  <c r="Q98" i="5" s="1"/>
  <c r="Q120" i="5"/>
  <c r="Q97" i="5" s="1"/>
  <c r="Q119" i="5"/>
  <c r="Q96" i="5" s="1"/>
  <c r="Q117" i="5"/>
  <c r="Q93" i="5" s="1"/>
  <c r="L124" i="5"/>
  <c r="L122" i="5"/>
  <c r="L99" i="5" s="1"/>
  <c r="L121" i="5"/>
  <c r="L98" i="5" s="1"/>
  <c r="L120" i="5"/>
  <c r="L97" i="5" s="1"/>
  <c r="L119" i="5"/>
  <c r="L96" i="5" s="1"/>
  <c r="L117" i="5"/>
  <c r="L93" i="5" s="1"/>
  <c r="G124" i="5"/>
  <c r="G122" i="5"/>
  <c r="G99" i="5" s="1"/>
  <c r="G121" i="5"/>
  <c r="G98" i="5" s="1"/>
  <c r="G120" i="5"/>
  <c r="G97" i="5" s="1"/>
  <c r="G119" i="5"/>
  <c r="G117" i="5"/>
  <c r="G93" i="5" s="1"/>
  <c r="AF122" i="5"/>
  <c r="AF121" i="5"/>
  <c r="AF120" i="5"/>
  <c r="AK96" i="5"/>
  <c r="AF119" i="5"/>
  <c r="AF117" i="5"/>
  <c r="AF115" i="5"/>
  <c r="AF114" i="5"/>
  <c r="AF112" i="5"/>
  <c r="AD116" i="5"/>
  <c r="AD63" i="5" s="1"/>
  <c r="AC116" i="5"/>
  <c r="AC63" i="5" s="1"/>
  <c r="AB116" i="5"/>
  <c r="AB63" i="5" s="1"/>
  <c r="Z116" i="5"/>
  <c r="Z63" i="5" s="1"/>
  <c r="Y116" i="5"/>
  <c r="Y63" i="5" s="1"/>
  <c r="X116" i="5"/>
  <c r="X63" i="5" s="1"/>
  <c r="W116" i="5"/>
  <c r="W63" i="5" s="1"/>
  <c r="AG114" i="5"/>
  <c r="V114" i="5"/>
  <c r="V113" i="5" s="1"/>
  <c r="V112" i="5"/>
  <c r="Q114" i="5"/>
  <c r="Q92" i="5" s="1"/>
  <c r="Q112" i="5"/>
  <c r="Q91" i="5" s="1"/>
  <c r="L114" i="5"/>
  <c r="L92" i="5" s="1"/>
  <c r="L112" i="5"/>
  <c r="G114" i="5"/>
  <c r="G113" i="5" s="1"/>
  <c r="G112" i="5"/>
  <c r="AE113" i="5"/>
  <c r="AD113" i="5"/>
  <c r="AC113" i="5"/>
  <c r="AB113" i="5"/>
  <c r="Z113" i="5"/>
  <c r="Y113" i="5"/>
  <c r="X113" i="5"/>
  <c r="W113" i="5"/>
  <c r="U113" i="5"/>
  <c r="T113" i="5"/>
  <c r="S113" i="5"/>
  <c r="R113" i="5"/>
  <c r="P113" i="5"/>
  <c r="O113" i="5"/>
  <c r="N113" i="5"/>
  <c r="M113" i="5"/>
  <c r="K113" i="5"/>
  <c r="J113" i="5"/>
  <c r="I113" i="5"/>
  <c r="H113" i="5"/>
  <c r="F113" i="5"/>
  <c r="E113" i="5"/>
  <c r="D113" i="5"/>
  <c r="C113" i="5"/>
  <c r="AH91" i="5"/>
  <c r="CX111" i="5"/>
  <c r="CS111" i="5"/>
  <c r="CN111" i="5"/>
  <c r="CD111" i="5"/>
  <c r="BY111" i="5"/>
  <c r="BO111" i="5"/>
  <c r="BJ111" i="5"/>
  <c r="BE111" i="5"/>
  <c r="AD109" i="5"/>
  <c r="AC109" i="5"/>
  <c r="AC90" i="5" s="1"/>
  <c r="Y109" i="5"/>
  <c r="Y90" i="5" s="1"/>
  <c r="X109" i="5"/>
  <c r="X90" i="5" s="1"/>
  <c r="W109" i="5"/>
  <c r="V109" i="5"/>
  <c r="V90" i="5" s="1"/>
  <c r="M109" i="5"/>
  <c r="Q109" i="5" s="1"/>
  <c r="Q90" i="5" s="1"/>
  <c r="L109" i="5"/>
  <c r="L90" i="5" s="1"/>
  <c r="G109" i="5"/>
  <c r="G90" i="5" s="1"/>
  <c r="AG107" i="5"/>
  <c r="AG118" i="5" s="1"/>
  <c r="AE107" i="5"/>
  <c r="AE95" i="5" s="1"/>
  <c r="AD107" i="5"/>
  <c r="AD118" i="5" s="1"/>
  <c r="AD95" i="5" s="1"/>
  <c r="AC107" i="5"/>
  <c r="AC118" i="5" s="1"/>
  <c r="AC95" i="5" s="1"/>
  <c r="AB107" i="5"/>
  <c r="AB118" i="5" s="1"/>
  <c r="AB95" i="5" s="1"/>
  <c r="Z107" i="5"/>
  <c r="Z118" i="5" s="1"/>
  <c r="Y107" i="5"/>
  <c r="Y118" i="5" s="1"/>
  <c r="Y95" i="5" s="1"/>
  <c r="X107" i="5"/>
  <c r="X118" i="5" s="1"/>
  <c r="X95" i="5" s="1"/>
  <c r="W107" i="5"/>
  <c r="W118" i="5" s="1"/>
  <c r="W95" i="5" s="1"/>
  <c r="U107" i="5"/>
  <c r="U118" i="5" s="1"/>
  <c r="U95" i="5" s="1"/>
  <c r="T107" i="5"/>
  <c r="T118" i="5" s="1"/>
  <c r="T95" i="5" s="1"/>
  <c r="S107" i="5"/>
  <c r="S118" i="5" s="1"/>
  <c r="S95" i="5" s="1"/>
  <c r="R107" i="5"/>
  <c r="R118" i="5" s="1"/>
  <c r="R95" i="5" s="1"/>
  <c r="P107" i="5"/>
  <c r="P118" i="5" s="1"/>
  <c r="P95" i="5" s="1"/>
  <c r="O107" i="5"/>
  <c r="O118" i="5" s="1"/>
  <c r="O95" i="5" s="1"/>
  <c r="N107" i="5"/>
  <c r="N118" i="5" s="1"/>
  <c r="N95" i="5" s="1"/>
  <c r="M107" i="5"/>
  <c r="M118" i="5" s="1"/>
  <c r="M95" i="5" s="1"/>
  <c r="K107" i="5"/>
  <c r="K118" i="5" s="1"/>
  <c r="J107" i="5"/>
  <c r="J118" i="5" s="1"/>
  <c r="J95" i="5" s="1"/>
  <c r="I107" i="5"/>
  <c r="I118" i="5" s="1"/>
  <c r="I95" i="5" s="1"/>
  <c r="H107" i="5"/>
  <c r="H118" i="5" s="1"/>
  <c r="H95" i="5" s="1"/>
  <c r="F107" i="5"/>
  <c r="F118" i="5" s="1"/>
  <c r="E107" i="5"/>
  <c r="E118" i="5" s="1"/>
  <c r="E95" i="5" s="1"/>
  <c r="D107" i="5"/>
  <c r="D118" i="5" s="1"/>
  <c r="D95" i="5" s="1"/>
  <c r="C107" i="5"/>
  <c r="C118" i="5" s="1"/>
  <c r="C95" i="5" s="1"/>
  <c r="AF106" i="5"/>
  <c r="AF105" i="5"/>
  <c r="AF104" i="5"/>
  <c r="AP104" i="5" s="1"/>
  <c r="AA106" i="5"/>
  <c r="AA105" i="5"/>
  <c r="AA104" i="5"/>
  <c r="V106" i="5"/>
  <c r="V105" i="5"/>
  <c r="V104" i="5"/>
  <c r="V27" i="5" s="1"/>
  <c r="Q106" i="5"/>
  <c r="Q64" i="5" s="1"/>
  <c r="Q105" i="5"/>
  <c r="Q51" i="5" s="1"/>
  <c r="Q52" i="5" s="1"/>
  <c r="Q104" i="5"/>
  <c r="L106" i="5"/>
  <c r="L105" i="5"/>
  <c r="L104" i="5"/>
  <c r="G106" i="5"/>
  <c r="G105" i="5"/>
  <c r="G104" i="5"/>
  <c r="AP106" i="5"/>
  <c r="CX99" i="5"/>
  <c r="CX98" i="5"/>
  <c r="CX97" i="5"/>
  <c r="CX96" i="5"/>
  <c r="CX91" i="5"/>
  <c r="CS99" i="5"/>
  <c r="CS98" i="5"/>
  <c r="CS97" i="5"/>
  <c r="CS96" i="5"/>
  <c r="CS91" i="5"/>
  <c r="CN99" i="5"/>
  <c r="CN98" i="5"/>
  <c r="CN97" i="5"/>
  <c r="CN96" i="5"/>
  <c r="CN91" i="5"/>
  <c r="CI99" i="5"/>
  <c r="CI98" i="5"/>
  <c r="CI97" i="5"/>
  <c r="CI96" i="5"/>
  <c r="CI91" i="5"/>
  <c r="CD99" i="5"/>
  <c r="CD98" i="5"/>
  <c r="CD97" i="5"/>
  <c r="CD96" i="5"/>
  <c r="CD91" i="5"/>
  <c r="BY99" i="5"/>
  <c r="BY98" i="5"/>
  <c r="BY97" i="5"/>
  <c r="BY96" i="5"/>
  <c r="BY91" i="5"/>
  <c r="BT99" i="5"/>
  <c r="BT98" i="5"/>
  <c r="BT97" i="5"/>
  <c r="BT96" i="5"/>
  <c r="BT91" i="5"/>
  <c r="BO99" i="5"/>
  <c r="BO98" i="5"/>
  <c r="BO97" i="5"/>
  <c r="BO96" i="5"/>
  <c r="BO91" i="5"/>
  <c r="BJ99" i="5"/>
  <c r="BJ98" i="5"/>
  <c r="BJ97" i="5"/>
  <c r="BJ96" i="5"/>
  <c r="BJ91" i="5"/>
  <c r="BE99" i="5"/>
  <c r="BE98" i="5"/>
  <c r="BE97" i="5"/>
  <c r="BE96" i="5"/>
  <c r="BE91" i="5"/>
  <c r="AZ99" i="5"/>
  <c r="AZ98" i="5"/>
  <c r="AZ97" i="5"/>
  <c r="AZ96" i="5"/>
  <c r="AZ91" i="5"/>
  <c r="AU99" i="5"/>
  <c r="AU98" i="5"/>
  <c r="AU97" i="5"/>
  <c r="AU96" i="5"/>
  <c r="AU91" i="5"/>
  <c r="AP99" i="5"/>
  <c r="AP98" i="5"/>
  <c r="AP97" i="5"/>
  <c r="AP96" i="5"/>
  <c r="AP91" i="5"/>
  <c r="AI99" i="5"/>
  <c r="AH99" i="5"/>
  <c r="AE99" i="5"/>
  <c r="AD99" i="5"/>
  <c r="AC99" i="5"/>
  <c r="AB99" i="5"/>
  <c r="Z99" i="5"/>
  <c r="Y99" i="5"/>
  <c r="X99" i="5"/>
  <c r="W99" i="5"/>
  <c r="U99" i="5"/>
  <c r="T99" i="5"/>
  <c r="S99" i="5"/>
  <c r="R99" i="5"/>
  <c r="P99" i="5"/>
  <c r="O99" i="5"/>
  <c r="N99" i="5"/>
  <c r="M99" i="5"/>
  <c r="K99" i="5"/>
  <c r="J99" i="5"/>
  <c r="I99" i="5"/>
  <c r="H99" i="5"/>
  <c r="F99" i="5"/>
  <c r="E99" i="5"/>
  <c r="D99" i="5"/>
  <c r="C99" i="5"/>
  <c r="AE98" i="5"/>
  <c r="AD98" i="5"/>
  <c r="AC98" i="5"/>
  <c r="AB98" i="5"/>
  <c r="Z98" i="5"/>
  <c r="Y98" i="5"/>
  <c r="X98" i="5"/>
  <c r="W98" i="5"/>
  <c r="U98" i="5"/>
  <c r="T98" i="5"/>
  <c r="S98" i="5"/>
  <c r="R98" i="5"/>
  <c r="P98" i="5"/>
  <c r="O98" i="5"/>
  <c r="N98" i="5"/>
  <c r="M98" i="5"/>
  <c r="K98" i="5"/>
  <c r="J98" i="5"/>
  <c r="I98" i="5"/>
  <c r="H98" i="5"/>
  <c r="F98" i="5"/>
  <c r="E98" i="5"/>
  <c r="D98" i="5"/>
  <c r="C98" i="5"/>
  <c r="AE97" i="5"/>
  <c r="AD97" i="5"/>
  <c r="AC97" i="5"/>
  <c r="AB97" i="5"/>
  <c r="Z97" i="5"/>
  <c r="Y97" i="5"/>
  <c r="X97" i="5"/>
  <c r="W97" i="5"/>
  <c r="U97" i="5"/>
  <c r="T97" i="5"/>
  <c r="S97" i="5"/>
  <c r="R97" i="5"/>
  <c r="P97" i="5"/>
  <c r="O97" i="5"/>
  <c r="N97" i="5"/>
  <c r="M97" i="5"/>
  <c r="K97" i="5"/>
  <c r="J97" i="5"/>
  <c r="I97" i="5"/>
  <c r="H97" i="5"/>
  <c r="F97" i="5"/>
  <c r="E97" i="5"/>
  <c r="D97" i="5"/>
  <c r="C97" i="5"/>
  <c r="AJ96" i="5"/>
  <c r="AI96" i="5"/>
  <c r="AH96" i="5"/>
  <c r="AG96" i="5"/>
  <c r="AE96" i="5"/>
  <c r="AD96" i="5"/>
  <c r="AC96" i="5"/>
  <c r="AB96" i="5"/>
  <c r="Z96" i="5"/>
  <c r="Y96" i="5"/>
  <c r="X96" i="5"/>
  <c r="W96" i="5"/>
  <c r="U96" i="5"/>
  <c r="T96" i="5"/>
  <c r="S96" i="5"/>
  <c r="R96" i="5"/>
  <c r="P96" i="5"/>
  <c r="O96" i="5"/>
  <c r="N96" i="5"/>
  <c r="M96" i="5"/>
  <c r="K96" i="5"/>
  <c r="J96" i="5"/>
  <c r="I96" i="5"/>
  <c r="H96" i="5"/>
  <c r="G96" i="5"/>
  <c r="F96" i="5"/>
  <c r="E96" i="5"/>
  <c r="D96" i="5"/>
  <c r="C96" i="5"/>
  <c r="Z95" i="5"/>
  <c r="K95" i="5"/>
  <c r="F95" i="5"/>
  <c r="AG93" i="5"/>
  <c r="AE93" i="5"/>
  <c r="AD93" i="5"/>
  <c r="AC93" i="5"/>
  <c r="AB93" i="5"/>
  <c r="Z93" i="5"/>
  <c r="Y93" i="5"/>
  <c r="X93" i="5"/>
  <c r="W93" i="5"/>
  <c r="U93" i="5"/>
  <c r="T93" i="5"/>
  <c r="S93" i="5"/>
  <c r="R93" i="5"/>
  <c r="P93" i="5"/>
  <c r="O93" i="5"/>
  <c r="N93" i="5"/>
  <c r="M93" i="5"/>
  <c r="K93" i="5"/>
  <c r="J93" i="5"/>
  <c r="I93" i="5"/>
  <c r="H93" i="5"/>
  <c r="F93" i="5"/>
  <c r="E93" i="5"/>
  <c r="D93" i="5"/>
  <c r="C93" i="5"/>
  <c r="AE92" i="5"/>
  <c r="AD92" i="5"/>
  <c r="AC92" i="5"/>
  <c r="AB92" i="5"/>
  <c r="Z92" i="5"/>
  <c r="Y92" i="5"/>
  <c r="X92" i="5"/>
  <c r="W92" i="5"/>
  <c r="U92" i="5"/>
  <c r="T92" i="5"/>
  <c r="S92" i="5"/>
  <c r="R92" i="5"/>
  <c r="P92" i="5"/>
  <c r="O92" i="5"/>
  <c r="N92" i="5"/>
  <c r="M92" i="5"/>
  <c r="K92" i="5"/>
  <c r="J92" i="5"/>
  <c r="I92" i="5"/>
  <c r="H92" i="5"/>
  <c r="F92" i="5"/>
  <c r="E92" i="5"/>
  <c r="D92" i="5"/>
  <c r="C92" i="5"/>
  <c r="AK91" i="5"/>
  <c r="AJ91" i="5"/>
  <c r="AI91" i="5"/>
  <c r="AG91" i="5"/>
  <c r="AE91" i="5"/>
  <c r="AD91" i="5"/>
  <c r="AC91" i="5"/>
  <c r="AB91" i="5"/>
  <c r="Z91" i="5"/>
  <c r="Y91" i="5"/>
  <c r="X91" i="5"/>
  <c r="W91" i="5"/>
  <c r="V91" i="5"/>
  <c r="U91" i="5"/>
  <c r="T91" i="5"/>
  <c r="S91" i="5"/>
  <c r="R91" i="5"/>
  <c r="P91" i="5"/>
  <c r="O91" i="5"/>
  <c r="N91" i="5"/>
  <c r="M91" i="5"/>
  <c r="L91" i="5"/>
  <c r="K91" i="5"/>
  <c r="J91" i="5"/>
  <c r="I91" i="5"/>
  <c r="H91" i="5"/>
  <c r="G91" i="5"/>
  <c r="F91" i="5"/>
  <c r="E91" i="5"/>
  <c r="D91" i="5"/>
  <c r="C91" i="5"/>
  <c r="AE90" i="5"/>
  <c r="AB90" i="5"/>
  <c r="Z90" i="5"/>
  <c r="U90" i="5"/>
  <c r="T90" i="5"/>
  <c r="S90" i="5"/>
  <c r="R90" i="5"/>
  <c r="P90" i="5"/>
  <c r="O90" i="5"/>
  <c r="N90" i="5"/>
  <c r="M90" i="5"/>
  <c r="K90" i="5"/>
  <c r="J90" i="5"/>
  <c r="I90" i="5"/>
  <c r="H90" i="5"/>
  <c r="F90" i="5"/>
  <c r="E90" i="5"/>
  <c r="D90" i="5"/>
  <c r="C90" i="5"/>
  <c r="AE86" i="5"/>
  <c r="AG86" i="5" s="1"/>
  <c r="AK86" i="5" s="1"/>
  <c r="AP86" i="5" s="1"/>
  <c r="AD86" i="5"/>
  <c r="Z86" i="5"/>
  <c r="Y86" i="5"/>
  <c r="U86" i="5"/>
  <c r="T86" i="5"/>
  <c r="S86" i="5"/>
  <c r="R86" i="5"/>
  <c r="P86" i="5"/>
  <c r="O86" i="5"/>
  <c r="N86" i="5"/>
  <c r="M86" i="5"/>
  <c r="C86" i="5"/>
  <c r="AG85" i="5"/>
  <c r="AC85" i="5"/>
  <c r="AB85" i="5"/>
  <c r="AB86" i="5" s="1"/>
  <c r="X85" i="5"/>
  <c r="X147" i="5" s="1"/>
  <c r="W85" i="5"/>
  <c r="W147" i="5" s="1"/>
  <c r="AK84" i="5"/>
  <c r="AP84" i="5" s="1"/>
  <c r="AF84" i="5"/>
  <c r="AD75" i="5"/>
  <c r="AC75" i="5"/>
  <c r="AB75" i="5"/>
  <c r="Z75" i="5"/>
  <c r="Y75" i="5"/>
  <c r="X75" i="5"/>
  <c r="W75" i="5"/>
  <c r="U75" i="5"/>
  <c r="T75" i="5"/>
  <c r="S75" i="5"/>
  <c r="R75" i="5"/>
  <c r="P75" i="5"/>
  <c r="O75" i="5"/>
  <c r="N75" i="5"/>
  <c r="M75" i="5"/>
  <c r="K75" i="5"/>
  <c r="J75" i="5"/>
  <c r="I75" i="5"/>
  <c r="H75" i="5"/>
  <c r="F75" i="5"/>
  <c r="E75" i="5"/>
  <c r="D75" i="5"/>
  <c r="C75" i="5"/>
  <c r="AG75" i="5"/>
  <c r="AK75" i="5" s="1"/>
  <c r="AK72" i="5"/>
  <c r="AK71" i="5"/>
  <c r="AP71" i="5" s="1"/>
  <c r="AG73" i="5"/>
  <c r="AK73" i="5" s="1"/>
  <c r="AF73" i="5"/>
  <c r="Z73" i="5"/>
  <c r="X73" i="5"/>
  <c r="V73" i="5"/>
  <c r="V72" i="5"/>
  <c r="V71" i="5"/>
  <c r="Q73" i="5"/>
  <c r="Q71" i="5"/>
  <c r="L73" i="5"/>
  <c r="L72" i="5"/>
  <c r="L71" i="5"/>
  <c r="G73" i="5"/>
  <c r="G71" i="5"/>
  <c r="AF72" i="5"/>
  <c r="AF71" i="5"/>
  <c r="AA72" i="5"/>
  <c r="AA71" i="5"/>
  <c r="P72" i="5"/>
  <c r="O72" i="5"/>
  <c r="M72" i="5"/>
  <c r="E72" i="5"/>
  <c r="G72" i="5" s="1"/>
  <c r="AK68" i="5"/>
  <c r="AB68" i="5"/>
  <c r="AF68" i="5" s="1"/>
  <c r="Z68" i="5"/>
  <c r="Y68" i="5"/>
  <c r="X68" i="5"/>
  <c r="W68" i="5"/>
  <c r="U68" i="5"/>
  <c r="T68" i="5"/>
  <c r="S68" i="5"/>
  <c r="R68" i="5"/>
  <c r="P68" i="5"/>
  <c r="O68" i="5"/>
  <c r="N68" i="5"/>
  <c r="M68" i="5"/>
  <c r="K68" i="5"/>
  <c r="J68" i="5"/>
  <c r="I68" i="5"/>
  <c r="H68" i="5"/>
  <c r="F68" i="5"/>
  <c r="E68" i="5"/>
  <c r="D68" i="5"/>
  <c r="C68" i="5"/>
  <c r="U66" i="5"/>
  <c r="T66" i="5"/>
  <c r="S66" i="5"/>
  <c r="R66" i="5"/>
  <c r="P66" i="5"/>
  <c r="O66" i="5"/>
  <c r="N66" i="5"/>
  <c r="M66" i="5"/>
  <c r="K66" i="5"/>
  <c r="J66" i="5"/>
  <c r="I66" i="5"/>
  <c r="H66" i="5"/>
  <c r="F66" i="5"/>
  <c r="E66" i="5"/>
  <c r="D66" i="5"/>
  <c r="C66" i="5"/>
  <c r="AG65" i="5"/>
  <c r="AG66" i="5" s="1"/>
  <c r="AA65" i="5"/>
  <c r="V65" i="5"/>
  <c r="AE64" i="5"/>
  <c r="AD64" i="5"/>
  <c r="AC64" i="5"/>
  <c r="AB64" i="5"/>
  <c r="AE63" i="5"/>
  <c r="Z64" i="5"/>
  <c r="Y64" i="5"/>
  <c r="X64" i="5"/>
  <c r="W64" i="5"/>
  <c r="AG60" i="5"/>
  <c r="AG58" i="5"/>
  <c r="AG57" i="5"/>
  <c r="AG56" i="5"/>
  <c r="AG55" i="5"/>
  <c r="V58" i="5"/>
  <c r="Q58" i="5"/>
  <c r="AD60" i="5"/>
  <c r="AC60" i="5"/>
  <c r="AB60" i="5"/>
  <c r="AA60" i="5"/>
  <c r="Z60" i="5"/>
  <c r="Y60" i="5"/>
  <c r="X60" i="5"/>
  <c r="W60" i="5"/>
  <c r="AD58" i="5"/>
  <c r="AC58" i="5"/>
  <c r="AB58" i="5"/>
  <c r="AA58" i="5"/>
  <c r="Y58" i="5"/>
  <c r="X58" i="5"/>
  <c r="W58" i="5"/>
  <c r="AD57" i="5"/>
  <c r="AC57" i="5"/>
  <c r="AB57" i="5"/>
  <c r="AA57" i="5"/>
  <c r="Y57" i="5"/>
  <c r="X57" i="5"/>
  <c r="W57" i="5"/>
  <c r="AD56" i="5"/>
  <c r="AC56" i="5"/>
  <c r="AB56" i="5"/>
  <c r="AA56" i="5"/>
  <c r="Y56" i="5"/>
  <c r="X56" i="5"/>
  <c r="W56" i="5"/>
  <c r="AD55" i="5"/>
  <c r="AC55" i="5"/>
  <c r="AB55" i="5"/>
  <c r="AA55" i="5"/>
  <c r="Z55" i="5"/>
  <c r="Y55" i="5"/>
  <c r="X55" i="5"/>
  <c r="W55" i="5"/>
  <c r="U53" i="5"/>
  <c r="T53" i="5"/>
  <c r="S53" i="5"/>
  <c r="R53" i="5"/>
  <c r="P53" i="5"/>
  <c r="O53" i="5"/>
  <c r="N53" i="5"/>
  <c r="M53" i="5"/>
  <c r="K53" i="5"/>
  <c r="J53" i="5"/>
  <c r="I53" i="5"/>
  <c r="H53" i="5"/>
  <c r="F53" i="5"/>
  <c r="E53" i="5"/>
  <c r="D53" i="5"/>
  <c r="C53" i="5"/>
  <c r="AG52" i="5"/>
  <c r="AG53" i="5" s="1"/>
  <c r="V52" i="5"/>
  <c r="AE51" i="5"/>
  <c r="AD51" i="5"/>
  <c r="AC51" i="5"/>
  <c r="AB51" i="5"/>
  <c r="Z51" i="5"/>
  <c r="Y51" i="5"/>
  <c r="X51" i="5"/>
  <c r="W51" i="5"/>
  <c r="AE50" i="5"/>
  <c r="AD50" i="5"/>
  <c r="AD52" i="5" s="1"/>
  <c r="AC50" i="5"/>
  <c r="AC52" i="5" s="1"/>
  <c r="AB50" i="5"/>
  <c r="Z50" i="5"/>
  <c r="Z52" i="5" s="1"/>
  <c r="Y50" i="5"/>
  <c r="Y52" i="5" s="1"/>
  <c r="X50" i="5"/>
  <c r="X52" i="5" s="1"/>
  <c r="W50" i="5"/>
  <c r="V48" i="5"/>
  <c r="L231" i="49" s="1"/>
  <c r="Q48" i="5"/>
  <c r="AG47" i="5"/>
  <c r="AG46" i="5"/>
  <c r="AG45" i="5"/>
  <c r="AG44" i="5"/>
  <c r="AD46" i="5"/>
  <c r="AC46" i="5"/>
  <c r="X46" i="5"/>
  <c r="AD45" i="5"/>
  <c r="AC45" i="5"/>
  <c r="Y45" i="5"/>
  <c r="X45" i="5"/>
  <c r="AD44" i="5"/>
  <c r="AC44" i="5"/>
  <c r="AB44" i="5"/>
  <c r="Y44" i="5"/>
  <c r="X44" i="5"/>
  <c r="W44" i="5"/>
  <c r="AD43" i="5"/>
  <c r="AC43" i="5"/>
  <c r="AB43" i="5"/>
  <c r="Y43" i="5"/>
  <c r="X43" i="5"/>
  <c r="W43" i="5"/>
  <c r="AD42" i="5"/>
  <c r="AC42" i="5"/>
  <c r="AB42" i="5"/>
  <c r="Z42" i="5"/>
  <c r="Y42" i="5"/>
  <c r="X42" i="5"/>
  <c r="W42" i="5"/>
  <c r="AG41" i="5"/>
  <c r="AG40" i="5"/>
  <c r="Z41" i="5"/>
  <c r="Y41" i="5"/>
  <c r="X41" i="5"/>
  <c r="AG38" i="5"/>
  <c r="AG37" i="5"/>
  <c r="AG36" i="5"/>
  <c r="AD41" i="5"/>
  <c r="AC41" i="5"/>
  <c r="AB41" i="5"/>
  <c r="AD40" i="5"/>
  <c r="AC40" i="5"/>
  <c r="AB40" i="5"/>
  <c r="AD39" i="5"/>
  <c r="AC39" i="5"/>
  <c r="AB39" i="5"/>
  <c r="AD38" i="5"/>
  <c r="AC38" i="5"/>
  <c r="AB38" i="5"/>
  <c r="AD37" i="5"/>
  <c r="AC37" i="5"/>
  <c r="AB37" i="5"/>
  <c r="Z40" i="5"/>
  <c r="Y40" i="5"/>
  <c r="X40" i="5"/>
  <c r="W40" i="5"/>
  <c r="Z39" i="5"/>
  <c r="Y39" i="5"/>
  <c r="X39" i="5"/>
  <c r="W39" i="5"/>
  <c r="Z38" i="5"/>
  <c r="Y38" i="5"/>
  <c r="X38" i="5"/>
  <c r="W38" i="5"/>
  <c r="Y37" i="5"/>
  <c r="X37" i="5"/>
  <c r="W37" i="5"/>
  <c r="AD35" i="5"/>
  <c r="AC35" i="5"/>
  <c r="Y35" i="5"/>
  <c r="X35" i="5"/>
  <c r="AD34" i="5"/>
  <c r="AC34" i="5"/>
  <c r="AB34" i="5"/>
  <c r="Y34" i="5"/>
  <c r="X34" i="5"/>
  <c r="AD33" i="5"/>
  <c r="AC33" i="5"/>
  <c r="Z33" i="5"/>
  <c r="Y33" i="5"/>
  <c r="X33" i="5"/>
  <c r="AD32" i="5"/>
  <c r="AC32" i="5"/>
  <c r="Y32" i="5"/>
  <c r="X32" i="5"/>
  <c r="W32" i="5"/>
  <c r="AD31" i="5"/>
  <c r="AC31" i="5"/>
  <c r="AB31" i="5"/>
  <c r="Z31" i="5"/>
  <c r="Y31" i="5"/>
  <c r="X31" i="5"/>
  <c r="W31" i="5"/>
  <c r="AG28" i="5"/>
  <c r="AD28" i="5"/>
  <c r="AC28" i="5"/>
  <c r="AB28" i="5"/>
  <c r="Z28" i="5"/>
  <c r="Y28" i="5"/>
  <c r="X28" i="5"/>
  <c r="N226" i="49" s="1"/>
  <c r="W28" i="5"/>
  <c r="U28" i="5"/>
  <c r="T28" i="5"/>
  <c r="S28" i="5"/>
  <c r="R28" i="5"/>
  <c r="P28" i="5"/>
  <c r="O28" i="5"/>
  <c r="N28" i="5"/>
  <c r="M28" i="5"/>
  <c r="K28" i="5"/>
  <c r="J28" i="5"/>
  <c r="I28" i="5"/>
  <c r="H28" i="5"/>
  <c r="F28" i="5"/>
  <c r="E28" i="5"/>
  <c r="D28" i="5"/>
  <c r="C28" i="5"/>
  <c r="AE27" i="5"/>
  <c r="AE28" i="5" s="1"/>
  <c r="AD27" i="5"/>
  <c r="AC27" i="5"/>
  <c r="AC26" i="5" s="1"/>
  <c r="AB27" i="5"/>
  <c r="Z27" i="5"/>
  <c r="Z26" i="5" s="1"/>
  <c r="Y27" i="5"/>
  <c r="X27" i="5"/>
  <c r="X26" i="5" s="1"/>
  <c r="W27" i="5"/>
  <c r="AP19" i="5"/>
  <c r="AP17" i="5"/>
  <c r="AE22" i="5"/>
  <c r="AD22" i="5"/>
  <c r="AC22" i="5"/>
  <c r="AB22" i="5"/>
  <c r="Z22" i="5"/>
  <c r="Y22" i="5"/>
  <c r="X22" i="5"/>
  <c r="W22" i="5"/>
  <c r="U22" i="5"/>
  <c r="T22" i="5"/>
  <c r="S22" i="5"/>
  <c r="R22" i="5"/>
  <c r="M22" i="5"/>
  <c r="K22" i="5"/>
  <c r="J22" i="5"/>
  <c r="I22" i="5"/>
  <c r="H22" i="5"/>
  <c r="F22" i="5"/>
  <c r="E22" i="5"/>
  <c r="D22" i="5"/>
  <c r="C22" i="5"/>
  <c r="AK21" i="5"/>
  <c r="AK20" i="5"/>
  <c r="AP20" i="5" s="1"/>
  <c r="AU20" i="5" s="1"/>
  <c r="AZ20" i="5" s="1"/>
  <c r="BE20" i="5" s="1"/>
  <c r="BJ20" i="5" s="1"/>
  <c r="BO20" i="5" s="1"/>
  <c r="BT20" i="5" s="1"/>
  <c r="BY20" i="5" s="1"/>
  <c r="CD20" i="5" s="1"/>
  <c r="CI20" i="5" s="1"/>
  <c r="CN20" i="5" s="1"/>
  <c r="CS20" i="5" s="1"/>
  <c r="CX20" i="5" s="1"/>
  <c r="AK19" i="5"/>
  <c r="AK18" i="5"/>
  <c r="AK17" i="5"/>
  <c r="AF21" i="5"/>
  <c r="AF20" i="5"/>
  <c r="AA21" i="5"/>
  <c r="AA20" i="5"/>
  <c r="V21" i="5"/>
  <c r="V20" i="5"/>
  <c r="Q21" i="5"/>
  <c r="Q20" i="5"/>
  <c r="L21" i="5"/>
  <c r="L20" i="5"/>
  <c r="G21" i="5"/>
  <c r="G20" i="5"/>
  <c r="AA14" i="5"/>
  <c r="AA13" i="5"/>
  <c r="V14" i="5"/>
  <c r="V13" i="5"/>
  <c r="L14" i="5"/>
  <c r="L13" i="5"/>
  <c r="G14" i="5"/>
  <c r="G13" i="5"/>
  <c r="AE14" i="5"/>
  <c r="AF14" i="5" s="1"/>
  <c r="AE13" i="5"/>
  <c r="AF13" i="5" s="1"/>
  <c r="P14" i="5"/>
  <c r="Q14" i="5" s="1"/>
  <c r="P13" i="5"/>
  <c r="Q13" i="5" s="1"/>
  <c r="AE10" i="5"/>
  <c r="AF10" i="5" s="1"/>
  <c r="AA10" i="5"/>
  <c r="V10" i="5"/>
  <c r="P10" i="5"/>
  <c r="Q10" i="5" s="1"/>
  <c r="L10" i="5"/>
  <c r="G10" i="5"/>
  <c r="AE8" i="5"/>
  <c r="AF8" i="5" s="1"/>
  <c r="AA8" i="5"/>
  <c r="V8" i="5"/>
  <c r="P8" i="5"/>
  <c r="Q8" i="5" s="1"/>
  <c r="L8" i="5"/>
  <c r="G8" i="5"/>
  <c r="AE6" i="5"/>
  <c r="AF6" i="5" s="1"/>
  <c r="AA6" i="5"/>
  <c r="AA5" i="5"/>
  <c r="Q96" i="49" s="1"/>
  <c r="V6" i="5"/>
  <c r="V5" i="5"/>
  <c r="L96" i="49" s="1"/>
  <c r="L6" i="5"/>
  <c r="L5" i="5"/>
  <c r="G6" i="5"/>
  <c r="G5" i="5"/>
  <c r="CW5" i="5"/>
  <c r="CW128" i="5" s="1"/>
  <c r="CV5" i="5"/>
  <c r="CV128" i="5" s="1"/>
  <c r="CU5" i="5"/>
  <c r="CU128" i="5" s="1"/>
  <c r="CT5" i="5"/>
  <c r="CT128" i="5" s="1"/>
  <c r="CR5" i="5"/>
  <c r="CR128" i="5" s="1"/>
  <c r="CQ5" i="5"/>
  <c r="CQ128" i="5" s="1"/>
  <c r="CP5" i="5"/>
  <c r="CP128" i="5" s="1"/>
  <c r="CO5" i="5"/>
  <c r="CO128" i="5" s="1"/>
  <c r="CM5" i="5"/>
  <c r="CM128" i="5" s="1"/>
  <c r="CL5" i="5"/>
  <c r="CL128" i="5" s="1"/>
  <c r="CK5" i="5"/>
  <c r="CK128" i="5" s="1"/>
  <c r="CJ5" i="5"/>
  <c r="CJ128" i="5" s="1"/>
  <c r="CH5" i="5"/>
  <c r="CH128" i="5" s="1"/>
  <c r="CG5" i="5"/>
  <c r="CG128" i="5" s="1"/>
  <c r="CF5" i="5"/>
  <c r="CF128" i="5" s="1"/>
  <c r="CE5" i="5"/>
  <c r="CE128" i="5" s="1"/>
  <c r="CC5" i="5"/>
  <c r="CC128" i="5" s="1"/>
  <c r="CB5" i="5"/>
  <c r="CB128" i="5" s="1"/>
  <c r="CA5" i="5"/>
  <c r="CA128" i="5" s="1"/>
  <c r="BZ5" i="5"/>
  <c r="BZ128" i="5" s="1"/>
  <c r="BX5" i="5"/>
  <c r="BX128" i="5" s="1"/>
  <c r="BW5" i="5"/>
  <c r="BW128" i="5" s="1"/>
  <c r="BV5" i="5"/>
  <c r="BV128" i="5" s="1"/>
  <c r="BU5" i="5"/>
  <c r="BU128" i="5" s="1"/>
  <c r="BS5" i="5"/>
  <c r="BS128" i="5" s="1"/>
  <c r="BR5" i="5"/>
  <c r="BR128" i="5" s="1"/>
  <c r="BQ5" i="5"/>
  <c r="BQ128" i="5" s="1"/>
  <c r="BP5" i="5"/>
  <c r="BP128" i="5" s="1"/>
  <c r="BN5" i="5"/>
  <c r="BN128" i="5" s="1"/>
  <c r="BM5" i="5"/>
  <c r="BM128" i="5" s="1"/>
  <c r="BL5" i="5"/>
  <c r="BL128" i="5" s="1"/>
  <c r="BK5" i="5"/>
  <c r="BK128" i="5" s="1"/>
  <c r="BI5" i="5"/>
  <c r="BI128" i="5" s="1"/>
  <c r="BH5" i="5"/>
  <c r="BH128" i="5" s="1"/>
  <c r="BG5" i="5"/>
  <c r="BG128" i="5" s="1"/>
  <c r="BF5" i="5"/>
  <c r="BF128" i="5" s="1"/>
  <c r="BD5" i="5"/>
  <c r="BD128" i="5" s="1"/>
  <c r="BC5" i="5"/>
  <c r="BC128" i="5" s="1"/>
  <c r="BB5" i="5"/>
  <c r="BB128" i="5" s="1"/>
  <c r="BA5" i="5"/>
  <c r="BA128" i="5" s="1"/>
  <c r="AY5" i="5"/>
  <c r="AY128" i="5" s="1"/>
  <c r="AX5" i="5"/>
  <c r="AX128" i="5" s="1"/>
  <c r="AW5" i="5"/>
  <c r="AW128" i="5" s="1"/>
  <c r="AV5" i="5"/>
  <c r="AV128" i="5" s="1"/>
  <c r="AT5" i="5"/>
  <c r="AT128" i="5" s="1"/>
  <c r="AS5" i="5"/>
  <c r="AS128" i="5" s="1"/>
  <c r="AR5" i="5"/>
  <c r="AR128" i="5" s="1"/>
  <c r="AQ5" i="5"/>
  <c r="AQ128" i="5" s="1"/>
  <c r="P6" i="5"/>
  <c r="Q6" i="5" s="1"/>
  <c r="O5" i="5"/>
  <c r="O22" i="5" s="1"/>
  <c r="N5" i="5"/>
  <c r="N22" i="5" s="1"/>
  <c r="Q42" i="52"/>
  <c r="U41" i="52"/>
  <c r="T41" i="52"/>
  <c r="S41" i="52"/>
  <c r="D41" i="52"/>
  <c r="D37" i="52"/>
  <c r="D31" i="52"/>
  <c r="E5" i="52"/>
  <c r="E41" i="52" s="1"/>
  <c r="G43" i="59"/>
  <c r="F42" i="59"/>
  <c r="G42" i="59" s="1"/>
  <c r="F41" i="59"/>
  <c r="G41" i="59" s="1"/>
  <c r="E41" i="59"/>
  <c r="AN33" i="48" l="1"/>
  <c r="AN36" i="48"/>
  <c r="AN34" i="48"/>
  <c r="AN31" i="48"/>
  <c r="W56" i="49"/>
  <c r="AB55" i="49"/>
  <c r="AU71" i="5"/>
  <c r="AZ71" i="5" s="1"/>
  <c r="BE71" i="5" s="1"/>
  <c r="BJ71" i="5" s="1"/>
  <c r="BO71" i="5" s="1"/>
  <c r="BT71" i="5" s="1"/>
  <c r="BY71" i="5" s="1"/>
  <c r="CD71" i="5" s="1"/>
  <c r="CI71" i="5" s="1"/>
  <c r="CN71" i="5" s="1"/>
  <c r="CS71" i="5" s="1"/>
  <c r="CX71" i="5" s="1"/>
  <c r="AM71" i="5"/>
  <c r="AL71" i="5"/>
  <c r="AN71" i="5"/>
  <c r="AU106" i="5"/>
  <c r="AO106" i="5"/>
  <c r="AP27" i="5"/>
  <c r="AO104" i="5"/>
  <c r="W125" i="49"/>
  <c r="W141" i="49"/>
  <c r="AU86" i="5"/>
  <c r="AZ86" i="5" s="1"/>
  <c r="BE86" i="5" s="1"/>
  <c r="BJ86" i="5" s="1"/>
  <c r="BO86" i="5" s="1"/>
  <c r="BT86" i="5" s="1"/>
  <c r="BY86" i="5" s="1"/>
  <c r="CD86" i="5" s="1"/>
  <c r="CI86" i="5" s="1"/>
  <c r="CN86" i="5" s="1"/>
  <c r="CS86" i="5" s="1"/>
  <c r="CX86" i="5" s="1"/>
  <c r="AL86" i="5"/>
  <c r="AM86" i="5" s="1"/>
  <c r="AN86" i="5" s="1"/>
  <c r="AO86" i="5" s="1"/>
  <c r="AU84" i="5"/>
  <c r="AZ84" i="5" s="1"/>
  <c r="BE84" i="5" s="1"/>
  <c r="BJ84" i="5" s="1"/>
  <c r="BO84" i="5" s="1"/>
  <c r="BT84" i="5" s="1"/>
  <c r="BY84" i="5" s="1"/>
  <c r="CD84" i="5" s="1"/>
  <c r="CI84" i="5" s="1"/>
  <c r="CN84" i="5" s="1"/>
  <c r="CS84" i="5" s="1"/>
  <c r="CX84" i="5" s="1"/>
  <c r="AL84" i="5"/>
  <c r="AM84" i="5" s="1"/>
  <c r="AN84" i="5" s="1"/>
  <c r="AO84" i="5" s="1"/>
  <c r="W144" i="49"/>
  <c r="W33" i="5"/>
  <c r="AB32" i="5"/>
  <c r="AU17" i="5"/>
  <c r="H15" i="50"/>
  <c r="I24" i="50"/>
  <c r="I34" i="50" s="1"/>
  <c r="I36" i="50" s="1"/>
  <c r="F24" i="50"/>
  <c r="H68" i="51"/>
  <c r="F9" i="45"/>
  <c r="F14" i="45" s="1"/>
  <c r="AE52" i="5"/>
  <c r="AE53" i="5" s="1"/>
  <c r="AE132" i="5" s="1"/>
  <c r="D10" i="50"/>
  <c r="D15" i="50" s="1"/>
  <c r="W43" i="51"/>
  <c r="K38" i="34"/>
  <c r="K40" i="34" s="1"/>
  <c r="J38" i="34"/>
  <c r="J40" i="34" s="1"/>
  <c r="G15" i="50"/>
  <c r="E24" i="50"/>
  <c r="E34" i="50" s="1"/>
  <c r="W33" i="51"/>
  <c r="G39" i="51"/>
  <c r="G42" i="51" s="1"/>
  <c r="G44" i="51" s="1"/>
  <c r="H27" i="51"/>
  <c r="H35" i="51"/>
  <c r="H102" i="50"/>
  <c r="H46" i="50"/>
  <c r="I74" i="50"/>
  <c r="F39" i="51"/>
  <c r="F42" i="51" s="1"/>
  <c r="F44" i="51" s="1"/>
  <c r="G46" i="50"/>
  <c r="E39" i="51"/>
  <c r="E42" i="51" s="1"/>
  <c r="E44" i="51" s="1"/>
  <c r="I39" i="51"/>
  <c r="X65" i="5"/>
  <c r="X59" i="5"/>
  <c r="X61" i="5" s="1"/>
  <c r="N236" i="49" s="1"/>
  <c r="AF55" i="5"/>
  <c r="W59" i="5"/>
  <c r="W61" i="5" s="1"/>
  <c r="M236" i="49" s="1"/>
  <c r="Q68" i="5"/>
  <c r="V68" i="5"/>
  <c r="AA68" i="5"/>
  <c r="AA73" i="5"/>
  <c r="Q72" i="5"/>
  <c r="AF42" i="5"/>
  <c r="V92" i="5"/>
  <c r="AG95" i="5"/>
  <c r="G107" i="5"/>
  <c r="G118" i="5" s="1"/>
  <c r="G95" i="5" s="1"/>
  <c r="AA107" i="5"/>
  <c r="AA118" i="5" s="1"/>
  <c r="AA95" i="5" s="1"/>
  <c r="AD65" i="5"/>
  <c r="D29" i="5"/>
  <c r="G92" i="5"/>
  <c r="AG113" i="5"/>
  <c r="AK114" i="5"/>
  <c r="V203" i="5"/>
  <c r="AB65" i="5"/>
  <c r="BT219" i="5"/>
  <c r="BT226" i="5" s="1"/>
  <c r="BT111" i="5" s="1"/>
  <c r="BK28" i="15"/>
  <c r="BJ30" i="15"/>
  <c r="BJ27" i="15"/>
  <c r="BJ31" i="15" s="1"/>
  <c r="BJ35" i="15" s="1"/>
  <c r="BJ39" i="15" s="1"/>
  <c r="BJ29" i="15"/>
  <c r="BJ33" i="15" s="1"/>
  <c r="BJ37" i="15" s="1"/>
  <c r="BJ41" i="15" s="1"/>
  <c r="S12" i="49"/>
  <c r="W10" i="49"/>
  <c r="W95" i="49" s="1"/>
  <c r="P25" i="49"/>
  <c r="U50" i="49"/>
  <c r="AA186" i="49"/>
  <c r="AF186" i="49" s="1"/>
  <c r="AG186" i="49" s="1"/>
  <c r="AH186" i="49" s="1"/>
  <c r="AI186" i="49" s="1"/>
  <c r="AJ186" i="49" s="1"/>
  <c r="AK186" i="49" s="1"/>
  <c r="AL186" i="49" s="1"/>
  <c r="AM186" i="49" s="1"/>
  <c r="Y59" i="5"/>
  <c r="Y61" i="5" s="1"/>
  <c r="O236" i="49" s="1"/>
  <c r="AF57" i="5"/>
  <c r="AG59" i="5"/>
  <c r="AA109" i="5"/>
  <c r="AA90" i="5" s="1"/>
  <c r="AF37" i="5"/>
  <c r="AF41" i="5"/>
  <c r="F34" i="50"/>
  <c r="F36" i="50" s="1"/>
  <c r="J43" i="51"/>
  <c r="N43" i="51"/>
  <c r="R43" i="51"/>
  <c r="V43" i="51"/>
  <c r="K43" i="51"/>
  <c r="O43" i="51"/>
  <c r="S43" i="51"/>
  <c r="AA155" i="5"/>
  <c r="D34" i="50"/>
  <c r="D36" i="50" s="1"/>
  <c r="H34" i="50"/>
  <c r="L43" i="51"/>
  <c r="P43" i="51"/>
  <c r="T43" i="51"/>
  <c r="H36" i="50"/>
  <c r="G74" i="50"/>
  <c r="M43" i="51"/>
  <c r="Q43" i="51"/>
  <c r="U43" i="51"/>
  <c r="Q25" i="49"/>
  <c r="AA38" i="5"/>
  <c r="AA39" i="5"/>
  <c r="AA40" i="5"/>
  <c r="AA42" i="5"/>
  <c r="AC59" i="5"/>
  <c r="AC61" i="5" s="1"/>
  <c r="S236" i="49" s="1"/>
  <c r="M160" i="49"/>
  <c r="W46" i="5" s="1"/>
  <c r="P146" i="49"/>
  <c r="Z34" i="5" s="1"/>
  <c r="U211" i="49"/>
  <c r="W34" i="5"/>
  <c r="AF34" i="5"/>
  <c r="AF40" i="5"/>
  <c r="AF44" i="5"/>
  <c r="AD59" i="5"/>
  <c r="AD61" i="5" s="1"/>
  <c r="T236" i="49" s="1"/>
  <c r="P50" i="49"/>
  <c r="AA166" i="49"/>
  <c r="I208" i="45" s="1"/>
  <c r="I211" i="45" s="1"/>
  <c r="P120" i="49"/>
  <c r="P121" i="49" s="1"/>
  <c r="BF76" i="15"/>
  <c r="P123" i="49"/>
  <c r="X48" i="5"/>
  <c r="X53" i="5" s="1"/>
  <c r="X132" i="5" s="1"/>
  <c r="AB33" i="5"/>
  <c r="AF33" i="5" s="1"/>
  <c r="H186" i="45" s="1"/>
  <c r="I186" i="45" s="1"/>
  <c r="J186" i="45" s="1"/>
  <c r="K186" i="45" s="1"/>
  <c r="L186" i="45" s="1"/>
  <c r="M186" i="45" s="1"/>
  <c r="N186" i="45" s="1"/>
  <c r="O186" i="45" s="1"/>
  <c r="P186" i="45" s="1"/>
  <c r="Q186" i="45" s="1"/>
  <c r="R186" i="45" s="1"/>
  <c r="S186" i="45" s="1"/>
  <c r="T186" i="45" s="1"/>
  <c r="U186" i="45" s="1"/>
  <c r="V186" i="45" s="1"/>
  <c r="Y46" i="5"/>
  <c r="AA59" i="5"/>
  <c r="AA61" i="5" s="1"/>
  <c r="Q236" i="49" s="1"/>
  <c r="Q10" i="49"/>
  <c r="BF67" i="15" s="1"/>
  <c r="P133" i="49"/>
  <c r="U187" i="49"/>
  <c r="U199" i="49"/>
  <c r="AF109" i="5"/>
  <c r="Z65" i="5"/>
  <c r="Q113" i="5"/>
  <c r="AO87" i="48"/>
  <c r="BI87" i="15"/>
  <c r="U48" i="30"/>
  <c r="AD82" i="46"/>
  <c r="J195" i="45"/>
  <c r="AN87" i="48"/>
  <c r="BH87" i="15"/>
  <c r="AC82" i="46"/>
  <c r="I195" i="45"/>
  <c r="T48" i="30"/>
  <c r="D69" i="5"/>
  <c r="D133" i="5" s="1"/>
  <c r="W65" i="5"/>
  <c r="Q63" i="5"/>
  <c r="Q65" i="5" s="1"/>
  <c r="AB52" i="5"/>
  <c r="W90" i="5"/>
  <c r="AG92" i="5"/>
  <c r="Y65" i="5"/>
  <c r="AF116" i="5"/>
  <c r="Y26" i="5"/>
  <c r="AD26" i="5"/>
  <c r="AD90" i="5"/>
  <c r="AF90" i="5" s="1"/>
  <c r="AF92" i="5"/>
  <c r="AF27" i="5"/>
  <c r="W26" i="5"/>
  <c r="AB26" i="5"/>
  <c r="AG29" i="5"/>
  <c r="AA50" i="5"/>
  <c r="AA51" i="5"/>
  <c r="AF51" i="5"/>
  <c r="F29" i="5"/>
  <c r="F69" i="5" s="1"/>
  <c r="F133" i="5" s="1"/>
  <c r="W86" i="5"/>
  <c r="AF97" i="5"/>
  <c r="AF99" i="5"/>
  <c r="O33" i="51"/>
  <c r="Q33" i="51"/>
  <c r="P33" i="51"/>
  <c r="R33" i="51"/>
  <c r="K138" i="5"/>
  <c r="I138" i="5"/>
  <c r="W138" i="5"/>
  <c r="G68" i="5"/>
  <c r="L68" i="5"/>
  <c r="Q107" i="5"/>
  <c r="AF113" i="5"/>
  <c r="O226" i="49"/>
  <c r="T226" i="49"/>
  <c r="V33" i="51"/>
  <c r="L22" i="5"/>
  <c r="E41" i="50" s="1"/>
  <c r="E50" i="50" s="1"/>
  <c r="E53" i="50" s="1"/>
  <c r="V22" i="5"/>
  <c r="G41" i="50" s="1"/>
  <c r="G50" i="50" s="1"/>
  <c r="G53" i="50" s="1"/>
  <c r="E29" i="5"/>
  <c r="E69" i="5" s="1"/>
  <c r="E74" i="5" s="1"/>
  <c r="E76" i="5" s="1"/>
  <c r="AC138" i="5"/>
  <c r="W52" i="5"/>
  <c r="AA52" i="5" s="1"/>
  <c r="AC65" i="5"/>
  <c r="AF96" i="5"/>
  <c r="AF98" i="5"/>
  <c r="L107" i="5"/>
  <c r="AF107" i="5"/>
  <c r="L113" i="5"/>
  <c r="S33" i="51"/>
  <c r="M226" i="49"/>
  <c r="R226" i="49"/>
  <c r="T33" i="51"/>
  <c r="Y138" i="5"/>
  <c r="AF5" i="5"/>
  <c r="AF22" i="5" s="1"/>
  <c r="I41" i="50" s="1"/>
  <c r="I50" i="50" s="1"/>
  <c r="I53" i="50" s="1"/>
  <c r="C29" i="5"/>
  <c r="C69" i="5" s="1"/>
  <c r="C133" i="5" s="1"/>
  <c r="M138" i="5"/>
  <c r="AE138" i="5"/>
  <c r="AF64" i="5"/>
  <c r="AF91" i="5"/>
  <c r="AF93" i="5"/>
  <c r="AI64" i="5"/>
  <c r="V107" i="5"/>
  <c r="AA116" i="5"/>
  <c r="AA113" i="5"/>
  <c r="S226" i="49"/>
  <c r="U33" i="51"/>
  <c r="AF43" i="5"/>
  <c r="AC48" i="5"/>
  <c r="AF39" i="5"/>
  <c r="G22" i="5"/>
  <c r="D41" i="50" s="1"/>
  <c r="D61" i="50" s="1"/>
  <c r="AA22" i="5"/>
  <c r="H41" i="50" s="1"/>
  <c r="H63" i="50" s="1"/>
  <c r="AF32" i="5"/>
  <c r="AF38" i="5"/>
  <c r="W120" i="49"/>
  <c r="W136" i="49"/>
  <c r="AC63" i="54"/>
  <c r="AC41" i="54"/>
  <c r="AD6" i="54"/>
  <c r="M9" i="54"/>
  <c r="N8" i="54"/>
  <c r="AD16" i="54"/>
  <c r="I9" i="54"/>
  <c r="H8" i="54"/>
  <c r="AC25" i="54"/>
  <c r="AB34" i="54"/>
  <c r="F56" i="47"/>
  <c r="E59" i="47"/>
  <c r="O19" i="47"/>
  <c r="O69" i="47" s="1"/>
  <c r="N8" i="47"/>
  <c r="N18" i="47" s="1"/>
  <c r="O9" i="47"/>
  <c r="N42" i="47"/>
  <c r="G32" i="47"/>
  <c r="H29" i="47"/>
  <c r="K65" i="34"/>
  <c r="K45" i="34"/>
  <c r="L6" i="34"/>
  <c r="M31" i="34"/>
  <c r="M34" i="34"/>
  <c r="L24" i="34"/>
  <c r="M22" i="34"/>
  <c r="N32" i="34"/>
  <c r="N19" i="34"/>
  <c r="O17" i="34"/>
  <c r="L38" i="34"/>
  <c r="M36" i="34"/>
  <c r="I38" i="34"/>
  <c r="I40" i="34" s="1"/>
  <c r="AC21" i="30"/>
  <c r="AC23" i="30" s="1"/>
  <c r="AD12" i="30"/>
  <c r="AC14" i="30"/>
  <c r="Y20" i="30"/>
  <c r="Z11" i="30"/>
  <c r="F9" i="30"/>
  <c r="G8" i="30"/>
  <c r="U25" i="30"/>
  <c r="V16" i="30"/>
  <c r="G11" i="45"/>
  <c r="G15" i="45" s="1"/>
  <c r="G9" i="45"/>
  <c r="G14" i="45" s="1"/>
  <c r="H7" i="45"/>
  <c r="F25" i="45"/>
  <c r="F36" i="45" s="1"/>
  <c r="F24" i="45"/>
  <c r="F35" i="45" s="1"/>
  <c r="F23" i="45"/>
  <c r="F34" i="45" s="1"/>
  <c r="C10" i="45"/>
  <c r="C9" i="45" s="1"/>
  <c r="C14" i="45" s="1"/>
  <c r="D9" i="45"/>
  <c r="D14" i="45" s="1"/>
  <c r="L56" i="45"/>
  <c r="L54" i="45"/>
  <c r="L57" i="45"/>
  <c r="E74" i="45"/>
  <c r="F71" i="45" s="1"/>
  <c r="I63" i="45"/>
  <c r="I60" i="45"/>
  <c r="I58" i="45"/>
  <c r="I61" i="45"/>
  <c r="K63" i="45"/>
  <c r="K60" i="45"/>
  <c r="K58" i="45"/>
  <c r="K61" i="45"/>
  <c r="D84" i="45"/>
  <c r="C81" i="45"/>
  <c r="C84" i="45" s="1"/>
  <c r="J60" i="45"/>
  <c r="J58" i="45"/>
  <c r="J63" i="45"/>
  <c r="J61" i="45"/>
  <c r="M119" i="45"/>
  <c r="N115" i="45"/>
  <c r="M117" i="45"/>
  <c r="M154" i="45"/>
  <c r="L157" i="45"/>
  <c r="F20" i="45"/>
  <c r="F31" i="45" s="1"/>
  <c r="F19" i="45"/>
  <c r="F30" i="45" s="1"/>
  <c r="F18" i="45"/>
  <c r="F29" i="45" s="1"/>
  <c r="L59" i="45"/>
  <c r="L49" i="45"/>
  <c r="L47" i="45"/>
  <c r="M55" i="45"/>
  <c r="M45" i="45"/>
  <c r="M42" i="45"/>
  <c r="M46" i="45" s="1"/>
  <c r="M40" i="45"/>
  <c r="M44" i="45" s="1"/>
  <c r="N41" i="45"/>
  <c r="M43" i="45"/>
  <c r="D83" i="45"/>
  <c r="C80" i="45"/>
  <c r="C83" i="45" s="1"/>
  <c r="L83" i="45"/>
  <c r="M80" i="45"/>
  <c r="E87" i="45"/>
  <c r="F70" i="45"/>
  <c r="M155" i="45"/>
  <c r="L158" i="45"/>
  <c r="I50" i="45"/>
  <c r="I48" i="45"/>
  <c r="I51" i="45"/>
  <c r="L81" i="45"/>
  <c r="K84" i="45"/>
  <c r="K50" i="45"/>
  <c r="K48" i="45"/>
  <c r="K51" i="45"/>
  <c r="J50" i="45"/>
  <c r="J48" i="45"/>
  <c r="J51" i="45"/>
  <c r="F64" i="45"/>
  <c r="F62" i="45"/>
  <c r="F65" i="45"/>
  <c r="L123" i="45"/>
  <c r="L125" i="45" s="1"/>
  <c r="L121" i="45"/>
  <c r="AM14" i="48"/>
  <c r="AL18" i="48"/>
  <c r="AP32" i="48"/>
  <c r="AQ28" i="48"/>
  <c r="AP30" i="48"/>
  <c r="AP55" i="48"/>
  <c r="AO17" i="48"/>
  <c r="AP8" i="48"/>
  <c r="AM56" i="48"/>
  <c r="AH16" i="48"/>
  <c r="AG7" i="48"/>
  <c r="AN16" i="48"/>
  <c r="AO7" i="48"/>
  <c r="AH17" i="48"/>
  <c r="AG8" i="48"/>
  <c r="AG18" i="48"/>
  <c r="AF9" i="48"/>
  <c r="AO9" i="48"/>
  <c r="AK41" i="48"/>
  <c r="AK39" i="48"/>
  <c r="AK42" i="48"/>
  <c r="AO33" i="48"/>
  <c r="AO31" i="48"/>
  <c r="AO34" i="48"/>
  <c r="AM41" i="48"/>
  <c r="AN41" i="48" s="1"/>
  <c r="AO41" i="48" s="1"/>
  <c r="AP41" i="48" s="1"/>
  <c r="AQ41" i="48" s="1"/>
  <c r="AR41" i="48" s="1"/>
  <c r="AS41" i="48" s="1"/>
  <c r="AT41" i="48" s="1"/>
  <c r="AU41" i="48" s="1"/>
  <c r="AV41" i="48" s="1"/>
  <c r="AW41" i="48" s="1"/>
  <c r="AX41" i="48" s="1"/>
  <c r="AY41" i="48" s="1"/>
  <c r="AZ41" i="48" s="1"/>
  <c r="BA41" i="48" s="1"/>
  <c r="AN40" i="48"/>
  <c r="AO40" i="48" s="1"/>
  <c r="AM39" i="48"/>
  <c r="AN39" i="48" s="1"/>
  <c r="AO39" i="48" s="1"/>
  <c r="AP39" i="48" s="1"/>
  <c r="AQ39" i="48" s="1"/>
  <c r="AR39" i="48" s="1"/>
  <c r="AS39" i="48" s="1"/>
  <c r="AT39" i="48" s="1"/>
  <c r="AU39" i="48" s="1"/>
  <c r="AV39" i="48" s="1"/>
  <c r="AW39" i="48" s="1"/>
  <c r="AX39" i="48" s="1"/>
  <c r="AY39" i="48" s="1"/>
  <c r="AZ39" i="48" s="1"/>
  <c r="BA39" i="48" s="1"/>
  <c r="AM42" i="48"/>
  <c r="AQ54" i="48"/>
  <c r="AR53" i="48"/>
  <c r="BC16" i="15"/>
  <c r="BB7" i="15"/>
  <c r="W7" i="46" s="1"/>
  <c r="W16" i="46" s="1"/>
  <c r="BG14" i="15"/>
  <c r="BF18" i="15"/>
  <c r="BH13" i="15"/>
  <c r="BG17" i="15"/>
  <c r="BJ54" i="15"/>
  <c r="BK53" i="15"/>
  <c r="BI55" i="15"/>
  <c r="BB17" i="15"/>
  <c r="BA8" i="15"/>
  <c r="V8" i="46" s="1"/>
  <c r="V17" i="46" s="1"/>
  <c r="BH16" i="15"/>
  <c r="BI7" i="15"/>
  <c r="AD7" i="46" s="1"/>
  <c r="AD16" i="46" s="1"/>
  <c r="BL8" i="15"/>
  <c r="AG8" i="46" s="1"/>
  <c r="AG17" i="46" s="1"/>
  <c r="BA18" i="15"/>
  <c r="AZ9" i="15"/>
  <c r="U9" i="46" s="1"/>
  <c r="U18" i="46" s="1"/>
  <c r="BK9" i="15"/>
  <c r="AF9" i="46" s="1"/>
  <c r="AF18" i="46" s="1"/>
  <c r="BG55" i="15"/>
  <c r="BH56" i="15"/>
  <c r="D39" i="51"/>
  <c r="D42" i="51" s="1"/>
  <c r="D44" i="51" s="1"/>
  <c r="D46" i="50"/>
  <c r="L66" i="51"/>
  <c r="L68" i="51" s="1"/>
  <c r="M49" i="51"/>
  <c r="G36" i="50"/>
  <c r="E10" i="50"/>
  <c r="E15" i="50" s="1"/>
  <c r="E36" i="50" s="1"/>
  <c r="K27" i="50"/>
  <c r="K31" i="50"/>
  <c r="L31" i="50" s="1"/>
  <c r="M31" i="50" s="1"/>
  <c r="N31" i="50" s="1"/>
  <c r="O31" i="50" s="1"/>
  <c r="P31" i="50" s="1"/>
  <c r="Q31" i="50" s="1"/>
  <c r="R31" i="50" s="1"/>
  <c r="S31" i="50" s="1"/>
  <c r="T31" i="50" s="1"/>
  <c r="U31" i="50" s="1"/>
  <c r="V31" i="50" s="1"/>
  <c r="W31" i="50" s="1"/>
  <c r="H81" i="50"/>
  <c r="E72" i="50"/>
  <c r="H80" i="50"/>
  <c r="G79" i="50"/>
  <c r="H79" i="50" s="1"/>
  <c r="I79" i="50" s="1"/>
  <c r="F74" i="50"/>
  <c r="H74" i="50"/>
  <c r="R12" i="49"/>
  <c r="T12" i="49"/>
  <c r="W27" i="49"/>
  <c r="R27" i="49"/>
  <c r="Q131" i="49"/>
  <c r="R157" i="49"/>
  <c r="R163" i="49"/>
  <c r="R97" i="49"/>
  <c r="T157" i="49"/>
  <c r="T97" i="49"/>
  <c r="O104" i="49"/>
  <c r="P100" i="49"/>
  <c r="Q102" i="49"/>
  <c r="I114" i="49"/>
  <c r="I112" i="49"/>
  <c r="I110" i="49"/>
  <c r="T106" i="49"/>
  <c r="S109" i="49"/>
  <c r="S110" i="49"/>
  <c r="S111" i="49"/>
  <c r="S112" i="49"/>
  <c r="S113" i="49"/>
  <c r="S114" i="49"/>
  <c r="I111" i="49"/>
  <c r="I115" i="49"/>
  <c r="AK129" i="49"/>
  <c r="R225" i="49"/>
  <c r="T225" i="49"/>
  <c r="R160" i="49"/>
  <c r="R153" i="49"/>
  <c r="AB35" i="5"/>
  <c r="AF35" i="5" s="1"/>
  <c r="Z44" i="5"/>
  <c r="AA44" i="5" s="1"/>
  <c r="T163" i="49"/>
  <c r="AI167" i="49"/>
  <c r="AH191" i="49"/>
  <c r="AP18" i="5"/>
  <c r="AA31" i="5"/>
  <c r="BF78" i="15" s="1"/>
  <c r="Y48" i="5"/>
  <c r="Z58" i="5"/>
  <c r="Z59" i="5" s="1"/>
  <c r="Z61" i="5" s="1"/>
  <c r="T27" i="49"/>
  <c r="V56" i="49"/>
  <c r="AA55" i="49"/>
  <c r="N163" i="49"/>
  <c r="N161" i="49"/>
  <c r="S97" i="49"/>
  <c r="Q101" i="49"/>
  <c r="Q103" i="49"/>
  <c r="N106" i="49"/>
  <c r="R106" i="49"/>
  <c r="M106" i="49"/>
  <c r="I109" i="49"/>
  <c r="I113" i="49"/>
  <c r="M225" i="49"/>
  <c r="O225" i="49"/>
  <c r="Q128" i="49"/>
  <c r="AI137" i="49"/>
  <c r="Y145" i="49"/>
  <c r="T230" i="49"/>
  <c r="T161" i="49"/>
  <c r="U169" i="49"/>
  <c r="Z37" i="5"/>
  <c r="AA37" i="5" s="1"/>
  <c r="AA168" i="49"/>
  <c r="AP173" i="49"/>
  <c r="AP179" i="49"/>
  <c r="AP185" i="49"/>
  <c r="AD48" i="5"/>
  <c r="T231" i="49" s="1"/>
  <c r="AA33" i="5"/>
  <c r="G186" i="45" s="1"/>
  <c r="AA43" i="5"/>
  <c r="W17" i="49"/>
  <c r="S27" i="49"/>
  <c r="W133" i="49"/>
  <c r="W128" i="49"/>
  <c r="W32" i="49"/>
  <c r="W44" i="49"/>
  <c r="W52" i="49"/>
  <c r="M163" i="49"/>
  <c r="M157" i="49"/>
  <c r="N225" i="49"/>
  <c r="P233" i="49"/>
  <c r="P125" i="49"/>
  <c r="M131" i="49"/>
  <c r="P130" i="49"/>
  <c r="M153" i="49"/>
  <c r="P152" i="49"/>
  <c r="O157" i="49"/>
  <c r="S161" i="49"/>
  <c r="M216" i="49"/>
  <c r="Q174" i="49"/>
  <c r="U181" i="49"/>
  <c r="Z180" i="49"/>
  <c r="AA180" i="49" s="1"/>
  <c r="M139" i="49"/>
  <c r="S225" i="49"/>
  <c r="O161" i="49"/>
  <c r="R216" i="49"/>
  <c r="R175" i="49"/>
  <c r="U174" i="49"/>
  <c r="W175" i="49"/>
  <c r="AA187" i="49"/>
  <c r="AA204" i="49"/>
  <c r="N227" i="49"/>
  <c r="Z198" i="49"/>
  <c r="AA198" i="49" s="1"/>
  <c r="U205" i="49"/>
  <c r="N138" i="5"/>
  <c r="N29" i="5"/>
  <c r="O138" i="5"/>
  <c r="O29" i="5"/>
  <c r="P5" i="5"/>
  <c r="P22" i="5" s="1"/>
  <c r="U138" i="5" s="1"/>
  <c r="S138" i="5"/>
  <c r="AE139" i="5"/>
  <c r="AE129" i="5"/>
  <c r="AE128" i="5"/>
  <c r="H139" i="5"/>
  <c r="H129" i="5"/>
  <c r="H128" i="5"/>
  <c r="J139" i="5"/>
  <c r="J129" i="5"/>
  <c r="J128" i="5"/>
  <c r="L28" i="5"/>
  <c r="N139" i="5"/>
  <c r="N129" i="5"/>
  <c r="N128" i="5"/>
  <c r="P139" i="5"/>
  <c r="P128" i="5"/>
  <c r="AB139" i="5"/>
  <c r="AB129" i="5"/>
  <c r="AB128" i="5"/>
  <c r="AD139" i="5"/>
  <c r="AD129" i="5"/>
  <c r="AD128" i="5"/>
  <c r="K29" i="5"/>
  <c r="S29" i="5"/>
  <c r="W29" i="5"/>
  <c r="AE29" i="5"/>
  <c r="AG131" i="5"/>
  <c r="F74" i="5"/>
  <c r="F76" i="5" s="1"/>
  <c r="H138" i="5"/>
  <c r="H29" i="5"/>
  <c r="J138" i="5"/>
  <c r="J29" i="5"/>
  <c r="R138" i="5"/>
  <c r="R29" i="5"/>
  <c r="T138" i="5"/>
  <c r="T29" i="5"/>
  <c r="X138" i="5"/>
  <c r="X29" i="5"/>
  <c r="Z138" i="5"/>
  <c r="Z29" i="5"/>
  <c r="AG138" i="5"/>
  <c r="AB138" i="5"/>
  <c r="AB29" i="5"/>
  <c r="AD138" i="5"/>
  <c r="AD29" i="5"/>
  <c r="AA27" i="5"/>
  <c r="D129" i="5"/>
  <c r="D128" i="5"/>
  <c r="F129" i="5"/>
  <c r="F128" i="5"/>
  <c r="R139" i="5"/>
  <c r="R129" i="5"/>
  <c r="R128" i="5"/>
  <c r="T139" i="5"/>
  <c r="T129" i="5"/>
  <c r="T128" i="5"/>
  <c r="V28" i="5"/>
  <c r="X139" i="5"/>
  <c r="X129" i="5"/>
  <c r="X128" i="5"/>
  <c r="Z139" i="5"/>
  <c r="Z129" i="5"/>
  <c r="Z128" i="5"/>
  <c r="AF28" i="5"/>
  <c r="I42" i="50" s="1"/>
  <c r="I52" i="50" s="1"/>
  <c r="I55" i="50" s="1"/>
  <c r="I29" i="5"/>
  <c r="M29" i="5"/>
  <c r="U29" i="5"/>
  <c r="Y29" i="5"/>
  <c r="AC29" i="5"/>
  <c r="AG132" i="5"/>
  <c r="AF50" i="5"/>
  <c r="D132" i="5"/>
  <c r="F132" i="5"/>
  <c r="H142" i="5"/>
  <c r="H132" i="5"/>
  <c r="J142" i="5"/>
  <c r="J132" i="5"/>
  <c r="L53" i="5"/>
  <c r="N142" i="5"/>
  <c r="N132" i="5"/>
  <c r="P142" i="5"/>
  <c r="R142" i="5"/>
  <c r="R132" i="5"/>
  <c r="T142" i="5"/>
  <c r="T132" i="5"/>
  <c r="V53" i="5"/>
  <c r="AB59" i="5"/>
  <c r="AB61" i="5" s="1"/>
  <c r="AF63" i="5"/>
  <c r="AE65" i="5"/>
  <c r="D131" i="5"/>
  <c r="F131" i="5"/>
  <c r="H141" i="5"/>
  <c r="H131" i="5"/>
  <c r="J141" i="5"/>
  <c r="J131" i="5"/>
  <c r="L66" i="5"/>
  <c r="N141" i="5"/>
  <c r="N131" i="5"/>
  <c r="P141" i="5"/>
  <c r="R141" i="5"/>
  <c r="R131" i="5"/>
  <c r="T141" i="5"/>
  <c r="T131" i="5"/>
  <c r="V66" i="5"/>
  <c r="L75" i="5"/>
  <c r="E44" i="50" s="1"/>
  <c r="V75" i="5"/>
  <c r="G44" i="50" s="1"/>
  <c r="AC147" i="5"/>
  <c r="AG147" i="5"/>
  <c r="AU104" i="5"/>
  <c r="C129" i="5"/>
  <c r="C128" i="5"/>
  <c r="E129" i="5"/>
  <c r="E128" i="5"/>
  <c r="G28" i="5"/>
  <c r="I139" i="5"/>
  <c r="I129" i="5"/>
  <c r="I128" i="5"/>
  <c r="K139" i="5"/>
  <c r="K129" i="5"/>
  <c r="K128" i="5"/>
  <c r="M139" i="5"/>
  <c r="M129" i="5"/>
  <c r="M128" i="5"/>
  <c r="O139" i="5"/>
  <c r="O129" i="5"/>
  <c r="O128" i="5"/>
  <c r="Q28" i="5"/>
  <c r="S139" i="5"/>
  <c r="S129" i="5"/>
  <c r="S128" i="5"/>
  <c r="U139" i="5"/>
  <c r="U129" i="5"/>
  <c r="U128" i="5"/>
  <c r="W139" i="5"/>
  <c r="W129" i="5"/>
  <c r="W128" i="5"/>
  <c r="Y139" i="5"/>
  <c r="Y129" i="5"/>
  <c r="Y128" i="5"/>
  <c r="AA28" i="5"/>
  <c r="AC139" i="5"/>
  <c r="AC129" i="5"/>
  <c r="AC128" i="5"/>
  <c r="AG139" i="5"/>
  <c r="AG129" i="5"/>
  <c r="AG128" i="5"/>
  <c r="AF31" i="5"/>
  <c r="C132" i="5"/>
  <c r="E132" i="5"/>
  <c r="G53" i="5"/>
  <c r="G132" i="5" s="1"/>
  <c r="I142" i="5"/>
  <c r="I132" i="5"/>
  <c r="K142" i="5"/>
  <c r="K132" i="5"/>
  <c r="M142" i="5"/>
  <c r="M132" i="5"/>
  <c r="O142" i="5"/>
  <c r="O132" i="5"/>
  <c r="Q53" i="5"/>
  <c r="S142" i="5"/>
  <c r="S132" i="5"/>
  <c r="U142" i="5"/>
  <c r="U132" i="5"/>
  <c r="C131" i="5"/>
  <c r="E131" i="5"/>
  <c r="G66" i="5"/>
  <c r="G131" i="5" s="1"/>
  <c r="I141" i="5"/>
  <c r="I131" i="5"/>
  <c r="K141" i="5"/>
  <c r="K131" i="5"/>
  <c r="M141" i="5"/>
  <c r="M131" i="5"/>
  <c r="O141" i="5"/>
  <c r="O131" i="5"/>
  <c r="Q66" i="5"/>
  <c r="S141" i="5"/>
  <c r="S131" i="5"/>
  <c r="U141" i="5"/>
  <c r="U131" i="5"/>
  <c r="G75" i="5"/>
  <c r="D44" i="50" s="1"/>
  <c r="Q75" i="5"/>
  <c r="F44" i="50" s="1"/>
  <c r="AA75" i="5"/>
  <c r="H44" i="50" s="1"/>
  <c r="AB147" i="5"/>
  <c r="AF85" i="5"/>
  <c r="AF147" i="5" s="1"/>
  <c r="X86" i="5"/>
  <c r="AC86" i="5"/>
  <c r="AF86" i="5" s="1"/>
  <c r="AP105" i="5"/>
  <c r="AK107" i="5"/>
  <c r="AF118" i="5"/>
  <c r="AK166" i="5"/>
  <c r="AK167" i="5" s="1"/>
  <c r="V184" i="5"/>
  <c r="AA179" i="5"/>
  <c r="AK188" i="5"/>
  <c r="AA172" i="5"/>
  <c r="AF172" i="5" s="1"/>
  <c r="AK172" i="5" s="1"/>
  <c r="V187" i="5"/>
  <c r="AA203" i="5"/>
  <c r="AP205" i="5"/>
  <c r="AA166" i="5"/>
  <c r="AK204" i="5"/>
  <c r="AP204" i="5" s="1"/>
  <c r="AU204" i="5" s="1"/>
  <c r="F5" i="52"/>
  <c r="BG78" i="15" l="1"/>
  <c r="BH78" i="15" s="1"/>
  <c r="BI78" i="15" s="1"/>
  <c r="BJ78" i="15" s="1"/>
  <c r="BK78" i="15" s="1"/>
  <c r="BL78" i="15" s="1"/>
  <c r="BM78" i="15" s="1"/>
  <c r="BN78" i="15" s="1"/>
  <c r="BO78" i="15" s="1"/>
  <c r="BP78" i="15" s="1"/>
  <c r="BQ78" i="15" s="1"/>
  <c r="BR78" i="15" s="1"/>
  <c r="BS78" i="15" s="1"/>
  <c r="BT78" i="15" s="1"/>
  <c r="BU78" i="15" s="1"/>
  <c r="AO71" i="5"/>
  <c r="AN37" i="48"/>
  <c r="AN38" i="48"/>
  <c r="AN35" i="48"/>
  <c r="AU105" i="5"/>
  <c r="AO105" i="5"/>
  <c r="AO107" i="5" s="1"/>
  <c r="AO118" i="5" s="1"/>
  <c r="AL14" i="5"/>
  <c r="AB56" i="49"/>
  <c r="AO27" i="5"/>
  <c r="AC66" i="5"/>
  <c r="AC131" i="5" s="1"/>
  <c r="AF52" i="5"/>
  <c r="P160" i="49"/>
  <c r="M161" i="49"/>
  <c r="M230" i="49"/>
  <c r="H160" i="49"/>
  <c r="AF26" i="5"/>
  <c r="AD66" i="5"/>
  <c r="H39" i="51"/>
  <c r="H42" i="51" s="1"/>
  <c r="I40" i="51" s="1"/>
  <c r="I42" i="51" s="1"/>
  <c r="J40" i="51" s="1"/>
  <c r="O227" i="49"/>
  <c r="R227" i="49"/>
  <c r="D74" i="5"/>
  <c r="D76" i="5" s="1"/>
  <c r="AA26" i="5"/>
  <c r="H44" i="51"/>
  <c r="K50" i="51"/>
  <c r="K54" i="51" s="1"/>
  <c r="E61" i="50"/>
  <c r="G57" i="50"/>
  <c r="H73" i="51"/>
  <c r="H75" i="51" s="1"/>
  <c r="X66" i="5"/>
  <c r="E57" i="50"/>
  <c r="L138" i="5"/>
  <c r="C74" i="5"/>
  <c r="C76" i="5" s="1"/>
  <c r="G61" i="50"/>
  <c r="I57" i="50"/>
  <c r="S227" i="49"/>
  <c r="I61" i="50"/>
  <c r="G59" i="50"/>
  <c r="G72" i="50"/>
  <c r="I72" i="50"/>
  <c r="I59" i="50"/>
  <c r="Y66" i="5"/>
  <c r="Y141" i="5" s="1"/>
  <c r="D50" i="50"/>
  <c r="D53" i="50" s="1"/>
  <c r="D57" i="50"/>
  <c r="AK64" i="5"/>
  <c r="W12" i="49"/>
  <c r="AA138" i="5"/>
  <c r="H59" i="50"/>
  <c r="H50" i="50"/>
  <c r="H53" i="50" s="1"/>
  <c r="H57" i="50"/>
  <c r="H61" i="50"/>
  <c r="BK29" i="15"/>
  <c r="BK33" i="15" s="1"/>
  <c r="BK37" i="15" s="1"/>
  <c r="BK27" i="15"/>
  <c r="BK31" i="15" s="1"/>
  <c r="BK35" i="15" s="1"/>
  <c r="BK30" i="15"/>
  <c r="BL28" i="15"/>
  <c r="BK41" i="15"/>
  <c r="BK39" i="15"/>
  <c r="R230" i="49"/>
  <c r="W66" i="5"/>
  <c r="W131" i="5" s="1"/>
  <c r="M227" i="49"/>
  <c r="X142" i="5"/>
  <c r="AA34" i="5"/>
  <c r="P128" i="49"/>
  <c r="P129" i="49" s="1"/>
  <c r="AL76" i="48"/>
  <c r="T227" i="49"/>
  <c r="N231" i="49"/>
  <c r="Q5" i="5"/>
  <c r="Q22" i="5" s="1"/>
  <c r="F41" i="50" s="1"/>
  <c r="F50" i="50" s="1"/>
  <c r="F53" i="50" s="1"/>
  <c r="AF138" i="5"/>
  <c r="E133" i="5"/>
  <c r="H72" i="50"/>
  <c r="G63" i="50"/>
  <c r="E59" i="50"/>
  <c r="AK27" i="5"/>
  <c r="P132" i="5"/>
  <c r="Z108" i="47"/>
  <c r="Y67" i="34"/>
  <c r="AA108" i="47"/>
  <c r="Z67" i="34"/>
  <c r="AG140" i="5"/>
  <c r="AG69" i="5"/>
  <c r="W225" i="49"/>
  <c r="AD53" i="5"/>
  <c r="AP188" i="5"/>
  <c r="AP183" i="5" s="1"/>
  <c r="AK173" i="5"/>
  <c r="AF173" i="5"/>
  <c r="J73" i="51"/>
  <c r="F42" i="50"/>
  <c r="F43" i="50"/>
  <c r="AA173" i="5"/>
  <c r="G29" i="5"/>
  <c r="G69" i="5" s="1"/>
  <c r="G74" i="5" s="1"/>
  <c r="G76" i="5" s="1"/>
  <c r="D43" i="50"/>
  <c r="D42" i="50"/>
  <c r="P131" i="5"/>
  <c r="I51" i="50"/>
  <c r="I54" i="50" s="1"/>
  <c r="E63" i="50"/>
  <c r="V118" i="5"/>
  <c r="V95" i="5" s="1"/>
  <c r="G73" i="51"/>
  <c r="G75" i="51" s="1"/>
  <c r="G76" i="51" s="1"/>
  <c r="H42" i="50"/>
  <c r="Q226" i="49"/>
  <c r="G43" i="50"/>
  <c r="L226" i="49"/>
  <c r="G42" i="50"/>
  <c r="I73" i="51"/>
  <c r="AF95" i="5"/>
  <c r="I63" i="50"/>
  <c r="E42" i="50"/>
  <c r="E43" i="50"/>
  <c r="L118" i="5"/>
  <c r="L95" i="5" s="1"/>
  <c r="E73" i="51"/>
  <c r="E75" i="51" s="1"/>
  <c r="E76" i="51" s="1"/>
  <c r="Q118" i="5"/>
  <c r="Q95" i="5" s="1"/>
  <c r="F73" i="51"/>
  <c r="F75" i="51" s="1"/>
  <c r="F76" i="51" s="1"/>
  <c r="AB66" i="5"/>
  <c r="AG141" i="5" s="1"/>
  <c r="R236" i="49"/>
  <c r="AC53" i="5"/>
  <c r="S231" i="49"/>
  <c r="D63" i="50"/>
  <c r="D59" i="50"/>
  <c r="AE16" i="54"/>
  <c r="AD63" i="54"/>
  <c r="AD41" i="54"/>
  <c r="AE6" i="54"/>
  <c r="AC34" i="54"/>
  <c r="AD25" i="54"/>
  <c r="H9" i="54"/>
  <c r="G8" i="54"/>
  <c r="N9" i="54"/>
  <c r="O8" i="54"/>
  <c r="P9" i="47"/>
  <c r="P19" i="47"/>
  <c r="P69" i="47" s="1"/>
  <c r="O8" i="47"/>
  <c r="O18" i="47" s="1"/>
  <c r="O42" i="47"/>
  <c r="F59" i="47"/>
  <c r="G56" i="47"/>
  <c r="I29" i="47"/>
  <c r="H32" i="47"/>
  <c r="L40" i="34"/>
  <c r="M24" i="34"/>
  <c r="N22" i="34"/>
  <c r="M38" i="34"/>
  <c r="N36" i="34"/>
  <c r="P17" i="34"/>
  <c r="O32" i="34"/>
  <c r="O19" i="34"/>
  <c r="N31" i="34"/>
  <c r="N34" i="34"/>
  <c r="L45" i="34"/>
  <c r="L65" i="34"/>
  <c r="M6" i="34"/>
  <c r="W16" i="30"/>
  <c r="V25" i="30"/>
  <c r="G9" i="30"/>
  <c r="H8" i="30"/>
  <c r="Z20" i="30"/>
  <c r="AA11" i="30"/>
  <c r="AD21" i="30"/>
  <c r="AD23" i="30" s="1"/>
  <c r="AE12" i="30"/>
  <c r="AD14" i="30"/>
  <c r="L84" i="45"/>
  <c r="M81" i="45"/>
  <c r="N80" i="45"/>
  <c r="M83" i="45"/>
  <c r="M59" i="45"/>
  <c r="M49" i="45"/>
  <c r="M47" i="45"/>
  <c r="L60" i="45"/>
  <c r="L58" i="45"/>
  <c r="L63" i="45"/>
  <c r="L61" i="45"/>
  <c r="N119" i="45"/>
  <c r="O115" i="45"/>
  <c r="N117" i="45"/>
  <c r="C20" i="45"/>
  <c r="C31" i="45" s="1"/>
  <c r="C19" i="45"/>
  <c r="C30" i="45" s="1"/>
  <c r="C18" i="45"/>
  <c r="C29" i="45" s="1"/>
  <c r="H11" i="45"/>
  <c r="H15" i="45" s="1"/>
  <c r="H9" i="45"/>
  <c r="H14" i="45" s="1"/>
  <c r="I7" i="45"/>
  <c r="G25" i="45"/>
  <c r="G24" i="45"/>
  <c r="G23" i="45"/>
  <c r="M158" i="45"/>
  <c r="N155" i="45"/>
  <c r="E92" i="45"/>
  <c r="O41" i="45"/>
  <c r="N55" i="45"/>
  <c r="N45" i="45"/>
  <c r="N42" i="45"/>
  <c r="N46" i="45" s="1"/>
  <c r="N40" i="45"/>
  <c r="N44" i="45" s="1"/>
  <c r="N43" i="45"/>
  <c r="M56" i="45"/>
  <c r="M54" i="45"/>
  <c r="M57" i="45"/>
  <c r="L50" i="45"/>
  <c r="L48" i="45"/>
  <c r="L51" i="45"/>
  <c r="F67" i="45"/>
  <c r="F73" i="45" s="1"/>
  <c r="F87" i="45" s="1"/>
  <c r="M157" i="45"/>
  <c r="N154" i="45"/>
  <c r="M123" i="45"/>
  <c r="M125" i="45" s="1"/>
  <c r="M121" i="45"/>
  <c r="J64" i="45"/>
  <c r="J62" i="45"/>
  <c r="J65" i="45"/>
  <c r="K64" i="45"/>
  <c r="K62" i="45"/>
  <c r="K65" i="45"/>
  <c r="I64" i="45"/>
  <c r="I62" i="45"/>
  <c r="I65" i="45"/>
  <c r="E88" i="45"/>
  <c r="E93" i="45" s="1"/>
  <c r="D20" i="45"/>
  <c r="D31" i="45" s="1"/>
  <c r="D19" i="45"/>
  <c r="D30" i="45" s="1"/>
  <c r="D18" i="45"/>
  <c r="D29" i="45" s="1"/>
  <c r="F68" i="45"/>
  <c r="G20" i="45"/>
  <c r="G19" i="45"/>
  <c r="G18" i="45"/>
  <c r="AR54" i="48"/>
  <c r="AS53" i="48"/>
  <c r="AN42" i="48"/>
  <c r="AP17" i="48"/>
  <c r="AQ8" i="48"/>
  <c r="AQ32" i="48"/>
  <c r="AR28" i="48"/>
  <c r="AQ30" i="48"/>
  <c r="AQ55" i="48"/>
  <c r="AO37" i="48"/>
  <c r="AO35" i="48"/>
  <c r="AO38" i="48"/>
  <c r="AP9" i="48"/>
  <c r="AF18" i="48"/>
  <c r="AE9" i="48"/>
  <c r="AG17" i="48"/>
  <c r="AF8" i="48"/>
  <c r="AO16" i="48"/>
  <c r="AP7" i="48"/>
  <c r="AG16" i="48"/>
  <c r="AF7" i="48"/>
  <c r="AN56" i="48"/>
  <c r="AP36" i="48"/>
  <c r="AP33" i="48"/>
  <c r="AP31" i="48"/>
  <c r="AP34" i="48"/>
  <c r="AN14" i="48"/>
  <c r="AM18" i="48"/>
  <c r="BI56" i="15"/>
  <c r="BL9" i="15"/>
  <c r="AG9" i="46" s="1"/>
  <c r="AG18" i="46" s="1"/>
  <c r="AZ18" i="15"/>
  <c r="AY9" i="15"/>
  <c r="T9" i="46" s="1"/>
  <c r="T18" i="46" s="1"/>
  <c r="BM8" i="15"/>
  <c r="AH8" i="46" s="1"/>
  <c r="AH17" i="46" s="1"/>
  <c r="BI16" i="15"/>
  <c r="BJ7" i="15"/>
  <c r="AE7" i="46" s="1"/>
  <c r="AE16" i="46" s="1"/>
  <c r="BA17" i="15"/>
  <c r="AZ8" i="15"/>
  <c r="U8" i="46" s="1"/>
  <c r="U17" i="46" s="1"/>
  <c r="BK54" i="15"/>
  <c r="BL53" i="15"/>
  <c r="BI13" i="15"/>
  <c r="BH17" i="15"/>
  <c r="BH14" i="15"/>
  <c r="BG18" i="15"/>
  <c r="BJ55" i="15"/>
  <c r="BB16" i="15"/>
  <c r="BA7" i="15"/>
  <c r="V7" i="46" s="1"/>
  <c r="V16" i="46" s="1"/>
  <c r="L32" i="51"/>
  <c r="K62" i="51"/>
  <c r="M66" i="51"/>
  <c r="M68" i="51" s="1"/>
  <c r="N49" i="51"/>
  <c r="J60" i="51"/>
  <c r="J69" i="51" s="1"/>
  <c r="J61" i="51"/>
  <c r="I80" i="50"/>
  <c r="L27" i="50"/>
  <c r="J79" i="50"/>
  <c r="I81" i="50"/>
  <c r="P236" i="49"/>
  <c r="Z66" i="5"/>
  <c r="Z131" i="5" s="1"/>
  <c r="AF198" i="49"/>
  <c r="AG198" i="49" s="1"/>
  <c r="AH198" i="49" s="1"/>
  <c r="AI198" i="49" s="1"/>
  <c r="AJ198" i="49" s="1"/>
  <c r="AK198" i="49" s="1"/>
  <c r="AL198" i="49" s="1"/>
  <c r="AM198" i="49" s="1"/>
  <c r="AA199" i="49"/>
  <c r="AA181" i="49"/>
  <c r="AF180" i="49"/>
  <c r="AG180" i="49" s="1"/>
  <c r="AH180" i="49" s="1"/>
  <c r="AI180" i="49" s="1"/>
  <c r="AJ180" i="49" s="1"/>
  <c r="AK180" i="49" s="1"/>
  <c r="AL180" i="49" s="1"/>
  <c r="AM180" i="49" s="1"/>
  <c r="V175" i="49"/>
  <c r="Q216" i="49"/>
  <c r="P216" i="49" s="1"/>
  <c r="Z45" i="5" s="1"/>
  <c r="Z46" i="5"/>
  <c r="AA46" i="5" s="1"/>
  <c r="P153" i="49"/>
  <c r="Z35" i="5"/>
  <c r="AA35" i="5" s="1"/>
  <c r="AA169" i="49"/>
  <c r="AF169" i="49" s="1"/>
  <c r="AG169" i="49" s="1"/>
  <c r="AH169" i="49" s="1"/>
  <c r="AI169" i="49" s="1"/>
  <c r="AJ169" i="49" s="1"/>
  <c r="AK169" i="49" s="1"/>
  <c r="AL169" i="49" s="1"/>
  <c r="AM169" i="49" s="1"/>
  <c r="AJ137" i="49"/>
  <c r="M115" i="49"/>
  <c r="M114" i="49"/>
  <c r="M112" i="49"/>
  <c r="M111" i="49"/>
  <c r="M110" i="49"/>
  <c r="R115" i="49"/>
  <c r="R114" i="49"/>
  <c r="R112" i="49"/>
  <c r="R111" i="49"/>
  <c r="R110" i="49"/>
  <c r="N115" i="49"/>
  <c r="N114" i="49"/>
  <c r="N112" i="49"/>
  <c r="N111" i="49"/>
  <c r="N110" i="49"/>
  <c r="N109" i="49"/>
  <c r="Y53" i="5"/>
  <c r="O231" i="49"/>
  <c r="AI191" i="49"/>
  <c r="AJ167" i="49"/>
  <c r="AL129" i="49"/>
  <c r="T115" i="49"/>
  <c r="T114" i="49"/>
  <c r="T112" i="49"/>
  <c r="T111" i="49"/>
  <c r="T110" i="49"/>
  <c r="R109" i="49"/>
  <c r="O106" i="49"/>
  <c r="M113" i="49"/>
  <c r="AF204" i="49"/>
  <c r="AG204" i="49" s="1"/>
  <c r="AH204" i="49" s="1"/>
  <c r="AI204" i="49" s="1"/>
  <c r="AJ204" i="49" s="1"/>
  <c r="AK204" i="49" s="1"/>
  <c r="AL204" i="49" s="1"/>
  <c r="AM204" i="49" s="1"/>
  <c r="AA205" i="49"/>
  <c r="Z174" i="49"/>
  <c r="AA174" i="49" s="1"/>
  <c r="U175" i="49"/>
  <c r="W217" i="49"/>
  <c r="U216" i="49"/>
  <c r="AB45" i="5"/>
  <c r="H216" i="49"/>
  <c r="W45" i="5"/>
  <c r="P131" i="49"/>
  <c r="Z32" i="5"/>
  <c r="P235" i="49"/>
  <c r="Q233" i="49"/>
  <c r="Q235" i="49" s="1"/>
  <c r="W161" i="49"/>
  <c r="W163" i="49"/>
  <c r="W97" i="49"/>
  <c r="W157" i="49"/>
  <c r="AQ185" i="49"/>
  <c r="AQ179" i="49"/>
  <c r="AQ173" i="49"/>
  <c r="Z145" i="49"/>
  <c r="M109" i="49"/>
  <c r="R113" i="49"/>
  <c r="N113" i="49"/>
  <c r="AF55" i="49"/>
  <c r="Z55" i="49"/>
  <c r="AE55" i="49" s="1"/>
  <c r="R161" i="49"/>
  <c r="AB46" i="5"/>
  <c r="AF46" i="5" s="1"/>
  <c r="T113" i="49"/>
  <c r="T109" i="49"/>
  <c r="Q100" i="49"/>
  <c r="P104" i="49"/>
  <c r="Q29" i="5"/>
  <c r="V138" i="5"/>
  <c r="AJ107" i="5"/>
  <c r="AH147" i="5"/>
  <c r="Q141" i="5"/>
  <c r="Q142" i="5"/>
  <c r="Q132" i="5"/>
  <c r="Q139" i="5"/>
  <c r="AP107" i="5"/>
  <c r="L141" i="5"/>
  <c r="L131" i="5"/>
  <c r="V142" i="5"/>
  <c r="V132" i="5"/>
  <c r="AD131" i="5"/>
  <c r="AC140" i="5"/>
  <c r="U69" i="5"/>
  <c r="I140" i="5"/>
  <c r="I69" i="5"/>
  <c r="AF139" i="5"/>
  <c r="AF129" i="5"/>
  <c r="AF128" i="5"/>
  <c r="Z140" i="5"/>
  <c r="X140" i="5"/>
  <c r="T140" i="5"/>
  <c r="T69" i="5"/>
  <c r="R140" i="5"/>
  <c r="R69" i="5"/>
  <c r="J140" i="5"/>
  <c r="J69" i="5"/>
  <c r="H140" i="5"/>
  <c r="H69" i="5"/>
  <c r="F134" i="5"/>
  <c r="F77" i="5"/>
  <c r="D134" i="5"/>
  <c r="D77" i="5"/>
  <c r="AE140" i="5"/>
  <c r="S140" i="5"/>
  <c r="S69" i="5"/>
  <c r="L139" i="5"/>
  <c r="L129" i="5"/>
  <c r="L128" i="5"/>
  <c r="P138" i="5"/>
  <c r="P29" i="5"/>
  <c r="N140" i="5"/>
  <c r="N69" i="5"/>
  <c r="AF197" i="5"/>
  <c r="AU205" i="5"/>
  <c r="AP198" i="5"/>
  <c r="AP199" i="5"/>
  <c r="AU199" i="5" s="1"/>
  <c r="AA181" i="5"/>
  <c r="AA187" i="5" s="1"/>
  <c r="AA226" i="5" s="1"/>
  <c r="AK95" i="5"/>
  <c r="AI107" i="5"/>
  <c r="AI51" i="5"/>
  <c r="AK51" i="5" s="1"/>
  <c r="AH107" i="5"/>
  <c r="AA139" i="5"/>
  <c r="AA129" i="5"/>
  <c r="AA128" i="5"/>
  <c r="G129" i="5"/>
  <c r="G128" i="5"/>
  <c r="AZ104" i="5"/>
  <c r="AU107" i="5"/>
  <c r="AU27" i="5"/>
  <c r="V141" i="5"/>
  <c r="V131" i="5"/>
  <c r="AE66" i="5"/>
  <c r="AF65" i="5"/>
  <c r="L142" i="5"/>
  <c r="L132" i="5"/>
  <c r="AF61" i="5"/>
  <c r="V236" i="49" s="1"/>
  <c r="Y140" i="5"/>
  <c r="M140" i="5"/>
  <c r="M69" i="5"/>
  <c r="V139" i="5"/>
  <c r="V129" i="5"/>
  <c r="V128" i="5"/>
  <c r="V26" i="5"/>
  <c r="AD140" i="5"/>
  <c r="AB140" i="5"/>
  <c r="W140" i="5"/>
  <c r="K140" i="5"/>
  <c r="K69" i="5"/>
  <c r="P129" i="5"/>
  <c r="AA29" i="5"/>
  <c r="AF29" i="5"/>
  <c r="O140" i="5"/>
  <c r="O69" i="5"/>
  <c r="E134" i="5"/>
  <c r="E77" i="5"/>
  <c r="V29" i="5"/>
  <c r="L29" i="5"/>
  <c r="F41" i="52"/>
  <c r="G5" i="52"/>
  <c r="K51" i="51" l="1"/>
  <c r="K56" i="51"/>
  <c r="L50" i="51" s="1"/>
  <c r="F59" i="50"/>
  <c r="AC141" i="5"/>
  <c r="AO14" i="5"/>
  <c r="AE56" i="49"/>
  <c r="C134" i="5"/>
  <c r="X131" i="5"/>
  <c r="X141" i="5"/>
  <c r="X69" i="5"/>
  <c r="X133" i="5" s="1"/>
  <c r="F57" i="50"/>
  <c r="F61" i="50"/>
  <c r="F72" i="50"/>
  <c r="I44" i="51"/>
  <c r="Q128" i="5"/>
  <c r="Q138" i="5"/>
  <c r="F63" i="50"/>
  <c r="C77" i="5"/>
  <c r="C80" i="5" s="1"/>
  <c r="Q129" i="5"/>
  <c r="Q131" i="5"/>
  <c r="H76" i="51"/>
  <c r="AD141" i="5"/>
  <c r="Y69" i="5"/>
  <c r="Y133" i="5" s="1"/>
  <c r="Y131" i="5"/>
  <c r="AI95" i="5"/>
  <c r="AI118" i="5"/>
  <c r="AJ95" i="5"/>
  <c r="AJ118" i="5"/>
  <c r="BL27" i="15"/>
  <c r="BL31" i="15" s="1"/>
  <c r="BL35" i="15" s="1"/>
  <c r="BL39" i="15" s="1"/>
  <c r="BL30" i="15"/>
  <c r="BL29" i="15"/>
  <c r="BL33" i="15" s="1"/>
  <c r="BL37" i="15" s="1"/>
  <c r="BL41" i="15" s="1"/>
  <c r="BM28" i="15"/>
  <c r="W141" i="5"/>
  <c r="AB131" i="5"/>
  <c r="G133" i="5"/>
  <c r="AG74" i="5"/>
  <c r="AG134" i="5" s="1"/>
  <c r="AG133" i="5"/>
  <c r="AD69" i="5"/>
  <c r="AD133" i="5" s="1"/>
  <c r="AB141" i="5"/>
  <c r="P230" i="49"/>
  <c r="AH95" i="5"/>
  <c r="AH118" i="5"/>
  <c r="V48" i="30"/>
  <c r="AE82" i="46"/>
  <c r="K195" i="45"/>
  <c r="AP87" i="48"/>
  <c r="BJ87" i="15"/>
  <c r="AD132" i="5"/>
  <c r="AD142" i="5"/>
  <c r="AC69" i="5"/>
  <c r="AC74" i="5" s="1"/>
  <c r="K73" i="51"/>
  <c r="K9" i="51" s="1"/>
  <c r="G65" i="50"/>
  <c r="G67" i="50"/>
  <c r="D52" i="50"/>
  <c r="D55" i="50" s="1"/>
  <c r="D51" i="50"/>
  <c r="D54" i="50" s="1"/>
  <c r="F67" i="50"/>
  <c r="F65" i="50"/>
  <c r="L73" i="51"/>
  <c r="L9" i="51" s="1"/>
  <c r="E67" i="50"/>
  <c r="E65" i="50"/>
  <c r="D65" i="50"/>
  <c r="D67" i="50"/>
  <c r="F52" i="50"/>
  <c r="F55" i="50" s="1"/>
  <c r="F51" i="50"/>
  <c r="F54" i="50" s="1"/>
  <c r="E52" i="50"/>
  <c r="E55" i="50" s="1"/>
  <c r="E51" i="50"/>
  <c r="E54" i="50" s="1"/>
  <c r="G52" i="50"/>
  <c r="G55" i="50" s="1"/>
  <c r="G51" i="50"/>
  <c r="G54" i="50" s="1"/>
  <c r="H52" i="50"/>
  <c r="H55" i="50" s="1"/>
  <c r="H51" i="50"/>
  <c r="H54" i="50" s="1"/>
  <c r="M40" i="34"/>
  <c r="Z141" i="5"/>
  <c r="AA66" i="5"/>
  <c r="AC142" i="5"/>
  <c r="AC132" i="5"/>
  <c r="O9" i="54"/>
  <c r="P8" i="54"/>
  <c r="G9" i="54"/>
  <c r="F8" i="54"/>
  <c r="AE25" i="54"/>
  <c r="AD34" i="54"/>
  <c r="AE63" i="54"/>
  <c r="AE41" i="54"/>
  <c r="AF6" i="54"/>
  <c r="AF16" i="54"/>
  <c r="I32" i="47"/>
  <c r="I35" i="47" s="1"/>
  <c r="J29" i="47"/>
  <c r="H56" i="47"/>
  <c r="G59" i="47"/>
  <c r="Q19" i="47"/>
  <c r="Q69" i="47" s="1"/>
  <c r="P8" i="47"/>
  <c r="P18" i="47" s="1"/>
  <c r="Q9" i="47"/>
  <c r="P42" i="47"/>
  <c r="O31" i="34"/>
  <c r="O34" i="34"/>
  <c r="N38" i="34"/>
  <c r="O36" i="34"/>
  <c r="N24" i="34"/>
  <c r="O22" i="34"/>
  <c r="M65" i="34"/>
  <c r="M45" i="34"/>
  <c r="N6" i="34"/>
  <c r="P32" i="34"/>
  <c r="P19" i="34"/>
  <c r="Q17" i="34"/>
  <c r="W25" i="30"/>
  <c r="AE21" i="30"/>
  <c r="AE23" i="30" s="1"/>
  <c r="AF12" i="30"/>
  <c r="AE14" i="30"/>
  <c r="AA20" i="30"/>
  <c r="AB11" i="30"/>
  <c r="H9" i="30"/>
  <c r="I8" i="30"/>
  <c r="X16" i="30"/>
  <c r="F92" i="45"/>
  <c r="L35" i="49"/>
  <c r="G104" i="45"/>
  <c r="G30" i="45"/>
  <c r="F74" i="45"/>
  <c r="G71" i="45" s="1"/>
  <c r="O154" i="45"/>
  <c r="N157" i="45"/>
  <c r="N56" i="45"/>
  <c r="N54" i="45"/>
  <c r="N57" i="45"/>
  <c r="E90" i="45"/>
  <c r="O155" i="45"/>
  <c r="N158" i="45"/>
  <c r="G34" i="45"/>
  <c r="G36" i="45"/>
  <c r="G110" i="45" s="1"/>
  <c r="H20" i="45"/>
  <c r="H19" i="45"/>
  <c r="H18" i="45"/>
  <c r="N123" i="45"/>
  <c r="N125" i="45" s="1"/>
  <c r="N121" i="45"/>
  <c r="L64" i="45"/>
  <c r="L62" i="45"/>
  <c r="L65" i="45"/>
  <c r="M50" i="45"/>
  <c r="M48" i="45"/>
  <c r="M51" i="45"/>
  <c r="G70" i="45"/>
  <c r="N81" i="45"/>
  <c r="M84" i="45"/>
  <c r="G29" i="45"/>
  <c r="G31" i="45"/>
  <c r="G105" i="45" s="1"/>
  <c r="N59" i="45"/>
  <c r="N49" i="45"/>
  <c r="N47" i="45"/>
  <c r="O55" i="45"/>
  <c r="O45" i="45"/>
  <c r="O42" i="45"/>
  <c r="O46" i="45" s="1"/>
  <c r="O40" i="45"/>
  <c r="O44" i="45" s="1"/>
  <c r="P41" i="45"/>
  <c r="O43" i="45"/>
  <c r="E95" i="45"/>
  <c r="G35" i="45"/>
  <c r="G109" i="45" s="1"/>
  <c r="I11" i="45"/>
  <c r="I15" i="45" s="1"/>
  <c r="I9" i="45"/>
  <c r="I14" i="45" s="1"/>
  <c r="J7" i="45"/>
  <c r="H25" i="45"/>
  <c r="H24" i="45"/>
  <c r="H23" i="45"/>
  <c r="O119" i="45"/>
  <c r="P115" i="45"/>
  <c r="O117" i="45"/>
  <c r="M63" i="45"/>
  <c r="M60" i="45"/>
  <c r="M58" i="45"/>
  <c r="M61" i="45"/>
  <c r="N83" i="45"/>
  <c r="O80" i="45"/>
  <c r="AO14" i="48"/>
  <c r="AN18" i="48"/>
  <c r="AP37" i="48"/>
  <c r="AP35" i="48"/>
  <c r="AP38" i="48"/>
  <c r="AO56" i="48"/>
  <c r="AF16" i="48"/>
  <c r="AE7" i="48"/>
  <c r="AP16" i="48"/>
  <c r="AQ7" i="48"/>
  <c r="AF17" i="48"/>
  <c r="AE8" i="48"/>
  <c r="AE18" i="48"/>
  <c r="AD9" i="48"/>
  <c r="AQ9" i="48"/>
  <c r="AR32" i="48"/>
  <c r="AS28" i="48"/>
  <c r="AR30" i="48"/>
  <c r="AR55" i="48"/>
  <c r="AQ33" i="48"/>
  <c r="AQ31" i="48"/>
  <c r="AQ36" i="48"/>
  <c r="AQ34" i="48"/>
  <c r="AQ17" i="48"/>
  <c r="AR8" i="48"/>
  <c r="AP40" i="48"/>
  <c r="AO42" i="48"/>
  <c r="AS54" i="48"/>
  <c r="AT53" i="48"/>
  <c r="BL54" i="15"/>
  <c r="BM53" i="15"/>
  <c r="BK55" i="15"/>
  <c r="AZ17" i="15"/>
  <c r="AY8" i="15"/>
  <c r="T8" i="46" s="1"/>
  <c r="T17" i="46" s="1"/>
  <c r="BJ16" i="15"/>
  <c r="BK7" i="15"/>
  <c r="AF7" i="46" s="1"/>
  <c r="AF16" i="46" s="1"/>
  <c r="BN8" i="15"/>
  <c r="AI8" i="46" s="1"/>
  <c r="AI17" i="46" s="1"/>
  <c r="AY18" i="15"/>
  <c r="AX9" i="15"/>
  <c r="S9" i="46" s="1"/>
  <c r="S18" i="46" s="1"/>
  <c r="BM9" i="15"/>
  <c r="AH9" i="46" s="1"/>
  <c r="AH18" i="46" s="1"/>
  <c r="BA16" i="15"/>
  <c r="AZ7" i="15"/>
  <c r="U7" i="46" s="1"/>
  <c r="U16" i="46" s="1"/>
  <c r="BI14" i="15"/>
  <c r="BH18" i="15"/>
  <c r="BJ13" i="15"/>
  <c r="BI17" i="15"/>
  <c r="BJ56" i="15"/>
  <c r="N66" i="51"/>
  <c r="N68" i="51" s="1"/>
  <c r="O49" i="51"/>
  <c r="M32" i="51"/>
  <c r="K60" i="51"/>
  <c r="K69" i="51" s="1"/>
  <c r="K61" i="51"/>
  <c r="J76" i="51"/>
  <c r="I97" i="50"/>
  <c r="K79" i="50"/>
  <c r="M27" i="50"/>
  <c r="Z56" i="49"/>
  <c r="AG55" i="49"/>
  <c r="AP14" i="5"/>
  <c r="AR179" i="49"/>
  <c r="Z48" i="5"/>
  <c r="AA32" i="5"/>
  <c r="AL78" i="48" s="1"/>
  <c r="H156" i="49"/>
  <c r="H230" i="49" s="1"/>
  <c r="O115" i="49"/>
  <c r="O114" i="49"/>
  <c r="O112" i="49"/>
  <c r="O111" i="49"/>
  <c r="O110" i="49"/>
  <c r="O109" i="49"/>
  <c r="AK167" i="49"/>
  <c r="AK137" i="49"/>
  <c r="Q104" i="49"/>
  <c r="P106" i="49"/>
  <c r="X56" i="49"/>
  <c r="Y56" i="49"/>
  <c r="AR173" i="49"/>
  <c r="AR185" i="49"/>
  <c r="AA45" i="5"/>
  <c r="W48" i="5"/>
  <c r="AB48" i="5"/>
  <c r="AF45" i="5"/>
  <c r="AA175" i="49"/>
  <c r="AF175" i="49" s="1"/>
  <c r="AG175" i="49" s="1"/>
  <c r="AH175" i="49" s="1"/>
  <c r="AI175" i="49" s="1"/>
  <c r="AJ175" i="49" s="1"/>
  <c r="AK175" i="49" s="1"/>
  <c r="AL175" i="49" s="1"/>
  <c r="AM175" i="49" s="1"/>
  <c r="O113" i="49"/>
  <c r="AM129" i="49"/>
  <c r="AJ191" i="49"/>
  <c r="Y132" i="5"/>
  <c r="Y142" i="5"/>
  <c r="AF168" i="49"/>
  <c r="AG168" i="49" s="1"/>
  <c r="AH168" i="49" s="1"/>
  <c r="AI168" i="49" s="1"/>
  <c r="AJ168" i="49" s="1"/>
  <c r="AK168" i="49" s="1"/>
  <c r="AL168" i="49" s="1"/>
  <c r="AM168" i="49" s="1"/>
  <c r="Q230" i="49"/>
  <c r="L140" i="5"/>
  <c r="L69" i="5"/>
  <c r="E135" i="5"/>
  <c r="E123" i="5"/>
  <c r="E80" i="5"/>
  <c r="O143" i="5"/>
  <c r="O133" i="5"/>
  <c r="O74" i="5"/>
  <c r="AF140" i="5"/>
  <c r="M143" i="5"/>
  <c r="M133" i="5"/>
  <c r="M74" i="5"/>
  <c r="AE141" i="5"/>
  <c r="AE131" i="5"/>
  <c r="AF66" i="5"/>
  <c r="BE104" i="5"/>
  <c r="AZ107" i="5"/>
  <c r="AZ27" i="5"/>
  <c r="AZ204" i="5"/>
  <c r="AZ199" i="5" s="1"/>
  <c r="AF200" i="5"/>
  <c r="AK195" i="5"/>
  <c r="N143" i="5"/>
  <c r="N133" i="5"/>
  <c r="N74" i="5"/>
  <c r="S143" i="5"/>
  <c r="S133" i="5"/>
  <c r="S74" i="5"/>
  <c r="AE69" i="5"/>
  <c r="I143" i="5"/>
  <c r="I133" i="5"/>
  <c r="I74" i="5"/>
  <c r="U133" i="5"/>
  <c r="U74" i="5"/>
  <c r="AP118" i="5"/>
  <c r="AP95" i="5"/>
  <c r="V140" i="5"/>
  <c r="V69" i="5"/>
  <c r="AA140" i="5"/>
  <c r="K143" i="5"/>
  <c r="K133" i="5"/>
  <c r="K74" i="5"/>
  <c r="AU118" i="5"/>
  <c r="AU95" i="5"/>
  <c r="AA184" i="5"/>
  <c r="AA225" i="5" s="1"/>
  <c r="AP189" i="5"/>
  <c r="AP182" i="5" s="1"/>
  <c r="AU198" i="5"/>
  <c r="AF203" i="5"/>
  <c r="P140" i="5"/>
  <c r="P69" i="5"/>
  <c r="D135" i="5"/>
  <c r="D123" i="5"/>
  <c r="D80" i="5"/>
  <c r="F135" i="5"/>
  <c r="F123" i="5"/>
  <c r="F80" i="5"/>
  <c r="H143" i="5"/>
  <c r="H133" i="5"/>
  <c r="H74" i="5"/>
  <c r="J143" i="5"/>
  <c r="J133" i="5"/>
  <c r="J74" i="5"/>
  <c r="R143" i="5"/>
  <c r="R133" i="5"/>
  <c r="R74" i="5"/>
  <c r="T143" i="5"/>
  <c r="T133" i="5"/>
  <c r="T74" i="5"/>
  <c r="U140" i="5"/>
  <c r="AI147" i="5"/>
  <c r="Q140" i="5"/>
  <c r="Q69" i="5"/>
  <c r="G134" i="5"/>
  <c r="G77" i="5"/>
  <c r="G41" i="52"/>
  <c r="H5" i="52"/>
  <c r="L51" i="51" l="1"/>
  <c r="L56" i="51"/>
  <c r="L61" i="51" s="1"/>
  <c r="L62" i="51"/>
  <c r="Y143" i="5"/>
  <c r="C135" i="5"/>
  <c r="X143" i="5"/>
  <c r="X74" i="5"/>
  <c r="X77" i="5" s="1"/>
  <c r="Y74" i="5"/>
  <c r="Y77" i="5" s="1"/>
  <c r="C123" i="5"/>
  <c r="C89" i="5" s="1"/>
  <c r="C94" i="5" s="1"/>
  <c r="C100" i="5" s="1"/>
  <c r="L54" i="51"/>
  <c r="AD143" i="5"/>
  <c r="AC143" i="5"/>
  <c r="AK118" i="5"/>
  <c r="AG77" i="5"/>
  <c r="AG80" i="5" s="1"/>
  <c r="AG76" i="5"/>
  <c r="BM27" i="15"/>
  <c r="BM31" i="15" s="1"/>
  <c r="BM35" i="15" s="1"/>
  <c r="BM29" i="15"/>
  <c r="BM33" i="15" s="1"/>
  <c r="BM37" i="15" s="1"/>
  <c r="BM41" i="15" s="1"/>
  <c r="BM30" i="15"/>
  <c r="BN28" i="15"/>
  <c r="BM39" i="15"/>
  <c r="AC133" i="5"/>
  <c r="AD74" i="5"/>
  <c r="AD134" i="5" s="1"/>
  <c r="W48" i="30"/>
  <c r="AF82" i="46"/>
  <c r="L195" i="45"/>
  <c r="AQ87" i="48"/>
  <c r="BK87" i="15"/>
  <c r="AA67" i="34"/>
  <c r="AB108" i="47"/>
  <c r="M73" i="51"/>
  <c r="M9" i="51" s="1"/>
  <c r="F88" i="45"/>
  <c r="F93" i="45" s="1"/>
  <c r="AA141" i="5"/>
  <c r="AA131" i="5"/>
  <c r="AG16" i="54"/>
  <c r="AF63" i="54"/>
  <c r="AF41" i="54"/>
  <c r="AG6" i="54"/>
  <c r="AE34" i="54"/>
  <c r="AF25" i="54"/>
  <c r="F9" i="54"/>
  <c r="E8" i="54"/>
  <c r="Q8" i="54"/>
  <c r="P9" i="54"/>
  <c r="K29" i="47"/>
  <c r="J32" i="47"/>
  <c r="R9" i="47"/>
  <c r="R19" i="47"/>
  <c r="R69" i="47" s="1"/>
  <c r="Q8" i="47"/>
  <c r="Q18" i="47" s="1"/>
  <c r="Q42" i="47"/>
  <c r="H59" i="47"/>
  <c r="I56" i="47"/>
  <c r="I41" i="47"/>
  <c r="J35" i="47" s="1"/>
  <c r="N45" i="34"/>
  <c r="N65" i="34"/>
  <c r="O6" i="34"/>
  <c r="N40" i="34"/>
  <c r="Q32" i="34"/>
  <c r="R17" i="34"/>
  <c r="Q19" i="34"/>
  <c r="P34" i="34"/>
  <c r="P31" i="34"/>
  <c r="O24" i="34"/>
  <c r="P22" i="34"/>
  <c r="O38" i="34"/>
  <c r="P36" i="34"/>
  <c r="AF21" i="30"/>
  <c r="AF23" i="30" s="1"/>
  <c r="AG12" i="30"/>
  <c r="AF14" i="30"/>
  <c r="X25" i="30"/>
  <c r="Y16" i="30"/>
  <c r="I9" i="30"/>
  <c r="J8" i="30"/>
  <c r="AB20" i="30"/>
  <c r="AC11" i="30"/>
  <c r="M64" i="45"/>
  <c r="M62" i="45"/>
  <c r="M65" i="45"/>
  <c r="P119" i="45"/>
  <c r="Q115" i="45"/>
  <c r="P117" i="45"/>
  <c r="H34" i="45"/>
  <c r="H36" i="45"/>
  <c r="H110" i="45" s="1"/>
  <c r="I20" i="45"/>
  <c r="I19" i="45"/>
  <c r="I18" i="45"/>
  <c r="Q41" i="45"/>
  <c r="P55" i="45"/>
  <c r="P45" i="45"/>
  <c r="P42" i="45"/>
  <c r="P46" i="45" s="1"/>
  <c r="P40" i="45"/>
  <c r="P44" i="45" s="1"/>
  <c r="P43" i="45"/>
  <c r="O56" i="45"/>
  <c r="O54" i="45"/>
  <c r="O57" i="45"/>
  <c r="N50" i="45"/>
  <c r="N48" i="45"/>
  <c r="N51" i="45"/>
  <c r="G67" i="45"/>
  <c r="G73" i="45" s="1"/>
  <c r="H70" i="45" s="1"/>
  <c r="H30" i="45"/>
  <c r="H104" i="45" s="1"/>
  <c r="G68" i="45"/>
  <c r="E97" i="45"/>
  <c r="P80" i="45"/>
  <c r="O83" i="45"/>
  <c r="O123" i="45"/>
  <c r="O125" i="45" s="1"/>
  <c r="O121" i="45"/>
  <c r="H35" i="45"/>
  <c r="H109" i="45" s="1"/>
  <c r="J11" i="45"/>
  <c r="J15" i="45" s="1"/>
  <c r="J9" i="45"/>
  <c r="J14" i="45" s="1"/>
  <c r="K7" i="45"/>
  <c r="I25" i="45"/>
  <c r="I24" i="45"/>
  <c r="I23" i="45"/>
  <c r="O59" i="45"/>
  <c r="O49" i="45"/>
  <c r="O47" i="45"/>
  <c r="N60" i="45"/>
  <c r="N58" i="45"/>
  <c r="N63" i="45"/>
  <c r="N61" i="45"/>
  <c r="G103" i="45"/>
  <c r="N84" i="45"/>
  <c r="O81" i="45"/>
  <c r="H103" i="45"/>
  <c r="H29" i="45"/>
  <c r="H31" i="45"/>
  <c r="H105" i="45" s="1"/>
  <c r="G108" i="45"/>
  <c r="O158" i="45"/>
  <c r="P155" i="45"/>
  <c r="O157" i="45"/>
  <c r="P154" i="45"/>
  <c r="L39" i="49"/>
  <c r="AT54" i="48"/>
  <c r="AU53" i="48"/>
  <c r="AQ40" i="48"/>
  <c r="AP42" i="48"/>
  <c r="AQ37" i="48"/>
  <c r="AQ35" i="48"/>
  <c r="AQ38" i="48"/>
  <c r="AR36" i="48"/>
  <c r="AR33" i="48"/>
  <c r="AR31" i="48"/>
  <c r="AR34" i="48"/>
  <c r="AP56" i="48"/>
  <c r="AS55" i="48"/>
  <c r="AR17" i="48"/>
  <c r="AS8" i="48"/>
  <c r="AT28" i="48"/>
  <c r="AS32" i="48"/>
  <c r="AS30" i="48"/>
  <c r="AR9" i="48"/>
  <c r="AD18" i="48"/>
  <c r="AC9" i="48"/>
  <c r="AE17" i="48"/>
  <c r="AD8" i="48"/>
  <c r="AQ16" i="48"/>
  <c r="AR7" i="48"/>
  <c r="AE16" i="48"/>
  <c r="AD7" i="48"/>
  <c r="AP14" i="48"/>
  <c r="AO18" i="48"/>
  <c r="BK56" i="15"/>
  <c r="BN9" i="15"/>
  <c r="AI9" i="46" s="1"/>
  <c r="AI18" i="46" s="1"/>
  <c r="AX18" i="15"/>
  <c r="AW9" i="15"/>
  <c r="R9" i="46" s="1"/>
  <c r="R18" i="46" s="1"/>
  <c r="BO8" i="15"/>
  <c r="AJ8" i="46" s="1"/>
  <c r="AJ17" i="46" s="1"/>
  <c r="BK16" i="15"/>
  <c r="BL7" i="15"/>
  <c r="AG7" i="46" s="1"/>
  <c r="AG16" i="46" s="1"/>
  <c r="AY17" i="15"/>
  <c r="AX8" i="15"/>
  <c r="S8" i="46" s="1"/>
  <c r="S17" i="46" s="1"/>
  <c r="BM54" i="15"/>
  <c r="BN53" i="15"/>
  <c r="BK13" i="15"/>
  <c r="BJ17" i="15"/>
  <c r="BJ14" i="15"/>
  <c r="BI18" i="15"/>
  <c r="AZ16" i="15"/>
  <c r="AY7" i="15"/>
  <c r="T7" i="46" s="1"/>
  <c r="T16" i="46" s="1"/>
  <c r="BL55" i="15"/>
  <c r="K31" i="51"/>
  <c r="K76" i="51"/>
  <c r="K28" i="50" s="1"/>
  <c r="N32" i="51"/>
  <c r="J102" i="50"/>
  <c r="O66" i="51"/>
  <c r="O68" i="51" s="1"/>
  <c r="P49" i="51"/>
  <c r="N27" i="50"/>
  <c r="L79" i="50"/>
  <c r="AK191" i="49"/>
  <c r="AF174" i="49"/>
  <c r="AG174" i="49" s="1"/>
  <c r="AH174" i="49" s="1"/>
  <c r="AI174" i="49" s="1"/>
  <c r="AJ174" i="49" s="1"/>
  <c r="AK174" i="49" s="1"/>
  <c r="AL174" i="49" s="1"/>
  <c r="AM174" i="49" s="1"/>
  <c r="M231" i="49"/>
  <c r="W53" i="5"/>
  <c r="AA48" i="5"/>
  <c r="Q231" i="49" s="1"/>
  <c r="AK14" i="5"/>
  <c r="P115" i="49"/>
  <c r="Q106" i="49"/>
  <c r="Q113" i="49" s="1"/>
  <c r="P110" i="49"/>
  <c r="P112" i="49"/>
  <c r="P114" i="49"/>
  <c r="P111" i="49"/>
  <c r="P109" i="49"/>
  <c r="P113" i="49"/>
  <c r="AL137" i="49"/>
  <c r="AL167" i="49"/>
  <c r="AN129" i="49"/>
  <c r="AB53" i="5"/>
  <c r="R231" i="49"/>
  <c r="AF48" i="5"/>
  <c r="V231" i="49" s="1"/>
  <c r="Z53" i="5"/>
  <c r="P231" i="49"/>
  <c r="AU14" i="5"/>
  <c r="AH55" i="49"/>
  <c r="R144" i="5"/>
  <c r="R134" i="5"/>
  <c r="R77" i="5"/>
  <c r="R76" i="5"/>
  <c r="H144" i="5"/>
  <c r="H134" i="5"/>
  <c r="H77" i="5"/>
  <c r="H76" i="5"/>
  <c r="F125" i="5"/>
  <c r="F89" i="5"/>
  <c r="F94" i="5" s="1"/>
  <c r="F100" i="5" s="1"/>
  <c r="AZ205" i="5"/>
  <c r="K144" i="5"/>
  <c r="K134" i="5"/>
  <c r="K77" i="5"/>
  <c r="K76" i="5"/>
  <c r="D59" i="51" s="1"/>
  <c r="D61" i="51" s="1"/>
  <c r="V143" i="5"/>
  <c r="V133" i="5"/>
  <c r="V74" i="5"/>
  <c r="AC134" i="5"/>
  <c r="AC77" i="5"/>
  <c r="AC76" i="5"/>
  <c r="I144" i="5"/>
  <c r="I134" i="5"/>
  <c r="I77" i="5"/>
  <c r="I76" i="5"/>
  <c r="S144" i="5"/>
  <c r="S134" i="5"/>
  <c r="S77" i="5"/>
  <c r="S76" i="5"/>
  <c r="AK197" i="5"/>
  <c r="BJ104" i="5"/>
  <c r="BE107" i="5"/>
  <c r="BE27" i="5"/>
  <c r="M144" i="5"/>
  <c r="M134" i="5"/>
  <c r="M77" i="5"/>
  <c r="M76" i="5"/>
  <c r="L143" i="5"/>
  <c r="L133" i="5"/>
  <c r="L74" i="5"/>
  <c r="G135" i="5"/>
  <c r="G80" i="5"/>
  <c r="Q143" i="5"/>
  <c r="Q133" i="5"/>
  <c r="Q74" i="5"/>
  <c r="AJ147" i="5"/>
  <c r="AK85" i="5"/>
  <c r="T144" i="5"/>
  <c r="T134" i="5"/>
  <c r="T77" i="5"/>
  <c r="T76" i="5"/>
  <c r="J144" i="5"/>
  <c r="J134" i="5"/>
  <c r="J77" i="5"/>
  <c r="J76" i="5"/>
  <c r="D125" i="5"/>
  <c r="D89" i="5"/>
  <c r="D94" i="5" s="1"/>
  <c r="D100" i="5" s="1"/>
  <c r="P143" i="5"/>
  <c r="P133" i="5"/>
  <c r="P74" i="5"/>
  <c r="U144" i="5" s="1"/>
  <c r="AF181" i="5"/>
  <c r="AF187" i="5" s="1"/>
  <c r="AF226" i="5" s="1"/>
  <c r="AF111" i="5" s="1"/>
  <c r="U134" i="5"/>
  <c r="U77" i="5"/>
  <c r="U76" i="5"/>
  <c r="U143" i="5"/>
  <c r="AE133" i="5"/>
  <c r="AE74" i="5"/>
  <c r="N144" i="5"/>
  <c r="N134" i="5"/>
  <c r="N77" i="5"/>
  <c r="N76" i="5"/>
  <c r="AZ118" i="5"/>
  <c r="AZ95" i="5"/>
  <c r="AF141" i="5"/>
  <c r="AF131" i="5"/>
  <c r="O144" i="5"/>
  <c r="O134" i="5"/>
  <c r="O77" i="5"/>
  <c r="O76" i="5"/>
  <c r="E125" i="5"/>
  <c r="E89" i="5"/>
  <c r="E94" i="5" s="1"/>
  <c r="E100" i="5" s="1"/>
  <c r="H41" i="52"/>
  <c r="I5" i="52"/>
  <c r="L60" i="51" l="1"/>
  <c r="L69" i="51" s="1"/>
  <c r="L76" i="51" s="1"/>
  <c r="L28" i="50" s="1"/>
  <c r="M50" i="51"/>
  <c r="M56" i="51" s="1"/>
  <c r="M61" i="51" s="1"/>
  <c r="Y144" i="5"/>
  <c r="G123" i="5"/>
  <c r="D45" i="50" s="1"/>
  <c r="C125" i="5"/>
  <c r="AC144" i="5"/>
  <c r="X76" i="5"/>
  <c r="X134" i="5"/>
  <c r="X144" i="5"/>
  <c r="Y134" i="5"/>
  <c r="Y76" i="5"/>
  <c r="M54" i="51"/>
  <c r="AG135" i="5"/>
  <c r="AZ198" i="5"/>
  <c r="BO28" i="15"/>
  <c r="BN30" i="15"/>
  <c r="BN29" i="15"/>
  <c r="BN33" i="15" s="1"/>
  <c r="BN37" i="15" s="1"/>
  <c r="BN41" i="15" s="1"/>
  <c r="BN27" i="15"/>
  <c r="BN31" i="15" s="1"/>
  <c r="BN35" i="15" s="1"/>
  <c r="BN39" i="15" s="1"/>
  <c r="AD76" i="5"/>
  <c r="AD77" i="5"/>
  <c r="AD123" i="5" s="1"/>
  <c r="AD144" i="5"/>
  <c r="AR87" i="48"/>
  <c r="BL87" i="15"/>
  <c r="X48" i="30"/>
  <c r="M195" i="45"/>
  <c r="AG82" i="46"/>
  <c r="N73" i="51"/>
  <c r="N9" i="51" s="1"/>
  <c r="L36" i="49"/>
  <c r="O40" i="34"/>
  <c r="F90" i="45"/>
  <c r="L37" i="49" s="1"/>
  <c r="L40" i="49"/>
  <c r="F95" i="45"/>
  <c r="L41" i="49" s="1"/>
  <c r="G87" i="45"/>
  <c r="G92" i="45" s="1"/>
  <c r="E9" i="54"/>
  <c r="D8" i="54"/>
  <c r="AG25" i="54"/>
  <c r="AH16" i="54"/>
  <c r="Q9" i="54"/>
  <c r="R8" i="54"/>
  <c r="AF34" i="54"/>
  <c r="AG63" i="54"/>
  <c r="AG41" i="54"/>
  <c r="AH6" i="54"/>
  <c r="J41" i="47"/>
  <c r="K32" i="47"/>
  <c r="L29" i="47"/>
  <c r="I51" i="47"/>
  <c r="AG83" i="49" s="1"/>
  <c r="J38" i="47"/>
  <c r="J56" i="47"/>
  <c r="I59" i="47"/>
  <c r="I62" i="47" s="1"/>
  <c r="S19" i="47"/>
  <c r="S69" i="47" s="1"/>
  <c r="R8" i="47"/>
  <c r="R18" i="47" s="1"/>
  <c r="S9" i="47"/>
  <c r="R42" i="47"/>
  <c r="Q31" i="34"/>
  <c r="Q34" i="34"/>
  <c r="P38" i="34"/>
  <c r="Q36" i="34"/>
  <c r="P24" i="34"/>
  <c r="Q22" i="34"/>
  <c r="R32" i="34"/>
  <c r="R19" i="34"/>
  <c r="S17" i="34"/>
  <c r="O65" i="34"/>
  <c r="O45" i="34"/>
  <c r="P6" i="34"/>
  <c r="AG21" i="30"/>
  <c r="AG23" i="30" s="1"/>
  <c r="AG14" i="30"/>
  <c r="AC20" i="30"/>
  <c r="AD11" i="30"/>
  <c r="J9" i="30"/>
  <c r="K8" i="30"/>
  <c r="Z16" i="30"/>
  <c r="Y25" i="30"/>
  <c r="Q155" i="45"/>
  <c r="P158" i="45"/>
  <c r="O63" i="45"/>
  <c r="O60" i="45"/>
  <c r="O58" i="45"/>
  <c r="O61" i="45"/>
  <c r="I35" i="45"/>
  <c r="I109" i="45" s="1"/>
  <c r="K11" i="45"/>
  <c r="K15" i="45" s="1"/>
  <c r="K9" i="45"/>
  <c r="K14" i="45" s="1"/>
  <c r="L7" i="45"/>
  <c r="J25" i="45"/>
  <c r="J24" i="45"/>
  <c r="J23" i="45"/>
  <c r="P83" i="45"/>
  <c r="Q80" i="45"/>
  <c r="E174" i="45"/>
  <c r="E142" i="45"/>
  <c r="E145" i="45" s="1"/>
  <c r="P59" i="45"/>
  <c r="P49" i="45"/>
  <c r="P47" i="45"/>
  <c r="Q55" i="45"/>
  <c r="Q45" i="45"/>
  <c r="Q42" i="45"/>
  <c r="Q46" i="45" s="1"/>
  <c r="Q40" i="45"/>
  <c r="Q44" i="45" s="1"/>
  <c r="R41" i="45"/>
  <c r="Q43" i="45"/>
  <c r="I30" i="45"/>
  <c r="I104" i="45" s="1"/>
  <c r="H68" i="45"/>
  <c r="P123" i="45"/>
  <c r="P125" i="45" s="1"/>
  <c r="P121" i="45"/>
  <c r="Q154" i="45"/>
  <c r="P157" i="45"/>
  <c r="H67" i="45"/>
  <c r="H73" i="45" s="1"/>
  <c r="H87" i="45" s="1"/>
  <c r="P81" i="45"/>
  <c r="O84" i="45"/>
  <c r="N64" i="45"/>
  <c r="N62" i="45"/>
  <c r="N65" i="45"/>
  <c r="O50" i="45"/>
  <c r="O48" i="45"/>
  <c r="O51" i="45"/>
  <c r="I34" i="45"/>
  <c r="I36" i="45"/>
  <c r="I110" i="45" s="1"/>
  <c r="J20" i="45"/>
  <c r="J19" i="45"/>
  <c r="J18" i="45"/>
  <c r="G74" i="45"/>
  <c r="H71" i="45" s="1"/>
  <c r="P56" i="45"/>
  <c r="P54" i="45"/>
  <c r="P57" i="45"/>
  <c r="I29" i="45"/>
  <c r="I31" i="45"/>
  <c r="I105" i="45" s="1"/>
  <c r="H108" i="45"/>
  <c r="Q119" i="45"/>
  <c r="R115" i="45"/>
  <c r="Q117" i="45"/>
  <c r="AD16" i="48"/>
  <c r="AC7" i="48"/>
  <c r="AR16" i="48"/>
  <c r="AS7" i="48"/>
  <c r="AD17" i="48"/>
  <c r="AC8" i="48"/>
  <c r="AC18" i="48"/>
  <c r="AB9" i="48"/>
  <c r="AS9" i="48"/>
  <c r="AT32" i="48"/>
  <c r="AU28" i="48"/>
  <c r="AT30" i="48"/>
  <c r="AQ56" i="48"/>
  <c r="AR40" i="48"/>
  <c r="AQ42" i="48"/>
  <c r="AT55" i="48"/>
  <c r="AQ14" i="48"/>
  <c r="AP18" i="48"/>
  <c r="AS33" i="48"/>
  <c r="AS31" i="48"/>
  <c r="AS36" i="48"/>
  <c r="AS34" i="48"/>
  <c r="AS17" i="48"/>
  <c r="AT8" i="48"/>
  <c r="AR37" i="48"/>
  <c r="AR35" i="48"/>
  <c r="AR38" i="48"/>
  <c r="AU54" i="48"/>
  <c r="AV53" i="48"/>
  <c r="AY16" i="15"/>
  <c r="AX7" i="15"/>
  <c r="S7" i="46" s="1"/>
  <c r="S16" i="46" s="1"/>
  <c r="BN54" i="15"/>
  <c r="BO53" i="15"/>
  <c r="BM55" i="15"/>
  <c r="AX17" i="15"/>
  <c r="AW8" i="15"/>
  <c r="R8" i="46" s="1"/>
  <c r="R17" i="46" s="1"/>
  <c r="BL16" i="15"/>
  <c r="BM7" i="15"/>
  <c r="AH7" i="46" s="1"/>
  <c r="AH16" i="46" s="1"/>
  <c r="BP8" i="15"/>
  <c r="AK8" i="46" s="1"/>
  <c r="AK17" i="46" s="1"/>
  <c r="AW18" i="15"/>
  <c r="AV9" i="15"/>
  <c r="Q9" i="46" s="1"/>
  <c r="Q18" i="46" s="1"/>
  <c r="BO9" i="15"/>
  <c r="AJ9" i="46" s="1"/>
  <c r="AJ18" i="46" s="1"/>
  <c r="BL56" i="15"/>
  <c r="BK14" i="15"/>
  <c r="BJ18" i="15"/>
  <c r="BL13" i="15"/>
  <c r="BK17" i="15"/>
  <c r="P66" i="51"/>
  <c r="P68" i="51" s="1"/>
  <c r="Q49" i="51"/>
  <c r="O32" i="51"/>
  <c r="L31" i="51"/>
  <c r="K102" i="50"/>
  <c r="M79" i="50"/>
  <c r="O27" i="50"/>
  <c r="AI55" i="49"/>
  <c r="AZ14" i="5"/>
  <c r="AB132" i="5"/>
  <c r="AG142" i="5"/>
  <c r="AB69" i="5"/>
  <c r="AF53" i="5"/>
  <c r="AB142" i="5"/>
  <c r="AO129" i="49"/>
  <c r="AM137" i="49"/>
  <c r="AL191" i="49"/>
  <c r="AE142" i="5"/>
  <c r="Z142" i="5"/>
  <c r="Z132" i="5"/>
  <c r="Z69" i="5"/>
  <c r="AM167" i="49"/>
  <c r="Q115" i="49"/>
  <c r="Q114" i="49"/>
  <c r="Q110" i="49"/>
  <c r="Q111" i="49"/>
  <c r="Q112" i="49"/>
  <c r="Q109" i="49"/>
  <c r="W69" i="5"/>
  <c r="W142" i="5"/>
  <c r="AA53" i="5"/>
  <c r="H43" i="50" s="1"/>
  <c r="W132" i="5"/>
  <c r="O145" i="5"/>
  <c r="O135" i="5"/>
  <c r="O123" i="5"/>
  <c r="O80" i="5"/>
  <c r="U135" i="5"/>
  <c r="U123" i="5"/>
  <c r="U80" i="5"/>
  <c r="AK147" i="5"/>
  <c r="AP85" i="5"/>
  <c r="L231" i="5"/>
  <c r="L144" i="5"/>
  <c r="L134" i="5"/>
  <c r="L77" i="5"/>
  <c r="L76" i="5"/>
  <c r="E59" i="51" s="1"/>
  <c r="E61" i="51" s="1"/>
  <c r="M145" i="5"/>
  <c r="M135" i="5"/>
  <c r="M123" i="5"/>
  <c r="M80" i="5"/>
  <c r="BE118" i="5"/>
  <c r="BE95" i="5"/>
  <c r="AK200" i="5"/>
  <c r="AP195" i="5"/>
  <c r="K145" i="5"/>
  <c r="K135" i="5"/>
  <c r="K123" i="5"/>
  <c r="K80" i="5"/>
  <c r="K146" i="5" s="1"/>
  <c r="Y145" i="5"/>
  <c r="Y135" i="5"/>
  <c r="Y123" i="5"/>
  <c r="Y80" i="5"/>
  <c r="N145" i="5"/>
  <c r="N135" i="5"/>
  <c r="N123" i="5"/>
  <c r="N80" i="5"/>
  <c r="AE134" i="5"/>
  <c r="AE76" i="5"/>
  <c r="AE77" i="5"/>
  <c r="AK179" i="5"/>
  <c r="AF184" i="5"/>
  <c r="AF225" i="5" s="1"/>
  <c r="P144" i="5"/>
  <c r="P134" i="5"/>
  <c r="P77" i="5"/>
  <c r="P76" i="5"/>
  <c r="J145" i="5"/>
  <c r="J135" i="5"/>
  <c r="J123" i="5"/>
  <c r="J80" i="5"/>
  <c r="J146" i="5" s="1"/>
  <c r="T145" i="5"/>
  <c r="T135" i="5"/>
  <c r="T123" i="5"/>
  <c r="T80" i="5"/>
  <c r="Q231" i="5"/>
  <c r="Q144" i="5"/>
  <c r="Q134" i="5"/>
  <c r="Q77" i="5"/>
  <c r="Q76" i="5"/>
  <c r="F59" i="51" s="1"/>
  <c r="F61" i="51" s="1"/>
  <c r="BO104" i="5"/>
  <c r="BJ107" i="5"/>
  <c r="BJ27" i="5"/>
  <c r="AK203" i="5"/>
  <c r="S145" i="5"/>
  <c r="S135" i="5"/>
  <c r="S123" i="5"/>
  <c r="S80" i="5"/>
  <c r="I145" i="5"/>
  <c r="I135" i="5"/>
  <c r="I123" i="5"/>
  <c r="I80" i="5"/>
  <c r="I146" i="5" s="1"/>
  <c r="AC145" i="5"/>
  <c r="AC135" i="5"/>
  <c r="AC123" i="5"/>
  <c r="AC80" i="5"/>
  <c r="V231" i="5"/>
  <c r="V144" i="5"/>
  <c r="V134" i="5"/>
  <c r="V77" i="5"/>
  <c r="V76" i="5"/>
  <c r="H145" i="5"/>
  <c r="H135" i="5"/>
  <c r="H123" i="5"/>
  <c r="H80" i="5"/>
  <c r="H146" i="5" s="1"/>
  <c r="R145" i="5"/>
  <c r="R135" i="5"/>
  <c r="R123" i="5"/>
  <c r="R81" i="5"/>
  <c r="R80" i="5"/>
  <c r="X145" i="5"/>
  <c r="X135" i="5"/>
  <c r="X123" i="5"/>
  <c r="X80" i="5"/>
  <c r="I41" i="52"/>
  <c r="M51" i="51" l="1"/>
  <c r="M60" i="51"/>
  <c r="M69" i="51" s="1"/>
  <c r="M31" i="51" s="1"/>
  <c r="M62" i="51"/>
  <c r="N50" i="51" s="1"/>
  <c r="N51" i="51" s="1"/>
  <c r="AL85" i="5"/>
  <c r="AQ147" i="5" s="1"/>
  <c r="C27" i="52"/>
  <c r="G89" i="5"/>
  <c r="G94" i="5" s="1"/>
  <c r="G100" i="5" s="1"/>
  <c r="G125" i="5"/>
  <c r="AM85" i="5"/>
  <c r="AD135" i="5"/>
  <c r="AD80" i="5"/>
  <c r="AD145" i="5"/>
  <c r="AJ23" i="46"/>
  <c r="AJ30" i="46" s="1"/>
  <c r="BO30" i="15"/>
  <c r="BO29" i="15"/>
  <c r="BO33" i="15" s="1"/>
  <c r="BO37" i="15" s="1"/>
  <c r="BO41" i="15" s="1"/>
  <c r="BO27" i="15"/>
  <c r="BO31" i="15" s="1"/>
  <c r="BO35" i="15" s="1"/>
  <c r="BO39" i="15" s="1"/>
  <c r="BP28" i="15"/>
  <c r="AK22" i="46"/>
  <c r="AK29" i="46" s="1"/>
  <c r="R146" i="5"/>
  <c r="I43" i="50"/>
  <c r="I65" i="50" s="1"/>
  <c r="X146" i="5"/>
  <c r="AS87" i="48"/>
  <c r="BM87" i="15"/>
  <c r="Y48" i="30"/>
  <c r="AH82" i="46"/>
  <c r="N195" i="45"/>
  <c r="T146" i="5"/>
  <c r="O73" i="51"/>
  <c r="O9" i="51" s="1"/>
  <c r="S146" i="5"/>
  <c r="Q35" i="49"/>
  <c r="L43" i="49"/>
  <c r="L136" i="49" s="1"/>
  <c r="G88" i="45"/>
  <c r="G90" i="45" s="1"/>
  <c r="F97" i="45"/>
  <c r="F174" i="45" s="1"/>
  <c r="F175" i="45" s="1"/>
  <c r="H65" i="50"/>
  <c r="H67" i="50"/>
  <c r="BE83" i="15"/>
  <c r="G59" i="51"/>
  <c r="G61" i="51" s="1"/>
  <c r="AH63" i="54"/>
  <c r="AH41" i="54"/>
  <c r="AI6" i="54"/>
  <c r="R9" i="54"/>
  <c r="S8" i="54"/>
  <c r="AI16" i="54"/>
  <c r="AG34" i="54"/>
  <c r="AH25" i="54"/>
  <c r="D9" i="54"/>
  <c r="C8" i="54"/>
  <c r="C9" i="54" s="1"/>
  <c r="I68" i="47"/>
  <c r="K38" i="47"/>
  <c r="J44" i="47"/>
  <c r="J51" i="47" s="1"/>
  <c r="AH83" i="49" s="1"/>
  <c r="M29" i="47"/>
  <c r="L32" i="47"/>
  <c r="T9" i="47"/>
  <c r="T19" i="47"/>
  <c r="T69" i="47" s="1"/>
  <c r="S8" i="47"/>
  <c r="S18" i="47" s="1"/>
  <c r="S42" i="47"/>
  <c r="J59" i="47"/>
  <c r="K56" i="47"/>
  <c r="K35" i="47"/>
  <c r="Q24" i="34"/>
  <c r="R22" i="34"/>
  <c r="Q38" i="34"/>
  <c r="R36" i="34"/>
  <c r="P45" i="34"/>
  <c r="P65" i="34"/>
  <c r="Q6" i="34"/>
  <c r="S32" i="34"/>
  <c r="S19" i="34"/>
  <c r="R31" i="34"/>
  <c r="R34" i="34"/>
  <c r="P40" i="34"/>
  <c r="Z25" i="30"/>
  <c r="AA16" i="30"/>
  <c r="K9" i="30"/>
  <c r="L8" i="30"/>
  <c r="AD20" i="30"/>
  <c r="AE11" i="30"/>
  <c r="H92" i="45"/>
  <c r="V35" i="49"/>
  <c r="Q123" i="45"/>
  <c r="Q125" i="45" s="1"/>
  <c r="Q121" i="45"/>
  <c r="I67" i="45"/>
  <c r="J30" i="45"/>
  <c r="J104" i="45" s="1"/>
  <c r="I68" i="45"/>
  <c r="Q157" i="45"/>
  <c r="R154" i="45"/>
  <c r="Q59" i="45"/>
  <c r="Q49" i="45"/>
  <c r="Q47" i="45"/>
  <c r="P60" i="45"/>
  <c r="P58" i="45"/>
  <c r="P63" i="45"/>
  <c r="P61" i="45"/>
  <c r="R80" i="45"/>
  <c r="Q83" i="45"/>
  <c r="J34" i="45"/>
  <c r="J108" i="45" s="1"/>
  <c r="J36" i="45"/>
  <c r="J110" i="45" s="1"/>
  <c r="K20" i="45"/>
  <c r="K19" i="45"/>
  <c r="K18" i="45"/>
  <c r="I70" i="45"/>
  <c r="R119" i="45"/>
  <c r="S115" i="45"/>
  <c r="R117" i="45"/>
  <c r="I103" i="45"/>
  <c r="J29" i="45"/>
  <c r="J31" i="45"/>
  <c r="J105" i="45" s="1"/>
  <c r="I108" i="45"/>
  <c r="P84" i="45"/>
  <c r="Q81" i="45"/>
  <c r="H74" i="45"/>
  <c r="H88" i="45" s="1"/>
  <c r="S41" i="45"/>
  <c r="R55" i="45"/>
  <c r="R45" i="45"/>
  <c r="R42" i="45"/>
  <c r="R46" i="45" s="1"/>
  <c r="R40" i="45"/>
  <c r="R44" i="45" s="1"/>
  <c r="R43" i="45"/>
  <c r="Q56" i="45"/>
  <c r="Q54" i="45"/>
  <c r="Q57" i="45"/>
  <c r="P50" i="45"/>
  <c r="P48" i="45"/>
  <c r="P51" i="45"/>
  <c r="Q39" i="49"/>
  <c r="J109" i="45"/>
  <c r="J35" i="45"/>
  <c r="L11" i="45"/>
  <c r="L15" i="45" s="1"/>
  <c r="L9" i="45"/>
  <c r="L14" i="45" s="1"/>
  <c r="M7" i="45"/>
  <c r="K25" i="45"/>
  <c r="K24" i="45"/>
  <c r="K23" i="45"/>
  <c r="O64" i="45"/>
  <c r="O62" i="45"/>
  <c r="O65" i="45"/>
  <c r="Q158" i="45"/>
  <c r="R155" i="45"/>
  <c r="AV54" i="48"/>
  <c r="AW53" i="48"/>
  <c r="AS37" i="48"/>
  <c r="AS35" i="48"/>
  <c r="AS38" i="48"/>
  <c r="AR14" i="48"/>
  <c r="AQ18" i="48"/>
  <c r="AS40" i="48"/>
  <c r="AR42" i="48"/>
  <c r="AR56" i="48"/>
  <c r="AT36" i="48"/>
  <c r="AT33" i="48"/>
  <c r="AT31" i="48"/>
  <c r="AT34" i="48"/>
  <c r="AT9" i="48"/>
  <c r="AB18" i="48"/>
  <c r="AA9" i="48"/>
  <c r="AC17" i="48"/>
  <c r="AB8" i="48"/>
  <c r="AS16" i="48"/>
  <c r="AT7" i="48"/>
  <c r="AC16" i="48"/>
  <c r="AB7" i="48"/>
  <c r="AU55" i="48"/>
  <c r="AT17" i="48"/>
  <c r="AU8" i="48"/>
  <c r="AV28" i="48"/>
  <c r="AU32" i="48"/>
  <c r="AU30" i="48"/>
  <c r="BM56" i="15"/>
  <c r="BP9" i="15"/>
  <c r="AK9" i="46" s="1"/>
  <c r="AK18" i="46" s="1"/>
  <c r="AK23" i="46" s="1"/>
  <c r="AK30" i="46" s="1"/>
  <c r="AV18" i="15"/>
  <c r="AU9" i="15"/>
  <c r="P9" i="46" s="1"/>
  <c r="P18" i="46" s="1"/>
  <c r="AI23" i="46" s="1"/>
  <c r="AI30" i="46" s="1"/>
  <c r="BQ8" i="15"/>
  <c r="AL8" i="46" s="1"/>
  <c r="AL17" i="46" s="1"/>
  <c r="AL22" i="46" s="1"/>
  <c r="AL29" i="46" s="1"/>
  <c r="BM16" i="15"/>
  <c r="BN7" i="15"/>
  <c r="AI7" i="46" s="1"/>
  <c r="AI16" i="46" s="1"/>
  <c r="AW17" i="15"/>
  <c r="AV8" i="15"/>
  <c r="Q8" i="46" s="1"/>
  <c r="Q17" i="46" s="1"/>
  <c r="AJ22" i="46" s="1"/>
  <c r="AJ29" i="46" s="1"/>
  <c r="BO54" i="15"/>
  <c r="BP53" i="15"/>
  <c r="AX16" i="15"/>
  <c r="AW7" i="15"/>
  <c r="R7" i="46" s="1"/>
  <c r="R16" i="46" s="1"/>
  <c r="BM13" i="15"/>
  <c r="BL17" i="15"/>
  <c r="BL14" i="15"/>
  <c r="BK18" i="15"/>
  <c r="BN55" i="15"/>
  <c r="L102" i="50"/>
  <c r="Q66" i="51"/>
  <c r="Q68" i="51" s="1"/>
  <c r="R49" i="51"/>
  <c r="P32" i="51"/>
  <c r="P27" i="50"/>
  <c r="N79" i="50"/>
  <c r="AN167" i="49"/>
  <c r="AP129" i="49"/>
  <c r="AB143" i="5"/>
  <c r="AB74" i="5"/>
  <c r="AG143" i="5"/>
  <c r="AB133" i="5"/>
  <c r="AJ55" i="49"/>
  <c r="BE14" i="5"/>
  <c r="AA69" i="5"/>
  <c r="AA142" i="5"/>
  <c r="AA132" i="5"/>
  <c r="W143" i="5"/>
  <c r="W74" i="5"/>
  <c r="W133" i="5"/>
  <c r="Z133" i="5"/>
  <c r="Z143" i="5"/>
  <c r="Z74" i="5"/>
  <c r="AE143" i="5"/>
  <c r="AM191" i="49"/>
  <c r="AN137" i="49"/>
  <c r="AF132" i="5"/>
  <c r="AF142" i="5"/>
  <c r="AF69" i="5"/>
  <c r="R125" i="5"/>
  <c r="R89" i="5"/>
  <c r="R94" i="5" s="1"/>
  <c r="R100" i="5" s="1"/>
  <c r="H125" i="5"/>
  <c r="H89" i="5"/>
  <c r="H94" i="5" s="1"/>
  <c r="H100" i="5" s="1"/>
  <c r="AC125" i="5"/>
  <c r="AC89" i="5"/>
  <c r="AC94" i="5" s="1"/>
  <c r="AC100" i="5" s="1"/>
  <c r="I125" i="5"/>
  <c r="I89" i="5"/>
  <c r="I94" i="5" s="1"/>
  <c r="I100" i="5" s="1"/>
  <c r="S125" i="5"/>
  <c r="S89" i="5"/>
  <c r="S94" i="5" s="1"/>
  <c r="S100" i="5" s="1"/>
  <c r="BT104" i="5"/>
  <c r="BO107" i="5"/>
  <c r="BO27" i="5"/>
  <c r="Q145" i="5"/>
  <c r="Q135" i="5"/>
  <c r="Q80" i="5"/>
  <c r="N125" i="5"/>
  <c r="N89" i="5"/>
  <c r="N94" i="5" s="1"/>
  <c r="N100" i="5" s="1"/>
  <c r="Y125" i="5"/>
  <c r="Y89" i="5"/>
  <c r="Y94" i="5" s="1"/>
  <c r="Y100" i="5" s="1"/>
  <c r="M125" i="5"/>
  <c r="M89" i="5"/>
  <c r="M94" i="5" s="1"/>
  <c r="M100" i="5" s="1"/>
  <c r="L145" i="5"/>
  <c r="L135" i="5"/>
  <c r="L80" i="5"/>
  <c r="L146" i="5" s="1"/>
  <c r="AP147" i="5"/>
  <c r="AU85" i="5"/>
  <c r="O146" i="5"/>
  <c r="X125" i="5"/>
  <c r="X89" i="5"/>
  <c r="X94" i="5" s="1"/>
  <c r="X100" i="5" s="1"/>
  <c r="V145" i="5"/>
  <c r="V135" i="5"/>
  <c r="V80" i="5"/>
  <c r="AC146" i="5"/>
  <c r="BJ118" i="5"/>
  <c r="BJ95" i="5"/>
  <c r="T125" i="5"/>
  <c r="T89" i="5"/>
  <c r="T94" i="5" s="1"/>
  <c r="T100" i="5" s="1"/>
  <c r="J125" i="5"/>
  <c r="J89" i="5"/>
  <c r="J94" i="5" s="1"/>
  <c r="J100" i="5" s="1"/>
  <c r="P145" i="5"/>
  <c r="P135" i="5"/>
  <c r="P123" i="5"/>
  <c r="P80" i="5"/>
  <c r="P146" i="5" s="1"/>
  <c r="AK181" i="5"/>
  <c r="AK187" i="5" s="1"/>
  <c r="AK226" i="5" s="1"/>
  <c r="AE135" i="5"/>
  <c r="AE123" i="5"/>
  <c r="AE80" i="5"/>
  <c r="N146" i="5"/>
  <c r="Y146" i="5"/>
  <c r="AD125" i="5"/>
  <c r="AD89" i="5"/>
  <c r="AD94" i="5" s="1"/>
  <c r="AD100" i="5" s="1"/>
  <c r="L123" i="5"/>
  <c r="E45" i="50" s="1"/>
  <c r="K125" i="5"/>
  <c r="K89" i="5"/>
  <c r="K94" i="5" s="1"/>
  <c r="K100" i="5" s="1"/>
  <c r="AP197" i="5"/>
  <c r="AP203" i="5" s="1"/>
  <c r="M146" i="5"/>
  <c r="V123" i="5"/>
  <c r="G45" i="50" s="1"/>
  <c r="U125" i="5"/>
  <c r="U89" i="5"/>
  <c r="U94" i="5" s="1"/>
  <c r="U100" i="5" s="1"/>
  <c r="U145" i="5"/>
  <c r="O125" i="5"/>
  <c r="O89" i="5"/>
  <c r="O94" i="5" s="1"/>
  <c r="O100" i="5" s="1"/>
  <c r="M76" i="51" l="1"/>
  <c r="M28" i="50" s="1"/>
  <c r="N56" i="51"/>
  <c r="N61" i="51" s="1"/>
  <c r="N54" i="51"/>
  <c r="N62" i="51"/>
  <c r="AL147" i="5"/>
  <c r="AN85" i="5"/>
  <c r="AR147" i="5"/>
  <c r="AM147" i="5"/>
  <c r="AD146" i="5"/>
  <c r="BP27" i="15"/>
  <c r="BP31" i="15" s="1"/>
  <c r="BP35" i="15" s="1"/>
  <c r="BP39" i="15" s="1"/>
  <c r="BQ28" i="15"/>
  <c r="BP29" i="15"/>
  <c r="BP33" i="15" s="1"/>
  <c r="BP37" i="15" s="1"/>
  <c r="BP41" i="15" s="1"/>
  <c r="BP30" i="15"/>
  <c r="I67" i="50"/>
  <c r="P73" i="51"/>
  <c r="P9" i="51" s="1"/>
  <c r="V146" i="5"/>
  <c r="G93" i="45"/>
  <c r="Q40" i="49" s="1"/>
  <c r="Q36" i="49"/>
  <c r="F184" i="45"/>
  <c r="F188" i="45" s="1"/>
  <c r="F189" i="45" s="1"/>
  <c r="I71" i="45"/>
  <c r="I74" i="45" s="1"/>
  <c r="I88" i="45" s="1"/>
  <c r="F99" i="45"/>
  <c r="F142" i="45" s="1"/>
  <c r="F145" i="45" s="1"/>
  <c r="J62" i="47"/>
  <c r="J68" i="47" s="1"/>
  <c r="Q40" i="34"/>
  <c r="AK83" i="48"/>
  <c r="Z78" i="46"/>
  <c r="F191" i="45"/>
  <c r="AI25" i="54"/>
  <c r="AH34" i="54"/>
  <c r="AI63" i="54"/>
  <c r="AI41" i="54"/>
  <c r="AJ6" i="54"/>
  <c r="AJ16" i="54"/>
  <c r="S9" i="54"/>
  <c r="T8" i="54"/>
  <c r="K41" i="47"/>
  <c r="L38" i="47" s="1"/>
  <c r="M32" i="47"/>
  <c r="N29" i="47"/>
  <c r="K44" i="47"/>
  <c r="L56" i="47"/>
  <c r="K59" i="47"/>
  <c r="T8" i="47"/>
  <c r="T18" i="47" s="1"/>
  <c r="T42" i="47"/>
  <c r="I78" i="47"/>
  <c r="J65" i="47"/>
  <c r="S31" i="34"/>
  <c r="S34" i="34"/>
  <c r="R38" i="34"/>
  <c r="S36" i="34"/>
  <c r="R24" i="34"/>
  <c r="S22" i="34"/>
  <c r="S24" i="34" s="1"/>
  <c r="Q65" i="34"/>
  <c r="Q45" i="34"/>
  <c r="R6" i="34"/>
  <c r="AE20" i="30"/>
  <c r="AF11" i="30"/>
  <c r="L9" i="30"/>
  <c r="M8" i="30"/>
  <c r="AB16" i="30"/>
  <c r="AA25" i="30"/>
  <c r="S155" i="45"/>
  <c r="R158" i="45"/>
  <c r="K109" i="45"/>
  <c r="K35" i="45"/>
  <c r="M11" i="45"/>
  <c r="M15" i="45" s="1"/>
  <c r="M9" i="45"/>
  <c r="M14" i="45" s="1"/>
  <c r="N7" i="45"/>
  <c r="L25" i="45"/>
  <c r="L24" i="45"/>
  <c r="L23" i="45"/>
  <c r="R59" i="45"/>
  <c r="R49" i="45"/>
  <c r="R47" i="45"/>
  <c r="S55" i="45"/>
  <c r="S45" i="45"/>
  <c r="S42" i="45"/>
  <c r="S46" i="45" s="1"/>
  <c r="S40" i="45"/>
  <c r="S44" i="45" s="1"/>
  <c r="T41" i="45"/>
  <c r="S43" i="45"/>
  <c r="H93" i="45"/>
  <c r="V40" i="49" s="1"/>
  <c r="V36" i="49"/>
  <c r="J67" i="45"/>
  <c r="R123" i="45"/>
  <c r="R125" i="45" s="1"/>
  <c r="R121" i="45"/>
  <c r="K29" i="45"/>
  <c r="K31" i="45"/>
  <c r="K105" i="45" s="1"/>
  <c r="R83" i="45"/>
  <c r="S80" i="45"/>
  <c r="Q63" i="45"/>
  <c r="Q60" i="45"/>
  <c r="Q58" i="45"/>
  <c r="Q61" i="45"/>
  <c r="I73" i="45"/>
  <c r="I87" i="45" s="1"/>
  <c r="H90" i="45"/>
  <c r="K34" i="45"/>
  <c r="K36" i="45"/>
  <c r="K110" i="45" s="1"/>
  <c r="L20" i="45"/>
  <c r="L19" i="45"/>
  <c r="L18" i="45"/>
  <c r="R56" i="45"/>
  <c r="R54" i="45"/>
  <c r="R57" i="45"/>
  <c r="R81" i="45"/>
  <c r="Q84" i="45"/>
  <c r="J103" i="45"/>
  <c r="J141" i="45" s="1"/>
  <c r="J147" i="45" s="1"/>
  <c r="K144" i="45" s="1"/>
  <c r="S119" i="45"/>
  <c r="T115" i="45"/>
  <c r="S117" i="45"/>
  <c r="K30" i="45"/>
  <c r="K104" i="45" s="1"/>
  <c r="J68" i="45"/>
  <c r="Q37" i="49"/>
  <c r="P64" i="45"/>
  <c r="P62" i="45"/>
  <c r="P65" i="45"/>
  <c r="Q50" i="45"/>
  <c r="Q48" i="45"/>
  <c r="Q51" i="45"/>
  <c r="S154" i="45"/>
  <c r="R157" i="45"/>
  <c r="V39" i="49"/>
  <c r="AV32" i="48"/>
  <c r="AW28" i="48"/>
  <c r="AV30" i="48"/>
  <c r="AU17" i="48"/>
  <c r="AV8" i="48"/>
  <c r="AB16" i="48"/>
  <c r="AA7" i="48"/>
  <c r="AT16" i="48"/>
  <c r="AU7" i="48"/>
  <c r="AB17" i="48"/>
  <c r="AA8" i="48"/>
  <c r="AA18" i="48"/>
  <c r="Z9" i="48"/>
  <c r="AU9" i="48"/>
  <c r="AT40" i="48"/>
  <c r="AS42" i="48"/>
  <c r="AV55" i="48"/>
  <c r="AU33" i="48"/>
  <c r="AU31" i="48"/>
  <c r="AU36" i="48"/>
  <c r="AU34" i="48"/>
  <c r="AT37" i="48"/>
  <c r="AT35" i="48"/>
  <c r="AT38" i="48"/>
  <c r="AS56" i="48"/>
  <c r="AS14" i="48"/>
  <c r="AR18" i="48"/>
  <c r="AW54" i="48"/>
  <c r="AX53" i="48"/>
  <c r="AW16" i="15"/>
  <c r="AV7" i="15"/>
  <c r="Q7" i="46" s="1"/>
  <c r="Q16" i="46" s="1"/>
  <c r="BP54" i="15"/>
  <c r="BQ53" i="15"/>
  <c r="BO55" i="15"/>
  <c r="AV17" i="15"/>
  <c r="AU8" i="15"/>
  <c r="P8" i="46" s="1"/>
  <c r="P17" i="46" s="1"/>
  <c r="AI22" i="46" s="1"/>
  <c r="AI29" i="46" s="1"/>
  <c r="BN16" i="15"/>
  <c r="BO7" i="15"/>
  <c r="AJ7" i="46" s="1"/>
  <c r="AJ16" i="46" s="1"/>
  <c r="BR8" i="15"/>
  <c r="AM8" i="46" s="1"/>
  <c r="AM17" i="46" s="1"/>
  <c r="AM22" i="46" s="1"/>
  <c r="AM29" i="46" s="1"/>
  <c r="AU18" i="15"/>
  <c r="AT9" i="15"/>
  <c r="O9" i="46" s="1"/>
  <c r="O18" i="46" s="1"/>
  <c r="AH23" i="46" s="1"/>
  <c r="AH30" i="46" s="1"/>
  <c r="BQ9" i="15"/>
  <c r="AL9" i="46" s="1"/>
  <c r="AL18" i="46" s="1"/>
  <c r="AL23" i="46" s="1"/>
  <c r="AL30" i="46" s="1"/>
  <c r="BM14" i="15"/>
  <c r="BL18" i="15"/>
  <c r="BN13" i="15"/>
  <c r="BM17" i="15"/>
  <c r="BN56" i="15"/>
  <c r="R66" i="51"/>
  <c r="R68" i="51" s="1"/>
  <c r="S49" i="51"/>
  <c r="Q32" i="51"/>
  <c r="M102" i="50"/>
  <c r="O79" i="50"/>
  <c r="Q27" i="50"/>
  <c r="Z144" i="5"/>
  <c r="Z77" i="5"/>
  <c r="Z134" i="5"/>
  <c r="Z76" i="5"/>
  <c r="AE144" i="5"/>
  <c r="W134" i="5"/>
  <c r="W76" i="5"/>
  <c r="W144" i="5"/>
  <c r="W77" i="5"/>
  <c r="AA133" i="5"/>
  <c r="AA143" i="5"/>
  <c r="AA74" i="5"/>
  <c r="AB134" i="5"/>
  <c r="AB76" i="5"/>
  <c r="AG144" i="5"/>
  <c r="AB144" i="5"/>
  <c r="AB77" i="5"/>
  <c r="AO167" i="49"/>
  <c r="AF133" i="5"/>
  <c r="AF143" i="5"/>
  <c r="AF74" i="5"/>
  <c r="AO137" i="49"/>
  <c r="AN191" i="49"/>
  <c r="AK55" i="49"/>
  <c r="BJ14" i="5"/>
  <c r="AQ129" i="49"/>
  <c r="AE125" i="5"/>
  <c r="AE89" i="5"/>
  <c r="AE94" i="5" s="1"/>
  <c r="AE100" i="5" s="1"/>
  <c r="U146" i="5"/>
  <c r="Q146" i="5"/>
  <c r="BO118" i="5"/>
  <c r="BO95" i="5"/>
  <c r="V125" i="5"/>
  <c r="V89" i="5"/>
  <c r="V94" i="5" s="1"/>
  <c r="V100" i="5" s="1"/>
  <c r="AP200" i="5"/>
  <c r="AU195" i="5"/>
  <c r="L125" i="5"/>
  <c r="L89" i="5"/>
  <c r="L94" i="5" s="1"/>
  <c r="L100" i="5" s="1"/>
  <c r="AP179" i="5"/>
  <c r="AK184" i="5"/>
  <c r="P125" i="5"/>
  <c r="Q123" i="5"/>
  <c r="F45" i="50" s="1"/>
  <c r="P89" i="5"/>
  <c r="P94" i="5" s="1"/>
  <c r="P100" i="5" s="1"/>
  <c r="AU147" i="5"/>
  <c r="AZ85" i="5"/>
  <c r="BY104" i="5"/>
  <c r="BT107" i="5"/>
  <c r="BT27" i="5"/>
  <c r="AI77" i="49"/>
  <c r="AH77" i="49"/>
  <c r="AJ77" i="49"/>
  <c r="N60" i="51" l="1"/>
  <c r="N69" i="51" s="1"/>
  <c r="N76" i="51" s="1"/>
  <c r="N28" i="50" s="1"/>
  <c r="O50" i="51"/>
  <c r="O56" i="51" s="1"/>
  <c r="O60" i="51" s="1"/>
  <c r="O69" i="51" s="1"/>
  <c r="AO85" i="5"/>
  <c r="AS147" i="5"/>
  <c r="AN147" i="5"/>
  <c r="J70" i="45"/>
  <c r="J73" i="45" s="1"/>
  <c r="K70" i="45" s="1"/>
  <c r="O51" i="51"/>
  <c r="O62" i="51"/>
  <c r="AK225" i="5"/>
  <c r="J35" i="51" s="1"/>
  <c r="BR28" i="15"/>
  <c r="BQ27" i="15"/>
  <c r="BQ31" i="15" s="1"/>
  <c r="BQ35" i="15" s="1"/>
  <c r="BQ39" i="15" s="1"/>
  <c r="BQ29" i="15"/>
  <c r="BQ33" i="15" s="1"/>
  <c r="BQ37" i="15" s="1"/>
  <c r="BQ41" i="15" s="1"/>
  <c r="BQ30" i="15"/>
  <c r="AJ21" i="46"/>
  <c r="Q73" i="51"/>
  <c r="Q9" i="51" s="1"/>
  <c r="F192" i="45"/>
  <c r="F194" i="45" s="1"/>
  <c r="G95" i="45"/>
  <c r="Q41" i="49" s="1"/>
  <c r="Q43" i="49" s="1"/>
  <c r="H95" i="45"/>
  <c r="V41" i="49" s="1"/>
  <c r="U41" i="49" s="1"/>
  <c r="K51" i="47"/>
  <c r="AI83" i="49" s="1"/>
  <c r="AJ63" i="54"/>
  <c r="AJ41" i="54"/>
  <c r="AK6" i="54"/>
  <c r="U8" i="54"/>
  <c r="T9" i="54"/>
  <c r="AK16" i="54"/>
  <c r="AI34" i="54"/>
  <c r="AJ25" i="54"/>
  <c r="K65" i="47"/>
  <c r="J71" i="47"/>
  <c r="J78" i="47" s="1"/>
  <c r="L44" i="47"/>
  <c r="O29" i="47"/>
  <c r="N32" i="47"/>
  <c r="I82" i="47"/>
  <c r="AG85" i="49" s="1"/>
  <c r="AG84" i="49"/>
  <c r="L59" i="47"/>
  <c r="M56" i="47"/>
  <c r="L35" i="47"/>
  <c r="K62" i="47"/>
  <c r="S38" i="34"/>
  <c r="S40" i="34" s="1"/>
  <c r="R45" i="34"/>
  <c r="R65" i="34"/>
  <c r="S6" i="34"/>
  <c r="R40" i="34"/>
  <c r="AB25" i="30"/>
  <c r="AC16" i="30"/>
  <c r="M9" i="30"/>
  <c r="N8" i="30"/>
  <c r="AF20" i="30"/>
  <c r="AG11" i="30"/>
  <c r="AG20" i="30" s="1"/>
  <c r="I93" i="45"/>
  <c r="AA40" i="49" s="1"/>
  <c r="AA36" i="49"/>
  <c r="I92" i="45"/>
  <c r="I90" i="45"/>
  <c r="AA35" i="49"/>
  <c r="S123" i="45"/>
  <c r="S125" i="45" s="1"/>
  <c r="S121" i="45"/>
  <c r="L104" i="45"/>
  <c r="L30" i="45"/>
  <c r="K68" i="45"/>
  <c r="V37" i="49"/>
  <c r="U37" i="49" s="1"/>
  <c r="T80" i="45"/>
  <c r="S83" i="45"/>
  <c r="K67" i="45"/>
  <c r="J71" i="45"/>
  <c r="J74" i="45" s="1"/>
  <c r="J88" i="45" s="1"/>
  <c r="J93" i="45" s="1"/>
  <c r="S59" i="45"/>
  <c r="S49" i="45"/>
  <c r="S47" i="45"/>
  <c r="R60" i="45"/>
  <c r="R58" i="45"/>
  <c r="R63" i="45"/>
  <c r="R61" i="45"/>
  <c r="L35" i="45"/>
  <c r="L109" i="45" s="1"/>
  <c r="N11" i="45"/>
  <c r="N15" i="45" s="1"/>
  <c r="N9" i="45"/>
  <c r="N14" i="45" s="1"/>
  <c r="O7" i="45"/>
  <c r="M25" i="45"/>
  <c r="M24" i="45"/>
  <c r="M23" i="45"/>
  <c r="S158" i="45"/>
  <c r="T155" i="45"/>
  <c r="S157" i="45"/>
  <c r="T154" i="45"/>
  <c r="T119" i="45"/>
  <c r="U115" i="45"/>
  <c r="T117" i="45"/>
  <c r="J162" i="45"/>
  <c r="R84" i="45"/>
  <c r="S81" i="45"/>
  <c r="L29" i="45"/>
  <c r="L31" i="45"/>
  <c r="L105" i="45" s="1"/>
  <c r="K108" i="45"/>
  <c r="Q64" i="45"/>
  <c r="Q62" i="45"/>
  <c r="Q65" i="45"/>
  <c r="K103" i="45"/>
  <c r="K141" i="45" s="1"/>
  <c r="U41" i="45"/>
  <c r="T55" i="45"/>
  <c r="T45" i="45"/>
  <c r="T42" i="45"/>
  <c r="T46" i="45" s="1"/>
  <c r="T40" i="45"/>
  <c r="T44" i="45" s="1"/>
  <c r="T43" i="45"/>
  <c r="S56" i="45"/>
  <c r="S54" i="45"/>
  <c r="S57" i="45"/>
  <c r="R50" i="45"/>
  <c r="R48" i="45"/>
  <c r="R51" i="45"/>
  <c r="L34" i="45"/>
  <c r="L36" i="45"/>
  <c r="L110" i="45" s="1"/>
  <c r="M20" i="45"/>
  <c r="M19" i="45"/>
  <c r="M18" i="45"/>
  <c r="AW55" i="48"/>
  <c r="AT56" i="48"/>
  <c r="AU37" i="48"/>
  <c r="AU35" i="48"/>
  <c r="AU38" i="48"/>
  <c r="AU40" i="48"/>
  <c r="AT42" i="48"/>
  <c r="AV17" i="48"/>
  <c r="AW8" i="48"/>
  <c r="AV36" i="48"/>
  <c r="AV33" i="48"/>
  <c r="AV31" i="48"/>
  <c r="AV34" i="48"/>
  <c r="AX54" i="48"/>
  <c r="AY53" i="48"/>
  <c r="AT14" i="48"/>
  <c r="AS18" i="48"/>
  <c r="AV9" i="48"/>
  <c r="Z18" i="48"/>
  <c r="Y9" i="48"/>
  <c r="AA17" i="48"/>
  <c r="Z8" i="48"/>
  <c r="AU16" i="48"/>
  <c r="AV7" i="48"/>
  <c r="AA16" i="48"/>
  <c r="Z7" i="48"/>
  <c r="AX28" i="48"/>
  <c r="AW32" i="48"/>
  <c r="AW30" i="48"/>
  <c r="AV16" i="15"/>
  <c r="AU7" i="15"/>
  <c r="P7" i="46" s="1"/>
  <c r="P16" i="46" s="1"/>
  <c r="AI21" i="46" s="1"/>
  <c r="BO56" i="15"/>
  <c r="BP55" i="15"/>
  <c r="BO13" i="15"/>
  <c r="BN17" i="15"/>
  <c r="BN14" i="15"/>
  <c r="BM18" i="15"/>
  <c r="BR9" i="15"/>
  <c r="AM9" i="46" s="1"/>
  <c r="AM18" i="46" s="1"/>
  <c r="AM23" i="46" s="1"/>
  <c r="AM30" i="46" s="1"/>
  <c r="AT18" i="15"/>
  <c r="AS9" i="15"/>
  <c r="N9" i="46" s="1"/>
  <c r="N18" i="46" s="1"/>
  <c r="AG23" i="46" s="1"/>
  <c r="AG30" i="46" s="1"/>
  <c r="BS8" i="15"/>
  <c r="AN8" i="46" s="1"/>
  <c r="AN17" i="46" s="1"/>
  <c r="AN22" i="46" s="1"/>
  <c r="AN29" i="46" s="1"/>
  <c r="BO16" i="15"/>
  <c r="BP7" i="15"/>
  <c r="AK7" i="46" s="1"/>
  <c r="AK16" i="46" s="1"/>
  <c r="AU17" i="15"/>
  <c r="AT8" i="15"/>
  <c r="O8" i="46" s="1"/>
  <c r="O17" i="46" s="1"/>
  <c r="AH22" i="46" s="1"/>
  <c r="AH29" i="46" s="1"/>
  <c r="BQ54" i="15"/>
  <c r="BR53" i="15"/>
  <c r="R32" i="51"/>
  <c r="S66" i="51"/>
  <c r="S68" i="51" s="1"/>
  <c r="T49" i="51"/>
  <c r="R27" i="50"/>
  <c r="P79" i="50"/>
  <c r="AR129" i="49"/>
  <c r="BO14" i="5"/>
  <c r="AL55" i="49"/>
  <c r="AO191" i="49"/>
  <c r="AF144" i="5"/>
  <c r="AF231" i="5"/>
  <c r="AF134" i="5"/>
  <c r="AP167" i="49"/>
  <c r="AG145" i="5"/>
  <c r="AB145" i="5"/>
  <c r="AB123" i="5"/>
  <c r="AB135" i="5"/>
  <c r="AB80" i="5"/>
  <c r="W145" i="5"/>
  <c r="W123" i="5"/>
  <c r="W135" i="5"/>
  <c r="W80" i="5"/>
  <c r="W146" i="5" s="1"/>
  <c r="AP137" i="49"/>
  <c r="AA144" i="5"/>
  <c r="AA77" i="5"/>
  <c r="AA231" i="5"/>
  <c r="AA134" i="5"/>
  <c r="AA76" i="5"/>
  <c r="Z145" i="5"/>
  <c r="Z123" i="5"/>
  <c r="Z135" i="5"/>
  <c r="Z80" i="5"/>
  <c r="AE145" i="5"/>
  <c r="CD104" i="5"/>
  <c r="BY107" i="5"/>
  <c r="BY27" i="5"/>
  <c r="Q125" i="5"/>
  <c r="Q89" i="5"/>
  <c r="Q94" i="5" s="1"/>
  <c r="Q100" i="5" s="1"/>
  <c r="AU197" i="5"/>
  <c r="AU203" i="5" s="1"/>
  <c r="AI90" i="5"/>
  <c r="AH90" i="5"/>
  <c r="BT118" i="5"/>
  <c r="BT95" i="5"/>
  <c r="AZ147" i="5"/>
  <c r="BE85" i="5"/>
  <c r="AP180" i="5"/>
  <c r="AP181" i="5" s="1"/>
  <c r="AK77" i="49"/>
  <c r="O61" i="51" l="1"/>
  <c r="O31" i="51"/>
  <c r="O35" i="51" s="1"/>
  <c r="O76" i="51"/>
  <c r="O28" i="50" s="1"/>
  <c r="O54" i="51"/>
  <c r="N31" i="51"/>
  <c r="N102" i="50" s="1"/>
  <c r="P50" i="51"/>
  <c r="P54" i="51" s="1"/>
  <c r="AT147" i="5"/>
  <c r="AO147" i="5"/>
  <c r="AU226" i="5"/>
  <c r="AU111" i="5" s="1"/>
  <c r="BR29" i="15"/>
  <c r="BR33" i="15" s="1"/>
  <c r="BR37" i="15" s="1"/>
  <c r="BR41" i="15" s="1"/>
  <c r="BR27" i="15"/>
  <c r="BR31" i="15" s="1"/>
  <c r="BR35" i="15" s="1"/>
  <c r="BR39" i="15" s="1"/>
  <c r="BS28" i="15"/>
  <c r="BR30" i="15"/>
  <c r="AI28" i="46"/>
  <c r="AI24" i="46"/>
  <c r="AI31" i="46" s="1"/>
  <c r="AJ24" i="46"/>
  <c r="AJ31" i="46" s="1"/>
  <c r="AJ28" i="46"/>
  <c r="AK21" i="46"/>
  <c r="R73" i="51"/>
  <c r="R9" i="51" s="1"/>
  <c r="K52" i="47"/>
  <c r="Q139" i="49"/>
  <c r="Q136" i="49"/>
  <c r="G184" i="45" s="1"/>
  <c r="Q141" i="49"/>
  <c r="P43" i="49"/>
  <c r="P141" i="49" s="1"/>
  <c r="Q44" i="49"/>
  <c r="G97" i="45"/>
  <c r="H97" i="45"/>
  <c r="H174" i="45" s="1"/>
  <c r="V43" i="49"/>
  <c r="U43" i="49" s="1"/>
  <c r="BF83" i="15"/>
  <c r="H59" i="51"/>
  <c r="AK25" i="54"/>
  <c r="U9" i="54"/>
  <c r="V8" i="54"/>
  <c r="AJ34" i="54"/>
  <c r="AL16" i="54"/>
  <c r="AK63" i="54"/>
  <c r="AK41" i="54"/>
  <c r="AL6" i="54"/>
  <c r="K68" i="47"/>
  <c r="L65" i="47" s="1"/>
  <c r="N56" i="47"/>
  <c r="M59" i="47"/>
  <c r="J82" i="47"/>
  <c r="AH84" i="49"/>
  <c r="O32" i="47"/>
  <c r="P29" i="47"/>
  <c r="L41" i="47"/>
  <c r="AG172" i="49"/>
  <c r="AU18" i="5"/>
  <c r="K71" i="47"/>
  <c r="S65" i="34"/>
  <c r="S45" i="34"/>
  <c r="AH79" i="49"/>
  <c r="AH78" i="49"/>
  <c r="AJ79" i="49"/>
  <c r="AJ78" i="49"/>
  <c r="N9" i="30"/>
  <c r="O8" i="30"/>
  <c r="AD16" i="30"/>
  <c r="AC25" i="30"/>
  <c r="AI79" i="49"/>
  <c r="AI78" i="49"/>
  <c r="M30" i="45"/>
  <c r="M104" i="45" s="1"/>
  <c r="L68" i="45"/>
  <c r="T56" i="45"/>
  <c r="T54" i="45"/>
  <c r="T57" i="45"/>
  <c r="L67" i="45"/>
  <c r="T81" i="45"/>
  <c r="S84" i="45"/>
  <c r="K161" i="45"/>
  <c r="T123" i="45"/>
  <c r="T125" i="45" s="1"/>
  <c r="T121" i="45"/>
  <c r="J87" i="45"/>
  <c r="J92" i="45" s="1"/>
  <c r="AF40" i="49"/>
  <c r="AF36" i="49"/>
  <c r="U154" i="45"/>
  <c r="T157" i="45"/>
  <c r="M35" i="45"/>
  <c r="M109" i="45" s="1"/>
  <c r="O11" i="45"/>
  <c r="O15" i="45" s="1"/>
  <c r="O9" i="45"/>
  <c r="O14" i="45" s="1"/>
  <c r="P7" i="45"/>
  <c r="N25" i="45"/>
  <c r="N24" i="45"/>
  <c r="N23" i="45"/>
  <c r="R64" i="45"/>
  <c r="R62" i="45"/>
  <c r="R65" i="45"/>
  <c r="S50" i="45"/>
  <c r="S48" i="45"/>
  <c r="S51" i="45"/>
  <c r="K71" i="45"/>
  <c r="K74" i="45" s="1"/>
  <c r="K88" i="45" s="1"/>
  <c r="AA37" i="49"/>
  <c r="M29" i="45"/>
  <c r="M103" i="45" s="1"/>
  <c r="M105" i="45"/>
  <c r="M31" i="45"/>
  <c r="L108" i="45"/>
  <c r="T59" i="45"/>
  <c r="T49" i="45"/>
  <c r="T47" i="45"/>
  <c r="U55" i="45"/>
  <c r="U45" i="45"/>
  <c r="U42" i="45"/>
  <c r="U46" i="45" s="1"/>
  <c r="U40" i="45"/>
  <c r="U44" i="45" s="1"/>
  <c r="V41" i="45"/>
  <c r="U43" i="45"/>
  <c r="K147" i="45"/>
  <c r="L103" i="45"/>
  <c r="L141" i="45" s="1"/>
  <c r="K167" i="45"/>
  <c r="J163" i="45"/>
  <c r="AF66" i="49"/>
  <c r="U119" i="45"/>
  <c r="V115" i="45"/>
  <c r="U117" i="45"/>
  <c r="U155" i="45"/>
  <c r="T158" i="45"/>
  <c r="M34" i="45"/>
  <c r="M108" i="45" s="1"/>
  <c r="M110" i="45"/>
  <c r="M36" i="45"/>
  <c r="N20" i="45"/>
  <c r="N19" i="45"/>
  <c r="N18" i="45"/>
  <c r="S63" i="45"/>
  <c r="S60" i="45"/>
  <c r="S58" i="45"/>
  <c r="S61" i="45"/>
  <c r="K73" i="45"/>
  <c r="K87" i="45" s="1"/>
  <c r="T83" i="45"/>
  <c r="U80" i="45"/>
  <c r="I95" i="45"/>
  <c r="AA41" i="49" s="1"/>
  <c r="AA39" i="49"/>
  <c r="AX32" i="48"/>
  <c r="AY28" i="48"/>
  <c r="AX30" i="48"/>
  <c r="AY54" i="48"/>
  <c r="AZ53" i="48"/>
  <c r="AV37" i="48"/>
  <c r="AV35" i="48"/>
  <c r="AV38" i="48"/>
  <c r="AW17" i="48"/>
  <c r="AX8" i="48"/>
  <c r="AV40" i="48"/>
  <c r="AU42" i="48"/>
  <c r="AW33" i="48"/>
  <c r="AW31" i="48"/>
  <c r="AW36" i="48"/>
  <c r="AW34" i="48"/>
  <c r="Z16" i="48"/>
  <c r="Y7" i="48"/>
  <c r="AV16" i="48"/>
  <c r="AW7" i="48"/>
  <c r="Z17" i="48"/>
  <c r="Y8" i="48"/>
  <c r="Y18" i="48"/>
  <c r="X9" i="48"/>
  <c r="AW9" i="48"/>
  <c r="AU14" i="48"/>
  <c r="AT18" i="48"/>
  <c r="AX55" i="48"/>
  <c r="AU56" i="48"/>
  <c r="BR54" i="15"/>
  <c r="BS53" i="15"/>
  <c r="BQ55" i="15"/>
  <c r="BP16" i="15"/>
  <c r="BQ7" i="15"/>
  <c r="AL7" i="46" s="1"/>
  <c r="AL16" i="46" s="1"/>
  <c r="AS18" i="15"/>
  <c r="AR9" i="15"/>
  <c r="M9" i="46" s="1"/>
  <c r="M18" i="46" s="1"/>
  <c r="AF23" i="46" s="1"/>
  <c r="AF30" i="46" s="1"/>
  <c r="AU16" i="15"/>
  <c r="AT7" i="15"/>
  <c r="O7" i="46" s="1"/>
  <c r="O16" i="46" s="1"/>
  <c r="AH21" i="46" s="1"/>
  <c r="AT17" i="15"/>
  <c r="AS8" i="15"/>
  <c r="N8" i="46" s="1"/>
  <c r="N17" i="46" s="1"/>
  <c r="AG22" i="46" s="1"/>
  <c r="AG29" i="46" s="1"/>
  <c r="BT8" i="15"/>
  <c r="AO8" i="46" s="1"/>
  <c r="AO17" i="46" s="1"/>
  <c r="AO22" i="46" s="1"/>
  <c r="AO29" i="46" s="1"/>
  <c r="BS9" i="15"/>
  <c r="AN9" i="46" s="1"/>
  <c r="AN18" i="46" s="1"/>
  <c r="AN23" i="46" s="1"/>
  <c r="AN30" i="46" s="1"/>
  <c r="BO14" i="15"/>
  <c r="BN18" i="15"/>
  <c r="BP13" i="15"/>
  <c r="BO17" i="15"/>
  <c r="BP56" i="15"/>
  <c r="T66" i="51"/>
  <c r="T68" i="51" s="1"/>
  <c r="U49" i="51"/>
  <c r="S32" i="51"/>
  <c r="Q79" i="50"/>
  <c r="S27" i="50"/>
  <c r="AA135" i="5"/>
  <c r="AA145" i="5"/>
  <c r="AA80" i="5"/>
  <c r="AA146" i="5" s="1"/>
  <c r="W89" i="5"/>
  <c r="W94" i="5" s="1"/>
  <c r="W100" i="5" s="1"/>
  <c r="W125" i="5"/>
  <c r="AB146" i="5"/>
  <c r="AG146" i="5"/>
  <c r="AB89" i="5"/>
  <c r="AB94" i="5" s="1"/>
  <c r="AB100" i="5" s="1"/>
  <c r="AB125" i="5"/>
  <c r="AF123" i="5"/>
  <c r="I45" i="50" s="1"/>
  <c r="AQ167" i="49"/>
  <c r="AF232" i="5"/>
  <c r="AF235" i="5" s="1"/>
  <c r="AF234" i="5"/>
  <c r="AF236" i="5" s="1"/>
  <c r="AF75" i="5" s="1"/>
  <c r="I44" i="50" s="1"/>
  <c r="AP191" i="49"/>
  <c r="Z146" i="5"/>
  <c r="AE146" i="5"/>
  <c r="Z125" i="5"/>
  <c r="Z89" i="5"/>
  <c r="Z94" i="5" s="1"/>
  <c r="Z100" i="5" s="1"/>
  <c r="AA123" i="5"/>
  <c r="H45" i="50" s="1"/>
  <c r="AQ137" i="49"/>
  <c r="AM55" i="49"/>
  <c r="BT14" i="5"/>
  <c r="AP184" i="5"/>
  <c r="AP187" i="5"/>
  <c r="BY118" i="5"/>
  <c r="BY95" i="5"/>
  <c r="BE147" i="5"/>
  <c r="BJ85" i="5"/>
  <c r="AU200" i="5"/>
  <c r="AZ195" i="5"/>
  <c r="CI104" i="5"/>
  <c r="CD107" i="5"/>
  <c r="CD27" i="5"/>
  <c r="AL77" i="49"/>
  <c r="S73" i="51" l="1"/>
  <c r="S9" i="51" s="1"/>
  <c r="U73" i="51"/>
  <c r="U9" i="51" s="1"/>
  <c r="P56" i="51"/>
  <c r="P61" i="51" s="1"/>
  <c r="O102" i="50"/>
  <c r="P62" i="51"/>
  <c r="Q50" i="51" s="1"/>
  <c r="P51" i="51"/>
  <c r="K162" i="45"/>
  <c r="AG66" i="49" s="1"/>
  <c r="L144" i="45"/>
  <c r="L147" i="45" s="1"/>
  <c r="L162" i="45" s="1"/>
  <c r="P60" i="51"/>
  <c r="P69" i="51" s="1"/>
  <c r="P31" i="51" s="1"/>
  <c r="AP226" i="5"/>
  <c r="AP111" i="5" s="1"/>
  <c r="AU225" i="5"/>
  <c r="L22" i="50" s="1"/>
  <c r="AP225" i="5"/>
  <c r="K22" i="50" s="1"/>
  <c r="K33" i="51" s="1"/>
  <c r="K35" i="51" s="1"/>
  <c r="BS30" i="15"/>
  <c r="BT28" i="15"/>
  <c r="BS29" i="15"/>
  <c r="BS33" i="15" s="1"/>
  <c r="BS37" i="15" s="1"/>
  <c r="BS41" i="15" s="1"/>
  <c r="BS27" i="15"/>
  <c r="BS31" i="15" s="1"/>
  <c r="BS35" i="15" s="1"/>
  <c r="BS39" i="15" s="1"/>
  <c r="AJ42" i="46"/>
  <c r="AJ32" i="46"/>
  <c r="AJ46" i="46" s="1"/>
  <c r="AI42" i="46"/>
  <c r="AI32" i="46"/>
  <c r="AI46" i="46" s="1"/>
  <c r="AH24" i="46"/>
  <c r="AH31" i="46" s="1"/>
  <c r="AH28" i="46"/>
  <c r="AK28" i="46"/>
  <c r="AK24" i="46"/>
  <c r="AK31" i="46" s="1"/>
  <c r="AL21" i="46"/>
  <c r="AJ25" i="46"/>
  <c r="AI25" i="46"/>
  <c r="P139" i="49"/>
  <c r="P136" i="49"/>
  <c r="P137" i="49" s="1"/>
  <c r="V44" i="49"/>
  <c r="G188" i="45"/>
  <c r="G99" i="45"/>
  <c r="G142" i="45" s="1"/>
  <c r="G145" i="45" s="1"/>
  <c r="G174" i="45"/>
  <c r="G175" i="45" s="1"/>
  <c r="H99" i="45"/>
  <c r="H142" i="45" s="1"/>
  <c r="H145" i="45" s="1"/>
  <c r="V141" i="49"/>
  <c r="L70" i="45"/>
  <c r="L73" i="45" s="1"/>
  <c r="L87" i="45" s="1"/>
  <c r="AL83" i="48"/>
  <c r="G191" i="45"/>
  <c r="AA78" i="46"/>
  <c r="AM16" i="54"/>
  <c r="AK34" i="54"/>
  <c r="V9" i="54"/>
  <c r="W8" i="54"/>
  <c r="AL25" i="54"/>
  <c r="AL63" i="54"/>
  <c r="AL41" i="54"/>
  <c r="AM6" i="54"/>
  <c r="L71" i="47"/>
  <c r="L51" i="47"/>
  <c r="M38" i="47"/>
  <c r="Q29" i="47"/>
  <c r="P32" i="47"/>
  <c r="K78" i="47"/>
  <c r="M35" i="47"/>
  <c r="AH85" i="49"/>
  <c r="N59" i="47"/>
  <c r="O56" i="47"/>
  <c r="L62" i="47"/>
  <c r="AD25" i="30"/>
  <c r="AE16" i="30"/>
  <c r="O9" i="30"/>
  <c r="P8" i="30"/>
  <c r="AK79" i="49"/>
  <c r="AK78" i="49"/>
  <c r="AI80" i="49"/>
  <c r="BE17" i="5"/>
  <c r="AI178" i="49"/>
  <c r="J47" i="34" s="1"/>
  <c r="J50" i="34" s="1"/>
  <c r="AJ178" i="49"/>
  <c r="K47" i="34" s="1"/>
  <c r="K50" i="34" s="1"/>
  <c r="BJ17" i="5"/>
  <c r="AJ80" i="49"/>
  <c r="AH178" i="49"/>
  <c r="I47" i="34" s="1"/>
  <c r="I50" i="34" s="1"/>
  <c r="AZ17" i="5"/>
  <c r="K92" i="45"/>
  <c r="K90" i="45"/>
  <c r="AG35" i="49"/>
  <c r="K168" i="45"/>
  <c r="AG70" i="49"/>
  <c r="T50" i="45"/>
  <c r="T48" i="45"/>
  <c r="T51" i="45"/>
  <c r="K93" i="45"/>
  <c r="AG40" i="49" s="1"/>
  <c r="AG36" i="49"/>
  <c r="N34" i="45"/>
  <c r="N36" i="45"/>
  <c r="N110" i="45" s="1"/>
  <c r="U141" i="49"/>
  <c r="U136" i="49"/>
  <c r="V136" i="49" s="1"/>
  <c r="U44" i="49"/>
  <c r="U157" i="45"/>
  <c r="V154" i="45"/>
  <c r="J90" i="45"/>
  <c r="AF35" i="49"/>
  <c r="T84" i="45"/>
  <c r="U81" i="45"/>
  <c r="AA43" i="49"/>
  <c r="AA44" i="49" s="1"/>
  <c r="N29" i="45"/>
  <c r="N31" i="45"/>
  <c r="N105" i="45" s="1"/>
  <c r="U158" i="45"/>
  <c r="V155" i="45"/>
  <c r="V158" i="45" s="1"/>
  <c r="V119" i="45"/>
  <c r="V117" i="45"/>
  <c r="V55" i="45"/>
  <c r="V45" i="45"/>
  <c r="V42" i="45"/>
  <c r="V46" i="45" s="1"/>
  <c r="V40" i="45"/>
  <c r="V44" i="45" s="1"/>
  <c r="V43" i="45"/>
  <c r="U56" i="45"/>
  <c r="U54" i="45"/>
  <c r="U57" i="45"/>
  <c r="M141" i="45"/>
  <c r="I97" i="45"/>
  <c r="O20" i="45"/>
  <c r="O19" i="45"/>
  <c r="O18" i="45"/>
  <c r="V80" i="45"/>
  <c r="V83" i="45" s="1"/>
  <c r="U83" i="45"/>
  <c r="S64" i="45"/>
  <c r="S62" i="45"/>
  <c r="S65" i="45"/>
  <c r="N30" i="45"/>
  <c r="N104" i="45" s="1"/>
  <c r="M68" i="45"/>
  <c r="U123" i="45"/>
  <c r="U125" i="45" s="1"/>
  <c r="U121" i="45"/>
  <c r="J171" i="45"/>
  <c r="AF67" i="49"/>
  <c r="AE67" i="49" s="1"/>
  <c r="AE73" i="49" s="1"/>
  <c r="U59" i="45"/>
  <c r="U49" i="45"/>
  <c r="U47" i="45"/>
  <c r="T60" i="45"/>
  <c r="T58" i="45"/>
  <c r="T63" i="45"/>
  <c r="T61" i="45"/>
  <c r="M67" i="45"/>
  <c r="W37" i="49"/>
  <c r="W41" i="49" s="1"/>
  <c r="X37" i="49"/>
  <c r="X41" i="49" s="1"/>
  <c r="Y37" i="49"/>
  <c r="Y41" i="49" s="1"/>
  <c r="L71" i="45"/>
  <c r="L74" i="45" s="1"/>
  <c r="L88" i="45" s="1"/>
  <c r="N109" i="45"/>
  <c r="N35" i="45"/>
  <c r="P11" i="45"/>
  <c r="P15" i="45" s="1"/>
  <c r="P9" i="45"/>
  <c r="P14" i="45" s="1"/>
  <c r="Q7" i="45"/>
  <c r="O25" i="45"/>
  <c r="O24" i="45"/>
  <c r="O23" i="45"/>
  <c r="L166" i="45"/>
  <c r="AG65" i="49"/>
  <c r="AV56" i="48"/>
  <c r="AX9" i="48"/>
  <c r="X18" i="48"/>
  <c r="W9" i="48"/>
  <c r="Y17" i="48"/>
  <c r="AX22" i="48" s="1"/>
  <c r="X8" i="48"/>
  <c r="AW16" i="48"/>
  <c r="AX7" i="48"/>
  <c r="Y16" i="48"/>
  <c r="X7" i="48"/>
  <c r="AZ54" i="48"/>
  <c r="BA53" i="48"/>
  <c r="AX36" i="48"/>
  <c r="AX33" i="48"/>
  <c r="AX31" i="48"/>
  <c r="AX34" i="48"/>
  <c r="AV14" i="48"/>
  <c r="AU18" i="48"/>
  <c r="AW37" i="48"/>
  <c r="AW35" i="48"/>
  <c r="AW38" i="48"/>
  <c r="AW40" i="48"/>
  <c r="AV42" i="48"/>
  <c r="AX17" i="48"/>
  <c r="AY22" i="48" s="1"/>
  <c r="AY8" i="48"/>
  <c r="AY55" i="48"/>
  <c r="AZ28" i="48"/>
  <c r="AY32" i="48"/>
  <c r="AY30" i="48"/>
  <c r="BQ56" i="15"/>
  <c r="BP14" i="15"/>
  <c r="BO18" i="15"/>
  <c r="BU8" i="15"/>
  <c r="AP8" i="46" s="1"/>
  <c r="AP17" i="46" s="1"/>
  <c r="AP22" i="46" s="1"/>
  <c r="AP29" i="46" s="1"/>
  <c r="AR18" i="15"/>
  <c r="AQ9" i="15"/>
  <c r="L9" i="46" s="1"/>
  <c r="L18" i="46" s="1"/>
  <c r="AE23" i="46" s="1"/>
  <c r="AE30" i="46" s="1"/>
  <c r="BR55" i="15"/>
  <c r="BQ13" i="15"/>
  <c r="BP17" i="15"/>
  <c r="BT9" i="15"/>
  <c r="AO9" i="46" s="1"/>
  <c r="AO18" i="46" s="1"/>
  <c r="AO23" i="46" s="1"/>
  <c r="AO30" i="46" s="1"/>
  <c r="AS17" i="15"/>
  <c r="AR8" i="15"/>
  <c r="M8" i="46" s="1"/>
  <c r="M17" i="46" s="1"/>
  <c r="AF22" i="46" s="1"/>
  <c r="AF29" i="46" s="1"/>
  <c r="AT16" i="15"/>
  <c r="AS7" i="15"/>
  <c r="N7" i="46" s="1"/>
  <c r="N16" i="46" s="1"/>
  <c r="AG21" i="46" s="1"/>
  <c r="BQ16" i="15"/>
  <c r="BR7" i="15"/>
  <c r="AM7" i="46" s="1"/>
  <c r="AM16" i="46" s="1"/>
  <c r="AM21" i="46" s="1"/>
  <c r="BS54" i="15"/>
  <c r="BT53" i="15"/>
  <c r="T32" i="51"/>
  <c r="U66" i="51"/>
  <c r="U68" i="51" s="1"/>
  <c r="V49" i="51"/>
  <c r="T27" i="50"/>
  <c r="R79" i="50"/>
  <c r="AA125" i="5"/>
  <c r="AA89" i="5"/>
  <c r="AA94" i="5" s="1"/>
  <c r="AA100" i="5" s="1"/>
  <c r="AF76" i="5"/>
  <c r="BG83" i="15" s="1"/>
  <c r="AF77" i="5"/>
  <c r="AR167" i="49"/>
  <c r="AF125" i="5"/>
  <c r="AF89" i="5"/>
  <c r="AF94" i="5" s="1"/>
  <c r="AF100" i="5" s="1"/>
  <c r="AN55" i="49"/>
  <c r="BY14" i="5"/>
  <c r="AR137" i="49"/>
  <c r="AQ191" i="49"/>
  <c r="CD118" i="5"/>
  <c r="CD95" i="5"/>
  <c r="BJ147" i="5"/>
  <c r="BO85" i="5"/>
  <c r="CN104" i="5"/>
  <c r="CI107" i="5"/>
  <c r="T73" i="51" s="1"/>
  <c r="T9" i="51" s="1"/>
  <c r="CI27" i="5"/>
  <c r="AZ196" i="5"/>
  <c r="AZ197" i="5" s="1"/>
  <c r="AM77" i="49"/>
  <c r="Q56" i="51" l="1"/>
  <c r="Q51" i="51"/>
  <c r="Q54" i="51"/>
  <c r="Q62" i="51"/>
  <c r="AX21" i="48"/>
  <c r="AX47" i="48" s="1"/>
  <c r="AX62" i="48" s="1"/>
  <c r="AO21" i="49" s="1"/>
  <c r="AO12" i="5"/>
  <c r="AE166" i="49"/>
  <c r="AM111" i="5"/>
  <c r="AL111" i="5"/>
  <c r="AN111" i="5"/>
  <c r="L167" i="45"/>
  <c r="AH70" i="49" s="1"/>
  <c r="K163" i="45"/>
  <c r="AG67" i="49" s="1"/>
  <c r="AK25" i="46"/>
  <c r="M144" i="45"/>
  <c r="M147" i="45" s="1"/>
  <c r="M162" i="45" s="1"/>
  <c r="P76" i="51"/>
  <c r="P28" i="50" s="1"/>
  <c r="L33" i="51"/>
  <c r="L35" i="51" s="1"/>
  <c r="BT27" i="15"/>
  <c r="BT31" i="15" s="1"/>
  <c r="BT35" i="15" s="1"/>
  <c r="BT39" i="15" s="1"/>
  <c r="BU28" i="15"/>
  <c r="BT30" i="15"/>
  <c r="BT29" i="15"/>
  <c r="BT33" i="15" s="1"/>
  <c r="BT37" i="15" s="1"/>
  <c r="BT41" i="15" s="1"/>
  <c r="AM28" i="46"/>
  <c r="AM24" i="46"/>
  <c r="AM31" i="46" s="1"/>
  <c r="AH42" i="46"/>
  <c r="AH32" i="46"/>
  <c r="AH46" i="46" s="1"/>
  <c r="AI47" i="46" s="1"/>
  <c r="AJ47" i="46"/>
  <c r="AJ51" i="46"/>
  <c r="AK32" i="46"/>
  <c r="AK46" i="46" s="1"/>
  <c r="AK51" i="46" s="1"/>
  <c r="AK56" i="46" s="1"/>
  <c r="AK42" i="46"/>
  <c r="AI51" i="46"/>
  <c r="AI56" i="46" s="1"/>
  <c r="AG28" i="46"/>
  <c r="AG24" i="46"/>
  <c r="AG31" i="46" s="1"/>
  <c r="AL28" i="46"/>
  <c r="AL24" i="46"/>
  <c r="AL31" i="46" s="1"/>
  <c r="AH25" i="46"/>
  <c r="G189" i="45"/>
  <c r="AZ200" i="5"/>
  <c r="AZ203" i="5"/>
  <c r="G192" i="45"/>
  <c r="G194" i="45" s="1"/>
  <c r="H175" i="45"/>
  <c r="Z37" i="49"/>
  <c r="Z41" i="49"/>
  <c r="AB78" i="46"/>
  <c r="AA50" i="54"/>
  <c r="AM83" i="48"/>
  <c r="H191" i="45"/>
  <c r="AM25" i="54"/>
  <c r="W9" i="54"/>
  <c r="X8" i="54"/>
  <c r="AL34" i="54"/>
  <c r="AN16" i="54"/>
  <c r="AM63" i="54"/>
  <c r="AM41" i="54"/>
  <c r="AN6" i="54"/>
  <c r="P56" i="47"/>
  <c r="O59" i="47"/>
  <c r="AH172" i="49"/>
  <c r="J88" i="47" s="1"/>
  <c r="J91" i="47" s="1"/>
  <c r="AZ18" i="5"/>
  <c r="M41" i="47"/>
  <c r="N38" i="47" s="1"/>
  <c r="M44" i="47"/>
  <c r="L68" i="47"/>
  <c r="K82" i="47"/>
  <c r="AI84" i="49"/>
  <c r="Q32" i="47"/>
  <c r="R29" i="47"/>
  <c r="L52" i="47"/>
  <c r="AJ83" i="49"/>
  <c r="K51" i="34"/>
  <c r="I51" i="34"/>
  <c r="J51" i="34"/>
  <c r="AL79" i="49"/>
  <c r="AL78" i="49"/>
  <c r="P9" i="30"/>
  <c r="P10" i="30" s="1"/>
  <c r="Q8" i="30"/>
  <c r="AF16" i="30"/>
  <c r="AK178" i="49"/>
  <c r="L47" i="34" s="1"/>
  <c r="L50" i="34" s="1"/>
  <c r="AK80" i="49"/>
  <c r="BO17" i="5"/>
  <c r="AE25" i="30"/>
  <c r="L92" i="45"/>
  <c r="L90" i="45"/>
  <c r="AH35" i="49"/>
  <c r="L93" i="45"/>
  <c r="AH40" i="49" s="1"/>
  <c r="AH36" i="49"/>
  <c r="AH69" i="49"/>
  <c r="O109" i="45"/>
  <c r="O35" i="45"/>
  <c r="Q11" i="45"/>
  <c r="Q15" i="45" s="1"/>
  <c r="Q9" i="45"/>
  <c r="Q14" i="45" s="1"/>
  <c r="R7" i="45"/>
  <c r="P25" i="45"/>
  <c r="P24" i="45"/>
  <c r="P23" i="45"/>
  <c r="U63" i="45"/>
  <c r="U60" i="45"/>
  <c r="U58" i="45"/>
  <c r="U61" i="45"/>
  <c r="O104" i="45"/>
  <c r="O30" i="45"/>
  <c r="I174" i="45"/>
  <c r="I175" i="45" s="1"/>
  <c r="I99" i="45"/>
  <c r="I142" i="45" s="1"/>
  <c r="I145" i="45" s="1"/>
  <c r="V59" i="45"/>
  <c r="V49" i="45"/>
  <c r="V47" i="45"/>
  <c r="N67" i="45"/>
  <c r="M70" i="45"/>
  <c r="M73" i="45" s="1"/>
  <c r="V81" i="45"/>
  <c r="V84" i="45" s="1"/>
  <c r="U84" i="45"/>
  <c r="L161" i="45"/>
  <c r="AF37" i="49"/>
  <c r="V157" i="45"/>
  <c r="V137" i="49"/>
  <c r="H184" i="45"/>
  <c r="H188" i="45" s="1"/>
  <c r="N68" i="45"/>
  <c r="AG71" i="49"/>
  <c r="AG37" i="49"/>
  <c r="O34" i="45"/>
  <c r="O36" i="45"/>
  <c r="O110" i="45" s="1"/>
  <c r="P20" i="45"/>
  <c r="P19" i="45"/>
  <c r="P18" i="45"/>
  <c r="M71" i="45"/>
  <c r="T64" i="45"/>
  <c r="T62" i="45"/>
  <c r="T65" i="45"/>
  <c r="U50" i="45"/>
  <c r="U48" i="45"/>
  <c r="U51" i="45"/>
  <c r="M167" i="45"/>
  <c r="AI70" i="49" s="1"/>
  <c r="AH66" i="49"/>
  <c r="J203" i="45"/>
  <c r="AF73" i="49"/>
  <c r="O29" i="45"/>
  <c r="O103" i="45" s="1"/>
  <c r="O31" i="45"/>
  <c r="O105" i="45" s="1"/>
  <c r="V56" i="45"/>
  <c r="V54" i="45"/>
  <c r="V57" i="45"/>
  <c r="V123" i="45"/>
  <c r="V125" i="45" s="1"/>
  <c r="V121" i="45"/>
  <c r="N103" i="45"/>
  <c r="N141" i="45" s="1"/>
  <c r="J95" i="45"/>
  <c r="AF41" i="49" s="1"/>
  <c r="AF39" i="49"/>
  <c r="N108" i="45"/>
  <c r="K95" i="45"/>
  <c r="AG41" i="49" s="1"/>
  <c r="AG39" i="49"/>
  <c r="AY33" i="48"/>
  <c r="AY31" i="48"/>
  <c r="AY36" i="48"/>
  <c r="AY34" i="48"/>
  <c r="AY48" i="48" s="1"/>
  <c r="AY63" i="48" s="1"/>
  <c r="AP22" i="49" s="1"/>
  <c r="AY17" i="48"/>
  <c r="AZ22" i="48" s="1"/>
  <c r="AZ8" i="48"/>
  <c r="BA54" i="48"/>
  <c r="AX48" i="48"/>
  <c r="AX63" i="48" s="1"/>
  <c r="AO22" i="49" s="1"/>
  <c r="AZ32" i="48"/>
  <c r="BA28" i="48"/>
  <c r="AZ30" i="48"/>
  <c r="AX40" i="48"/>
  <c r="AW42" i="48"/>
  <c r="AW14" i="48"/>
  <c r="AV18" i="48"/>
  <c r="AW23" i="48" s="1"/>
  <c r="AW49" i="48" s="1"/>
  <c r="AW64" i="48" s="1"/>
  <c r="AN23" i="49" s="1"/>
  <c r="AX37" i="48"/>
  <c r="AX35" i="48"/>
  <c r="AX38" i="48"/>
  <c r="AZ55" i="48"/>
  <c r="X16" i="48"/>
  <c r="AW21" i="48" s="1"/>
  <c r="W7" i="48"/>
  <c r="AX16" i="48"/>
  <c r="AY21" i="48" s="1"/>
  <c r="AY7" i="48"/>
  <c r="X17" i="48"/>
  <c r="AW22" i="48" s="1"/>
  <c r="AW48" i="48" s="1"/>
  <c r="AW63" i="48" s="1"/>
  <c r="AN22" i="49" s="1"/>
  <c r="W8" i="48"/>
  <c r="W18" i="48"/>
  <c r="AV23" i="48" s="1"/>
  <c r="AV49" i="48" s="1"/>
  <c r="AV64" i="48" s="1"/>
  <c r="AM23" i="49" s="1"/>
  <c r="V9" i="48"/>
  <c r="AY9" i="48"/>
  <c r="AW56" i="48"/>
  <c r="BS55" i="15"/>
  <c r="AR17" i="15"/>
  <c r="AQ8" i="15"/>
  <c r="L8" i="46" s="1"/>
  <c r="L17" i="46" s="1"/>
  <c r="AE22" i="46" s="1"/>
  <c r="AE29" i="46" s="1"/>
  <c r="BR13" i="15"/>
  <c r="BQ17" i="15"/>
  <c r="BQ14" i="15"/>
  <c r="BP18" i="15"/>
  <c r="BT54" i="15"/>
  <c r="BU53" i="15"/>
  <c r="BR16" i="15"/>
  <c r="BS7" i="15"/>
  <c r="AN7" i="46" s="1"/>
  <c r="AN16" i="46" s="1"/>
  <c r="AN21" i="46" s="1"/>
  <c r="AS16" i="15"/>
  <c r="AR7" i="15"/>
  <c r="M7" i="46" s="1"/>
  <c r="M16" i="46" s="1"/>
  <c r="AF21" i="46" s="1"/>
  <c r="BU9" i="15"/>
  <c r="AP9" i="46" s="1"/>
  <c r="AP18" i="46" s="1"/>
  <c r="AP23" i="46" s="1"/>
  <c r="AP30" i="46" s="1"/>
  <c r="AQ18" i="15"/>
  <c r="AP9" i="15"/>
  <c r="K9" i="46" s="1"/>
  <c r="K18" i="46" s="1"/>
  <c r="AD23" i="46" s="1"/>
  <c r="AD30" i="46" s="1"/>
  <c r="BR56" i="15"/>
  <c r="P35" i="51"/>
  <c r="P102" i="50"/>
  <c r="V66" i="51"/>
  <c r="V68" i="51" s="1"/>
  <c r="W49" i="51"/>
  <c r="U32" i="51"/>
  <c r="U27" i="50"/>
  <c r="S79" i="50"/>
  <c r="AO55" i="49"/>
  <c r="CD14" i="5"/>
  <c r="AR191" i="49"/>
  <c r="AF145" i="5"/>
  <c r="AF80" i="5"/>
  <c r="AF146" i="5" s="1"/>
  <c r="AF135" i="5"/>
  <c r="CS104" i="5"/>
  <c r="CN107" i="5"/>
  <c r="CN27" i="5"/>
  <c r="CI118" i="5"/>
  <c r="CI95" i="5"/>
  <c r="BO147" i="5"/>
  <c r="BT85" i="5"/>
  <c r="AN77" i="49"/>
  <c r="R50" i="51" l="1"/>
  <c r="R54" i="51" s="1"/>
  <c r="R56" i="51"/>
  <c r="Q60" i="51"/>
  <c r="Q69" i="51" s="1"/>
  <c r="Q61" i="51"/>
  <c r="L168" i="45"/>
  <c r="AH71" i="49" s="1"/>
  <c r="AB37" i="49"/>
  <c r="AD37" i="49"/>
  <c r="AC37" i="49"/>
  <c r="AE37" i="49"/>
  <c r="AO111" i="5"/>
  <c r="K171" i="45"/>
  <c r="K203" i="45" s="1"/>
  <c r="R62" i="51"/>
  <c r="N144" i="45"/>
  <c r="AZ226" i="5"/>
  <c r="AZ111" i="5" s="1"/>
  <c r="AZ225" i="5"/>
  <c r="M22" i="50" s="1"/>
  <c r="BU29" i="15"/>
  <c r="BU33" i="15" s="1"/>
  <c r="BU37" i="15" s="1"/>
  <c r="BU41" i="15" s="1"/>
  <c r="BU30" i="15"/>
  <c r="BU27" i="15"/>
  <c r="BU31" i="15" s="1"/>
  <c r="BU35" i="15" s="1"/>
  <c r="BU39" i="15" s="1"/>
  <c r="AK47" i="46"/>
  <c r="AN28" i="46"/>
  <c r="AN24" i="46"/>
  <c r="AN31" i="46" s="1"/>
  <c r="AG42" i="46"/>
  <c r="AG32" i="46"/>
  <c r="AG46" i="46" s="1"/>
  <c r="AH47" i="46" s="1"/>
  <c r="AM25" i="46"/>
  <c r="AF28" i="46"/>
  <c r="AF24" i="46"/>
  <c r="AF31" i="46" s="1"/>
  <c r="AL42" i="46"/>
  <c r="AL32" i="46"/>
  <c r="AL46" i="46" s="1"/>
  <c r="AK52" i="46"/>
  <c r="AJ56" i="46"/>
  <c r="AJ52" i="46"/>
  <c r="AL25" i="46"/>
  <c r="AG25" i="46"/>
  <c r="AH51" i="46"/>
  <c r="AM32" i="46"/>
  <c r="AM46" i="46" s="1"/>
  <c r="AM51" i="46" s="1"/>
  <c r="AM42" i="46"/>
  <c r="Z43" i="49"/>
  <c r="AF43" i="49"/>
  <c r="AG43" i="49"/>
  <c r="AU10" i="5" s="1"/>
  <c r="M51" i="47"/>
  <c r="AK83" i="49" s="1"/>
  <c r="AO16" i="54"/>
  <c r="AM34" i="54"/>
  <c r="Y8" i="54"/>
  <c r="X9" i="54"/>
  <c r="X10" i="54" s="1"/>
  <c r="AN25" i="54"/>
  <c r="AN63" i="54"/>
  <c r="AN41" i="54"/>
  <c r="AO6" i="54"/>
  <c r="S29" i="47"/>
  <c r="R32" i="47"/>
  <c r="L78" i="47"/>
  <c r="M65" i="47"/>
  <c r="N44" i="47"/>
  <c r="K83" i="47"/>
  <c r="AI85" i="49"/>
  <c r="M62" i="47"/>
  <c r="N35" i="47"/>
  <c r="J92" i="47"/>
  <c r="P59" i="47"/>
  <c r="Q56" i="47"/>
  <c r="L51" i="34"/>
  <c r="AM79" i="49"/>
  <c r="AM78" i="49"/>
  <c r="AG16" i="30"/>
  <c r="Q9" i="30"/>
  <c r="Q10" i="30" s="1"/>
  <c r="R8" i="30"/>
  <c r="AF25" i="30"/>
  <c r="AL178" i="49"/>
  <c r="M47" i="34" s="1"/>
  <c r="M50" i="34" s="1"/>
  <c r="BT17" i="5"/>
  <c r="AL80" i="49"/>
  <c r="X136" i="49"/>
  <c r="X44" i="49"/>
  <c r="N167" i="45"/>
  <c r="AJ70" i="49" s="1"/>
  <c r="AI66" i="49"/>
  <c r="O141" i="45"/>
  <c r="P30" i="45"/>
  <c r="P104" i="45" s="1"/>
  <c r="O68" i="45"/>
  <c r="K97" i="45"/>
  <c r="H192" i="45"/>
  <c r="H194" i="45" s="1"/>
  <c r="H189" i="45"/>
  <c r="M166" i="45"/>
  <c r="L163" i="45"/>
  <c r="AH67" i="49" s="1"/>
  <c r="AH65" i="49"/>
  <c r="M87" i="45"/>
  <c r="N70" i="45"/>
  <c r="N73" i="45" s="1"/>
  <c r="V60" i="45"/>
  <c r="V58" i="45"/>
  <c r="V63" i="45"/>
  <c r="V61" i="45"/>
  <c r="U64" i="45"/>
  <c r="U62" i="45"/>
  <c r="U65" i="45"/>
  <c r="P35" i="45"/>
  <c r="P109" i="45" s="1"/>
  <c r="R11" i="45"/>
  <c r="R15" i="45" s="1"/>
  <c r="R9" i="45"/>
  <c r="R14" i="45" s="1"/>
  <c r="S7" i="45"/>
  <c r="Q25" i="45"/>
  <c r="Q24" i="45"/>
  <c r="Q23" i="45"/>
  <c r="AH37" i="49"/>
  <c r="Y44" i="49"/>
  <c r="Y136" i="49"/>
  <c r="O67" i="45"/>
  <c r="AF166" i="49"/>
  <c r="J208" i="45" s="1"/>
  <c r="J211" i="45" s="1"/>
  <c r="AP12" i="5"/>
  <c r="P29" i="45"/>
  <c r="P31" i="45"/>
  <c r="P105" i="45" s="1"/>
  <c r="O108" i="45"/>
  <c r="J97" i="45"/>
  <c r="M161" i="45"/>
  <c r="V50" i="45"/>
  <c r="V48" i="45"/>
  <c r="V51" i="45"/>
  <c r="M74" i="45"/>
  <c r="M88" i="45" s="1"/>
  <c r="P34" i="45"/>
  <c r="P108" i="45" s="1"/>
  <c r="P36" i="45"/>
  <c r="P110" i="45" s="1"/>
  <c r="Q20" i="45"/>
  <c r="Q19" i="45"/>
  <c r="Q18" i="45"/>
  <c r="L95" i="45"/>
  <c r="AH41" i="49" s="1"/>
  <c r="AH39" i="49"/>
  <c r="AY47" i="48"/>
  <c r="AY62" i="48" s="1"/>
  <c r="AX56" i="48"/>
  <c r="AW24" i="48"/>
  <c r="AW50" i="48" s="1"/>
  <c r="AW65" i="48" s="1"/>
  <c r="AN24" i="49" s="1"/>
  <c r="AW47" i="48"/>
  <c r="AW62" i="48" s="1"/>
  <c r="AX14" i="48"/>
  <c r="AW18" i="48"/>
  <c r="AZ36" i="48"/>
  <c r="AZ33" i="48"/>
  <c r="AZ31" i="48"/>
  <c r="AZ34" i="48"/>
  <c r="AZ48" i="48" s="1"/>
  <c r="AZ63" i="48" s="1"/>
  <c r="AQ22" i="49" s="1"/>
  <c r="BA55" i="48"/>
  <c r="AZ17" i="48"/>
  <c r="BA22" i="48" s="1"/>
  <c r="BA8" i="48"/>
  <c r="BA17" i="48" s="1"/>
  <c r="AY37" i="48"/>
  <c r="AY35" i="48"/>
  <c r="AY38" i="48"/>
  <c r="AZ9" i="48"/>
  <c r="V18" i="48"/>
  <c r="AU23" i="48" s="1"/>
  <c r="AU49" i="48" s="1"/>
  <c r="AU64" i="48" s="1"/>
  <c r="AL23" i="49" s="1"/>
  <c r="U9" i="48"/>
  <c r="W17" i="48"/>
  <c r="AV22" i="48" s="1"/>
  <c r="AV48" i="48" s="1"/>
  <c r="AV63" i="48" s="1"/>
  <c r="AM22" i="49" s="1"/>
  <c r="V8" i="48"/>
  <c r="AY16" i="48"/>
  <c r="AZ21" i="48" s="1"/>
  <c r="AZ7" i="48"/>
  <c r="W16" i="48"/>
  <c r="AV21" i="48" s="1"/>
  <c r="V7" i="48"/>
  <c r="AX23" i="48"/>
  <c r="AY40" i="48"/>
  <c r="AX42" i="48"/>
  <c r="BA32" i="48"/>
  <c r="BA30" i="48"/>
  <c r="AM47" i="49"/>
  <c r="AK47" i="49"/>
  <c r="BS56" i="15"/>
  <c r="AP18" i="15"/>
  <c r="AO9" i="15"/>
  <c r="J9" i="46" s="1"/>
  <c r="J18" i="46" s="1"/>
  <c r="AC23" i="46" s="1"/>
  <c r="AC30" i="46" s="1"/>
  <c r="AL47" i="49"/>
  <c r="AR16" i="15"/>
  <c r="AQ7" i="15"/>
  <c r="L7" i="46" s="1"/>
  <c r="L16" i="46" s="1"/>
  <c r="AE21" i="46" s="1"/>
  <c r="BT55" i="15"/>
  <c r="BR14" i="15"/>
  <c r="BQ18" i="15"/>
  <c r="AQ17" i="15"/>
  <c r="AP8" i="15"/>
  <c r="K8" i="46" s="1"/>
  <c r="K17" i="46" s="1"/>
  <c r="AD22" i="46" s="1"/>
  <c r="AD29" i="46" s="1"/>
  <c r="BS16" i="15"/>
  <c r="BT7" i="15"/>
  <c r="AO7" i="46" s="1"/>
  <c r="AO16" i="46" s="1"/>
  <c r="AO21" i="46" s="1"/>
  <c r="BU54" i="15"/>
  <c r="BS13" i="15"/>
  <c r="BR17" i="15"/>
  <c r="V32" i="51"/>
  <c r="W66" i="51"/>
  <c r="W68" i="51" s="1"/>
  <c r="T79" i="50"/>
  <c r="V27" i="50"/>
  <c r="CI14" i="5"/>
  <c r="AP55" i="49"/>
  <c r="CN118" i="5"/>
  <c r="CN95" i="5"/>
  <c r="BT147" i="5"/>
  <c r="BY85" i="5"/>
  <c r="CX104" i="5"/>
  <c r="CS107" i="5"/>
  <c r="V73" i="51" s="1"/>
  <c r="V9" i="51" s="1"/>
  <c r="CS27" i="5"/>
  <c r="AO77" i="49"/>
  <c r="R51" i="51" l="1"/>
  <c r="S50" i="51"/>
  <c r="S54" i="51" s="1"/>
  <c r="Q31" i="51"/>
  <c r="Q76" i="51"/>
  <c r="Q28" i="50" s="1"/>
  <c r="R61" i="51"/>
  <c r="R60" i="51"/>
  <c r="R69" i="51" s="1"/>
  <c r="S56" i="51"/>
  <c r="AF44" i="49"/>
  <c r="AD43" i="49"/>
  <c r="AC43" i="49"/>
  <c r="AB43" i="49"/>
  <c r="Z44" i="49"/>
  <c r="AE43" i="49"/>
  <c r="AG73" i="49"/>
  <c r="AG166" i="49" s="1"/>
  <c r="K208" i="45" s="1"/>
  <c r="K211" i="45" s="1"/>
  <c r="S62" i="51"/>
  <c r="S51" i="51"/>
  <c r="N33" i="51"/>
  <c r="N35" i="51" s="1"/>
  <c r="M33" i="51"/>
  <c r="M35" i="51" s="1"/>
  <c r="AF25" i="46"/>
  <c r="AM47" i="46"/>
  <c r="AL51" i="46"/>
  <c r="AL47" i="46"/>
  <c r="AM56" i="46"/>
  <c r="AF42" i="46"/>
  <c r="AF32" i="46"/>
  <c r="AF46" i="46" s="1"/>
  <c r="AE24" i="46"/>
  <c r="AE31" i="46" s="1"/>
  <c r="AE28" i="46"/>
  <c r="AN25" i="46"/>
  <c r="AO28" i="46"/>
  <c r="AO24" i="46"/>
  <c r="AO31" i="46" s="1"/>
  <c r="AI52" i="46"/>
  <c r="AH56" i="46"/>
  <c r="AG51" i="46"/>
  <c r="AG56" i="46" s="1"/>
  <c r="AN42" i="46"/>
  <c r="AN32" i="46"/>
  <c r="AN46" i="46" s="1"/>
  <c r="AF136" i="49"/>
  <c r="J184" i="45" s="1"/>
  <c r="J188" i="45" s="1"/>
  <c r="AK10" i="5"/>
  <c r="Z136" i="49"/>
  <c r="AA136" i="49" s="1"/>
  <c r="L171" i="45"/>
  <c r="L203" i="45" s="1"/>
  <c r="AP10" i="5"/>
  <c r="AG44" i="49"/>
  <c r="AG136" i="49"/>
  <c r="K184" i="45" s="1"/>
  <c r="K188" i="45" s="1"/>
  <c r="M52" i="47"/>
  <c r="AH43" i="49"/>
  <c r="AH136" i="49" s="1"/>
  <c r="L184" i="45" s="1"/>
  <c r="AO63" i="54"/>
  <c r="AO41" i="54"/>
  <c r="Y9" i="54"/>
  <c r="Y10" i="54" s="1"/>
  <c r="Z8" i="54"/>
  <c r="AN34" i="54"/>
  <c r="AO25" i="54"/>
  <c r="M68" i="47"/>
  <c r="N65" i="47" s="1"/>
  <c r="M71" i="47"/>
  <c r="R56" i="47"/>
  <c r="Q59" i="47"/>
  <c r="N41" i="47"/>
  <c r="AI172" i="49"/>
  <c r="K88" i="47" s="1"/>
  <c r="K91" i="47" s="1"/>
  <c r="BE18" i="5"/>
  <c r="AI86" i="49"/>
  <c r="L79" i="47"/>
  <c r="L82" i="47"/>
  <c r="AJ84" i="49"/>
  <c r="S32" i="47"/>
  <c r="T29" i="47"/>
  <c r="T32" i="47" s="1"/>
  <c r="M51" i="34"/>
  <c r="AN79" i="49"/>
  <c r="AN78" i="49"/>
  <c r="AG25" i="30"/>
  <c r="R9" i="30"/>
  <c r="R10" i="30" s="1"/>
  <c r="S8" i="30"/>
  <c r="AM178" i="49"/>
  <c r="N47" i="34" s="1"/>
  <c r="N50" i="34" s="1"/>
  <c r="BY17" i="5"/>
  <c r="AM80" i="49"/>
  <c r="J212" i="45"/>
  <c r="Q29" i="45"/>
  <c r="Q31" i="45"/>
  <c r="Q105" i="45" s="1"/>
  <c r="N166" i="45"/>
  <c r="M163" i="45"/>
  <c r="AI67" i="49" s="1"/>
  <c r="AI65" i="49"/>
  <c r="J174" i="45"/>
  <c r="J175" i="45" s="1"/>
  <c r="J99" i="45"/>
  <c r="J142" i="45" s="1"/>
  <c r="P67" i="45"/>
  <c r="L97" i="45"/>
  <c r="Q35" i="45"/>
  <c r="Q109" i="45" s="1"/>
  <c r="S11" i="45"/>
  <c r="S15" i="45" s="1"/>
  <c r="S9" i="45"/>
  <c r="S14" i="45" s="1"/>
  <c r="T7" i="45"/>
  <c r="R25" i="45"/>
  <c r="R24" i="45"/>
  <c r="R23" i="45"/>
  <c r="N87" i="45"/>
  <c r="O70" i="45"/>
  <c r="M168" i="45"/>
  <c r="AI69" i="49"/>
  <c r="K174" i="45"/>
  <c r="K99" i="45"/>
  <c r="K142" i="45" s="1"/>
  <c r="N71" i="45"/>
  <c r="Q30" i="45"/>
  <c r="Q104" i="45" s="1"/>
  <c r="P68" i="45"/>
  <c r="M93" i="45"/>
  <c r="AI40" i="49" s="1"/>
  <c r="AI36" i="49"/>
  <c r="N161" i="45"/>
  <c r="P103" i="45"/>
  <c r="P141" i="45" s="1"/>
  <c r="Q108" i="45"/>
  <c r="Q34" i="45"/>
  <c r="Q36" i="45"/>
  <c r="Q110" i="45" s="1"/>
  <c r="R20" i="45"/>
  <c r="R19" i="45"/>
  <c r="R18" i="45"/>
  <c r="V64" i="45"/>
  <c r="V62" i="45"/>
  <c r="V65" i="45"/>
  <c r="M92" i="45"/>
  <c r="M90" i="45"/>
  <c r="AI35" i="49"/>
  <c r="N147" i="45"/>
  <c r="N162" i="45" s="1"/>
  <c r="BA33" i="48"/>
  <c r="BA31" i="48"/>
  <c r="BA36" i="48"/>
  <c r="BA34" i="48"/>
  <c r="BA48" i="48" s="1"/>
  <c r="BA63" i="48" s="1"/>
  <c r="AR22" i="49" s="1"/>
  <c r="AZ40" i="48"/>
  <c r="AY42" i="48"/>
  <c r="AV24" i="48"/>
  <c r="AV50" i="48" s="1"/>
  <c r="AV65" i="48" s="1"/>
  <c r="AM24" i="49" s="1"/>
  <c r="AV47" i="48"/>
  <c r="AV62" i="48" s="1"/>
  <c r="AZ37" i="48"/>
  <c r="AZ35" i="48"/>
  <c r="AZ38" i="48"/>
  <c r="AY14" i="48"/>
  <c r="AX18" i="48"/>
  <c r="AY23" i="48" s="1"/>
  <c r="AP21" i="49"/>
  <c r="AX49" i="48"/>
  <c r="AX64" i="48" s="1"/>
  <c r="AX24" i="48"/>
  <c r="AX50" i="48" s="1"/>
  <c r="AX65" i="48" s="1"/>
  <c r="AO24" i="49" s="1"/>
  <c r="V16" i="48"/>
  <c r="AU21" i="48" s="1"/>
  <c r="U7" i="48"/>
  <c r="AZ16" i="48"/>
  <c r="BA21" i="48" s="1"/>
  <c r="BA7" i="48"/>
  <c r="BA16" i="48" s="1"/>
  <c r="V17" i="48"/>
  <c r="AU22" i="48" s="1"/>
  <c r="AU48" i="48" s="1"/>
  <c r="AU63" i="48" s="1"/>
  <c r="AL22" i="49" s="1"/>
  <c r="U8" i="48"/>
  <c r="U18" i="48"/>
  <c r="AT23" i="48" s="1"/>
  <c r="AT49" i="48" s="1"/>
  <c r="AT64" i="48" s="1"/>
  <c r="AK23" i="49" s="1"/>
  <c r="T9" i="48"/>
  <c r="BA9" i="48"/>
  <c r="AZ47" i="48"/>
  <c r="AZ62" i="48" s="1"/>
  <c r="AW66" i="48"/>
  <c r="AN21" i="49"/>
  <c r="AN31" i="49" s="1"/>
  <c r="AY56" i="48"/>
  <c r="AJ47" i="49"/>
  <c r="AP17" i="15"/>
  <c r="AO8" i="15"/>
  <c r="J8" i="46" s="1"/>
  <c r="J17" i="46" s="1"/>
  <c r="AC22" i="46" s="1"/>
  <c r="AC29" i="46" s="1"/>
  <c r="BS14" i="15"/>
  <c r="BR18" i="15"/>
  <c r="AL49" i="49"/>
  <c r="AL51" i="49"/>
  <c r="AK49" i="49"/>
  <c r="AK51" i="49"/>
  <c r="BT13" i="15"/>
  <c r="BS17" i="15"/>
  <c r="BU55" i="15"/>
  <c r="BT16" i="15"/>
  <c r="BU7" i="15"/>
  <c r="AP7" i="46" s="1"/>
  <c r="AP16" i="46" s="1"/>
  <c r="AP21" i="46" s="1"/>
  <c r="AQ16" i="15"/>
  <c r="AP7" i="15"/>
  <c r="K7" i="46" s="1"/>
  <c r="K16" i="46" s="1"/>
  <c r="AD21" i="46" s="1"/>
  <c r="AO18" i="15"/>
  <c r="AN9" i="15"/>
  <c r="I9" i="46" s="1"/>
  <c r="I18" i="46" s="1"/>
  <c r="AB23" i="46" s="1"/>
  <c r="AB30" i="46" s="1"/>
  <c r="BT56" i="15"/>
  <c r="AM49" i="49"/>
  <c r="AM51" i="49"/>
  <c r="W32" i="51"/>
  <c r="W27" i="50"/>
  <c r="U79" i="50"/>
  <c r="AQ55" i="49"/>
  <c r="CN14" i="5"/>
  <c r="CX107" i="5"/>
  <c r="W73" i="51" s="1"/>
  <c r="W9" i="51" s="1"/>
  <c r="CX27" i="5"/>
  <c r="BY147" i="5"/>
  <c r="CD85" i="5"/>
  <c r="CS118" i="5"/>
  <c r="CS95" i="5"/>
  <c r="AP77" i="49"/>
  <c r="Q35" i="51" l="1"/>
  <c r="Q102" i="50"/>
  <c r="R31" i="51"/>
  <c r="R76" i="51"/>
  <c r="R28" i="50" s="1"/>
  <c r="T50" i="51"/>
  <c r="T51" i="51" s="1"/>
  <c r="S60" i="51"/>
  <c r="S69" i="51" s="1"/>
  <c r="S61" i="51"/>
  <c r="AC41" i="49"/>
  <c r="AC136" i="49"/>
  <c r="AM10" i="5"/>
  <c r="AC44" i="49"/>
  <c r="AD136" i="49"/>
  <c r="AN10" i="5"/>
  <c r="AD44" i="49"/>
  <c r="AD41" i="49"/>
  <c r="AB136" i="49"/>
  <c r="AB41" i="49"/>
  <c r="AL10" i="5"/>
  <c r="AB44" i="49"/>
  <c r="AE136" i="49"/>
  <c r="AO10" i="5"/>
  <c r="AE44" i="49"/>
  <c r="AE41" i="49"/>
  <c r="AU12" i="5"/>
  <c r="AG74" i="49"/>
  <c r="T54" i="51"/>
  <c r="T56" i="51"/>
  <c r="O144" i="45"/>
  <c r="AE25" i="46"/>
  <c r="AO25" i="46"/>
  <c r="AP28" i="46"/>
  <c r="AP24" i="46"/>
  <c r="AP31" i="46" s="1"/>
  <c r="AO42" i="46"/>
  <c r="AO32" i="46"/>
  <c r="AO46" i="46" s="1"/>
  <c r="AF51" i="46"/>
  <c r="AD28" i="46"/>
  <c r="AD24" i="46"/>
  <c r="AD31" i="46" s="1"/>
  <c r="AE42" i="46"/>
  <c r="AE32" i="46"/>
  <c r="AE46" i="46" s="1"/>
  <c r="AE51" i="46" s="1"/>
  <c r="AE56" i="46" s="1"/>
  <c r="AL56" i="46"/>
  <c r="AL52" i="46"/>
  <c r="AG47" i="46"/>
  <c r="AN47" i="46"/>
  <c r="AN51" i="46"/>
  <c r="AH52" i="46"/>
  <c r="AM52" i="46"/>
  <c r="AA137" i="49"/>
  <c r="I184" i="45"/>
  <c r="I188" i="45" s="1"/>
  <c r="I189" i="45" s="1"/>
  <c r="AH73" i="49"/>
  <c r="AH74" i="49" s="1"/>
  <c r="AZ10" i="5"/>
  <c r="K175" i="45"/>
  <c r="AH44" i="49"/>
  <c r="M78" i="47"/>
  <c r="M82" i="47" s="1"/>
  <c r="AO34" i="54"/>
  <c r="AA8" i="54"/>
  <c r="Z9" i="54"/>
  <c r="N51" i="47"/>
  <c r="O38" i="47"/>
  <c r="N71" i="47"/>
  <c r="L83" i="47"/>
  <c r="AJ85" i="49"/>
  <c r="K92" i="47"/>
  <c r="O35" i="47"/>
  <c r="R59" i="47"/>
  <c r="S56" i="47"/>
  <c r="N62" i="47"/>
  <c r="N51" i="34"/>
  <c r="R19" i="30"/>
  <c r="R15" i="30"/>
  <c r="R17" i="30" s="1"/>
  <c r="R28" i="30" s="1"/>
  <c r="S10" i="30"/>
  <c r="S9" i="30"/>
  <c r="T8" i="30"/>
  <c r="AO79" i="49"/>
  <c r="AO78" i="49"/>
  <c r="AN80" i="49"/>
  <c r="CD17" i="5"/>
  <c r="AN178" i="49"/>
  <c r="O47" i="34" s="1"/>
  <c r="O50" i="34" s="1"/>
  <c r="J148" i="45"/>
  <c r="J145" i="45" s="1"/>
  <c r="K148" i="45"/>
  <c r="K145" i="45" s="1"/>
  <c r="O167" i="45"/>
  <c r="AK70" i="49" s="1"/>
  <c r="AJ66" i="49"/>
  <c r="M95" i="45"/>
  <c r="AI41" i="49" s="1"/>
  <c r="AI39" i="49"/>
  <c r="R29" i="45"/>
  <c r="R31" i="45"/>
  <c r="R105" i="45" s="1"/>
  <c r="O166" i="45"/>
  <c r="N163" i="45"/>
  <c r="AJ67" i="49" s="1"/>
  <c r="AJ65" i="49"/>
  <c r="N74" i="45"/>
  <c r="N88" i="45" s="1"/>
  <c r="N90" i="45" s="1"/>
  <c r="K189" i="45"/>
  <c r="R34" i="45"/>
  <c r="R108" i="45" s="1"/>
  <c r="R110" i="45"/>
  <c r="R36" i="45"/>
  <c r="S20" i="45"/>
  <c r="S19" i="45"/>
  <c r="S18" i="45"/>
  <c r="L188" i="45"/>
  <c r="L174" i="45"/>
  <c r="L175" i="45" s="1"/>
  <c r="L99" i="45"/>
  <c r="L142" i="45" s="1"/>
  <c r="J189" i="45"/>
  <c r="Q67" i="45"/>
  <c r="K212" i="45"/>
  <c r="AI37" i="49"/>
  <c r="R104" i="45"/>
  <c r="R30" i="45"/>
  <c r="Q68" i="45"/>
  <c r="M171" i="45"/>
  <c r="AI71" i="49"/>
  <c r="N92" i="45"/>
  <c r="AJ35" i="49"/>
  <c r="R35" i="45"/>
  <c r="R109" i="45" s="1"/>
  <c r="T11" i="45"/>
  <c r="T15" i="45" s="1"/>
  <c r="T9" i="45"/>
  <c r="T14" i="45" s="1"/>
  <c r="U7" i="45"/>
  <c r="S25" i="45"/>
  <c r="S24" i="45"/>
  <c r="S23" i="45"/>
  <c r="O73" i="45"/>
  <c r="P70" i="45" s="1"/>
  <c r="N168" i="45"/>
  <c r="AJ69" i="49"/>
  <c r="Q103" i="45"/>
  <c r="Q141" i="45" s="1"/>
  <c r="AZ56" i="48"/>
  <c r="T18" i="48"/>
  <c r="AS23" i="48" s="1"/>
  <c r="AS49" i="48" s="1"/>
  <c r="AS64" i="48" s="1"/>
  <c r="AJ23" i="49" s="1"/>
  <c r="S9" i="48"/>
  <c r="U17" i="48"/>
  <c r="AT22" i="48" s="1"/>
  <c r="AT48" i="48" s="1"/>
  <c r="AT63" i="48" s="1"/>
  <c r="AK22" i="49" s="1"/>
  <c r="T8" i="48"/>
  <c r="U16" i="48"/>
  <c r="AT21" i="48" s="1"/>
  <c r="T7" i="48"/>
  <c r="AY49" i="48"/>
  <c r="AY64" i="48" s="1"/>
  <c r="AY24" i="48"/>
  <c r="AY50" i="48" s="1"/>
  <c r="AY65" i="48" s="1"/>
  <c r="AP24" i="49" s="1"/>
  <c r="AV66" i="48"/>
  <c r="AW67" i="48" s="1"/>
  <c r="AM21" i="49"/>
  <c r="AM31" i="49" s="1"/>
  <c r="AN32" i="49" s="1"/>
  <c r="AN25" i="49"/>
  <c r="CD8" i="5"/>
  <c r="AN128" i="49"/>
  <c r="AW76" i="48" s="1"/>
  <c r="AW80" i="48" s="1"/>
  <c r="AQ21" i="49"/>
  <c r="AU24" i="48"/>
  <c r="AU50" i="48" s="1"/>
  <c r="AU65" i="48" s="1"/>
  <c r="AL24" i="49" s="1"/>
  <c r="AU47" i="48"/>
  <c r="AU62" i="48" s="1"/>
  <c r="AO23" i="49"/>
  <c r="AO31" i="49" s="1"/>
  <c r="AX66" i="48"/>
  <c r="BA47" i="48"/>
  <c r="BA62" i="48" s="1"/>
  <c r="AZ14" i="48"/>
  <c r="AY18" i="48"/>
  <c r="AZ23" i="48" s="1"/>
  <c r="BA40" i="48"/>
  <c r="BA42" i="48" s="1"/>
  <c r="AZ42" i="48"/>
  <c r="BA37" i="48"/>
  <c r="BA35" i="48"/>
  <c r="BA38" i="48"/>
  <c r="BY13" i="5"/>
  <c r="AM52" i="49"/>
  <c r="BU56" i="15"/>
  <c r="AP16" i="15"/>
  <c r="AO7" i="15"/>
  <c r="J7" i="46" s="1"/>
  <c r="J16" i="46" s="1"/>
  <c r="AC21" i="46" s="1"/>
  <c r="BU16" i="15"/>
  <c r="AN47" i="49"/>
  <c r="BT14" i="15"/>
  <c r="BS18" i="15"/>
  <c r="AJ49" i="49"/>
  <c r="AJ51" i="49"/>
  <c r="AK52" i="49" s="1"/>
  <c r="AN18" i="15"/>
  <c r="AM9" i="15"/>
  <c r="H9" i="46" s="1"/>
  <c r="H18" i="46" s="1"/>
  <c r="AA23" i="46" s="1"/>
  <c r="AA30" i="46" s="1"/>
  <c r="AI47" i="49"/>
  <c r="BU13" i="15"/>
  <c r="BU17" i="15" s="1"/>
  <c r="BT17" i="15"/>
  <c r="BO13" i="5"/>
  <c r="BT13" i="5"/>
  <c r="AL52" i="49"/>
  <c r="AO17" i="15"/>
  <c r="AN8" i="15"/>
  <c r="I8" i="46" s="1"/>
  <c r="I17" i="46" s="1"/>
  <c r="AB22" i="46" s="1"/>
  <c r="AB29" i="46" s="1"/>
  <c r="V79" i="50"/>
  <c r="AR55" i="49"/>
  <c r="CS14" i="5"/>
  <c r="CD147" i="5"/>
  <c r="CI85" i="5"/>
  <c r="CX118" i="5"/>
  <c r="CX95" i="5"/>
  <c r="AQ77" i="49"/>
  <c r="AR77" i="49"/>
  <c r="T62" i="51" l="1"/>
  <c r="U50" i="51" s="1"/>
  <c r="R35" i="51"/>
  <c r="R102" i="50"/>
  <c r="S31" i="51"/>
  <c r="S76" i="51"/>
  <c r="S28" i="50" s="1"/>
  <c r="T60" i="51"/>
  <c r="T69" i="51" s="1"/>
  <c r="T61" i="51"/>
  <c r="AF47" i="46"/>
  <c r="AP25" i="46"/>
  <c r="AD32" i="46"/>
  <c r="AD46" i="46" s="1"/>
  <c r="AD42" i="46"/>
  <c r="AG52" i="46"/>
  <c r="AF56" i="46"/>
  <c r="AF52" i="46"/>
  <c r="AC24" i="46"/>
  <c r="AC31" i="46" s="1"/>
  <c r="AC28" i="46"/>
  <c r="AN52" i="46"/>
  <c r="AN56" i="46"/>
  <c r="AD25" i="46"/>
  <c r="AO51" i="46"/>
  <c r="AO56" i="46" s="1"/>
  <c r="AO47" i="46"/>
  <c r="AP42" i="46"/>
  <c r="AP32" i="46"/>
  <c r="AP46" i="46" s="1"/>
  <c r="M79" i="47"/>
  <c r="AH166" i="49"/>
  <c r="L208" i="45" s="1"/>
  <c r="L211" i="45" s="1"/>
  <c r="L212" i="45" s="1"/>
  <c r="AZ12" i="5"/>
  <c r="AK84" i="49"/>
  <c r="M97" i="45"/>
  <c r="M174" i="45" s="1"/>
  <c r="M175" i="45" s="1"/>
  <c r="O71" i="45"/>
  <c r="O74" i="45" s="1"/>
  <c r="O88" i="45" s="1"/>
  <c r="Z10" i="54"/>
  <c r="AA9" i="54"/>
  <c r="AA10" i="54" s="1"/>
  <c r="AB8" i="54"/>
  <c r="N68" i="47"/>
  <c r="AJ172" i="49"/>
  <c r="L88" i="47" s="1"/>
  <c r="L91" i="47" s="1"/>
  <c r="BJ18" i="5"/>
  <c r="AJ86" i="49"/>
  <c r="M83" i="47"/>
  <c r="AK85" i="49"/>
  <c r="O44" i="47"/>
  <c r="T56" i="47"/>
  <c r="T59" i="47" s="1"/>
  <c r="S59" i="47"/>
  <c r="O41" i="47"/>
  <c r="N52" i="47"/>
  <c r="AL83" i="49"/>
  <c r="O51" i="34"/>
  <c r="AP79" i="49"/>
  <c r="AP78" i="49"/>
  <c r="CI17" i="5"/>
  <c r="AO80" i="49"/>
  <c r="AO178" i="49"/>
  <c r="P47" i="34" s="1"/>
  <c r="P50" i="34" s="1"/>
  <c r="T9" i="30"/>
  <c r="U8" i="30"/>
  <c r="S19" i="30"/>
  <c r="S24" i="30" s="1"/>
  <c r="S26" i="30" s="1"/>
  <c r="T10" i="30"/>
  <c r="S15" i="30"/>
  <c r="S17" i="30" s="1"/>
  <c r="P73" i="45"/>
  <c r="P87" i="45" s="1"/>
  <c r="L148" i="45"/>
  <c r="L145" i="45" s="1"/>
  <c r="S108" i="45"/>
  <c r="S34" i="45"/>
  <c r="S110" i="45"/>
  <c r="S36" i="45"/>
  <c r="T20" i="45"/>
  <c r="T19" i="45"/>
  <c r="T18" i="45"/>
  <c r="AJ39" i="49"/>
  <c r="M203" i="45"/>
  <c r="AI73" i="49"/>
  <c r="L189" i="45"/>
  <c r="S29" i="45"/>
  <c r="S31" i="45"/>
  <c r="S105" i="45" s="1"/>
  <c r="O87" i="45"/>
  <c r="R67" i="45"/>
  <c r="N171" i="45"/>
  <c r="AJ71" i="49"/>
  <c r="S35" i="45"/>
  <c r="S109" i="45" s="1"/>
  <c r="U11" i="45"/>
  <c r="U15" i="45" s="1"/>
  <c r="U9" i="45"/>
  <c r="U14" i="45" s="1"/>
  <c r="V7" i="45"/>
  <c r="T25" i="45"/>
  <c r="T24" i="45"/>
  <c r="T23" i="45"/>
  <c r="AJ37" i="49"/>
  <c r="O161" i="45"/>
  <c r="O147" i="45"/>
  <c r="O162" i="45" s="1"/>
  <c r="S30" i="45"/>
  <c r="S104" i="45" s="1"/>
  <c r="R68" i="45"/>
  <c r="N93" i="45"/>
  <c r="AJ40" i="49" s="1"/>
  <c r="AJ36" i="49"/>
  <c r="O168" i="45"/>
  <c r="AK69" i="49"/>
  <c r="R103" i="45"/>
  <c r="R141" i="45" s="1"/>
  <c r="AI43" i="49"/>
  <c r="AW81" i="48"/>
  <c r="BA14" i="48"/>
  <c r="BA18" i="48" s="1"/>
  <c r="AZ18" i="48"/>
  <c r="BA23" i="48" s="1"/>
  <c r="AX67" i="48"/>
  <c r="AU66" i="48"/>
  <c r="AV67" i="48" s="1"/>
  <c r="AL21" i="49"/>
  <c r="AL31" i="49" s="1"/>
  <c r="AM32" i="49" s="1"/>
  <c r="BY8" i="5"/>
  <c r="AM25" i="49"/>
  <c r="AN27" i="49" s="1"/>
  <c r="AM128" i="49"/>
  <c r="AV76" i="48" s="1"/>
  <c r="AV80" i="48" s="1"/>
  <c r="AT24" i="48"/>
  <c r="AT50" i="48" s="1"/>
  <c r="AT65" i="48" s="1"/>
  <c r="AK24" i="49" s="1"/>
  <c r="AT47" i="48"/>
  <c r="AT62" i="48" s="1"/>
  <c r="BA56" i="48"/>
  <c r="AZ49" i="48"/>
  <c r="AZ64" i="48" s="1"/>
  <c r="AZ24" i="48"/>
  <c r="AZ50" i="48" s="1"/>
  <c r="AZ65" i="48" s="1"/>
  <c r="AQ24" i="49" s="1"/>
  <c r="AR21" i="49"/>
  <c r="CI8" i="5"/>
  <c r="AO32" i="49"/>
  <c r="AO25" i="49"/>
  <c r="AO27" i="49" s="1"/>
  <c r="AO128" i="49"/>
  <c r="AX76" i="48" s="1"/>
  <c r="AX80" i="48" s="1"/>
  <c r="AP23" i="49"/>
  <c r="AP31" i="49" s="1"/>
  <c r="AY66" i="48"/>
  <c r="T16" i="48"/>
  <c r="AS21" i="48" s="1"/>
  <c r="S7" i="48"/>
  <c r="T17" i="48"/>
  <c r="AS22" i="48" s="1"/>
  <c r="AS48" i="48" s="1"/>
  <c r="AS63" i="48" s="1"/>
  <c r="AJ22" i="49" s="1"/>
  <c r="S8" i="48"/>
  <c r="S18" i="48"/>
  <c r="AR23" i="48" s="1"/>
  <c r="AR49" i="48" s="1"/>
  <c r="AR64" i="48" s="1"/>
  <c r="AI23" i="49" s="1"/>
  <c r="R9" i="48"/>
  <c r="AO47" i="49"/>
  <c r="AM18" i="15"/>
  <c r="AL9" i="15"/>
  <c r="G9" i="46" s="1"/>
  <c r="G18" i="46" s="1"/>
  <c r="Z23" i="46" s="1"/>
  <c r="Z30" i="46" s="1"/>
  <c r="AN49" i="49"/>
  <c r="AN51" i="49"/>
  <c r="AH47" i="49"/>
  <c r="AN17" i="15"/>
  <c r="AM8" i="15"/>
  <c r="H8" i="46" s="1"/>
  <c r="H17" i="46" s="1"/>
  <c r="AA22" i="46" s="1"/>
  <c r="AA29" i="46" s="1"/>
  <c r="AI49" i="49"/>
  <c r="AI51" i="49"/>
  <c r="BJ13" i="5"/>
  <c r="AP47" i="49"/>
  <c r="BU14" i="15"/>
  <c r="BU18" i="15" s="1"/>
  <c r="BT18" i="15"/>
  <c r="AO16" i="15"/>
  <c r="AN7" i="15"/>
  <c r="I7" i="46" s="1"/>
  <c r="I16" i="46" s="1"/>
  <c r="AB21" i="46" s="1"/>
  <c r="W79" i="50"/>
  <c r="CX14" i="5"/>
  <c r="CI147" i="5"/>
  <c r="CN85" i="5"/>
  <c r="U62" i="51" l="1"/>
  <c r="U56" i="51"/>
  <c r="U61" i="51" s="1"/>
  <c r="U51" i="51"/>
  <c r="U54" i="51"/>
  <c r="S35" i="51"/>
  <c r="S102" i="50"/>
  <c r="T31" i="51"/>
  <c r="T76" i="51"/>
  <c r="T28" i="50" s="1"/>
  <c r="P144" i="45"/>
  <c r="AC25" i="46"/>
  <c r="AP51" i="46"/>
  <c r="AP47" i="46"/>
  <c r="AC32" i="46"/>
  <c r="AC46" i="46" s="1"/>
  <c r="AC42" i="46"/>
  <c r="AB28" i="46"/>
  <c r="AB24" i="46"/>
  <c r="AB31" i="46" s="1"/>
  <c r="AO52" i="46"/>
  <c r="AE47" i="46"/>
  <c r="AD51" i="46"/>
  <c r="M99" i="45"/>
  <c r="M142" i="45" s="1"/>
  <c r="M148" i="45" s="1"/>
  <c r="M145" i="45" s="1"/>
  <c r="O51" i="47"/>
  <c r="O52" i="47" s="1"/>
  <c r="Q70" i="45"/>
  <c r="Q73" i="45" s="1"/>
  <c r="P71" i="45"/>
  <c r="P74" i="45" s="1"/>
  <c r="AA19" i="54"/>
  <c r="AA15" i="54"/>
  <c r="AA17" i="54" s="1"/>
  <c r="AC8" i="54"/>
  <c r="AB9" i="54"/>
  <c r="AB10" i="54" s="1"/>
  <c r="Z28" i="54"/>
  <c r="Z15" i="54"/>
  <c r="Z17" i="54" s="1"/>
  <c r="Z37" i="54" s="1"/>
  <c r="P38" i="47"/>
  <c r="AK172" i="49"/>
  <c r="M88" i="47" s="1"/>
  <c r="M91" i="47" s="1"/>
  <c r="BO18" i="5"/>
  <c r="AK86" i="49"/>
  <c r="N78" i="47"/>
  <c r="O65" i="47"/>
  <c r="P35" i="47"/>
  <c r="L92" i="47"/>
  <c r="O62" i="47"/>
  <c r="P51" i="34"/>
  <c r="AR79" i="49"/>
  <c r="AR78" i="49"/>
  <c r="S28" i="30"/>
  <c r="AQ79" i="49"/>
  <c r="AQ78" i="49"/>
  <c r="T19" i="30"/>
  <c r="T24" i="30" s="1"/>
  <c r="T26" i="30" s="1"/>
  <c r="T15" i="30"/>
  <c r="T17" i="30" s="1"/>
  <c r="AA59" i="49" s="1"/>
  <c r="U9" i="30"/>
  <c r="U10" i="30" s="1"/>
  <c r="V8" i="30"/>
  <c r="AP80" i="49"/>
  <c r="CN17" i="5"/>
  <c r="AP178" i="49"/>
  <c r="Q47" i="34" s="1"/>
  <c r="Q50" i="34" s="1"/>
  <c r="P92" i="45"/>
  <c r="AL35" i="49"/>
  <c r="AK71" i="49"/>
  <c r="P166" i="45"/>
  <c r="O163" i="45"/>
  <c r="AK67" i="49" s="1"/>
  <c r="AK65" i="49"/>
  <c r="T108" i="45"/>
  <c r="T34" i="45"/>
  <c r="T36" i="45"/>
  <c r="T110" i="45" s="1"/>
  <c r="U20" i="45"/>
  <c r="U19" i="45"/>
  <c r="U18" i="45"/>
  <c r="N203" i="45"/>
  <c r="AJ73" i="49"/>
  <c r="S67" i="45"/>
  <c r="AI74" i="49"/>
  <c r="BE12" i="5"/>
  <c r="AI166" i="49"/>
  <c r="M208" i="45" s="1"/>
  <c r="M211" i="45" s="1"/>
  <c r="T29" i="45"/>
  <c r="T103" i="45" s="1"/>
  <c r="T105" i="45"/>
  <c r="T31" i="45"/>
  <c r="AI44" i="49"/>
  <c r="AI136" i="49"/>
  <c r="M184" i="45" s="1"/>
  <c r="M188" i="45" s="1"/>
  <c r="BE10" i="5"/>
  <c r="P167" i="45"/>
  <c r="AL70" i="49" s="1"/>
  <c r="AK66" i="49"/>
  <c r="T35" i="45"/>
  <c r="T109" i="45" s="1"/>
  <c r="V11" i="45"/>
  <c r="V15" i="45" s="1"/>
  <c r="V9" i="45"/>
  <c r="V14" i="45" s="1"/>
  <c r="U25" i="45"/>
  <c r="U24" i="45"/>
  <c r="U23" i="45"/>
  <c r="O93" i="45"/>
  <c r="AK40" i="49" s="1"/>
  <c r="AK36" i="49"/>
  <c r="O92" i="45"/>
  <c r="O90" i="45"/>
  <c r="AK35" i="49"/>
  <c r="S103" i="45"/>
  <c r="S141" i="45" s="1"/>
  <c r="N95" i="45"/>
  <c r="T30" i="45"/>
  <c r="T104" i="45" s="1"/>
  <c r="S68" i="45"/>
  <c r="AX81" i="48"/>
  <c r="R18" i="48"/>
  <c r="AQ23" i="48" s="1"/>
  <c r="AQ49" i="48" s="1"/>
  <c r="AQ64" i="48" s="1"/>
  <c r="AH23" i="49" s="1"/>
  <c r="Q9" i="48"/>
  <c r="S17" i="48"/>
  <c r="AR22" i="48" s="1"/>
  <c r="AR48" i="48" s="1"/>
  <c r="AR63" i="48" s="1"/>
  <c r="AI22" i="49" s="1"/>
  <c r="R8" i="48"/>
  <c r="S16" i="48"/>
  <c r="AR21" i="48" s="1"/>
  <c r="R7" i="48"/>
  <c r="AY67" i="48"/>
  <c r="AQ23" i="49"/>
  <c r="AQ31" i="49" s="1"/>
  <c r="AZ66" i="48"/>
  <c r="AT66" i="48"/>
  <c r="AU67" i="48" s="1"/>
  <c r="AK21" i="49"/>
  <c r="AK31" i="49" s="1"/>
  <c r="AL32" i="49" s="1"/>
  <c r="AS24" i="48"/>
  <c r="AS50" i="48" s="1"/>
  <c r="AS65" i="48" s="1"/>
  <c r="AJ24" i="49" s="1"/>
  <c r="AS47" i="48"/>
  <c r="AS62" i="48" s="1"/>
  <c r="AP32" i="49"/>
  <c r="CN8" i="5"/>
  <c r="AP25" i="49"/>
  <c r="AP27" i="49" s="1"/>
  <c r="AP128" i="49"/>
  <c r="AY76" i="48" s="1"/>
  <c r="AY80" i="48" s="1"/>
  <c r="AV81" i="48"/>
  <c r="BT8" i="5"/>
  <c r="AL25" i="49"/>
  <c r="AM27" i="49" s="1"/>
  <c r="AL128" i="49"/>
  <c r="AU76" i="48" s="1"/>
  <c r="AU80" i="48" s="1"/>
  <c r="BA49" i="48"/>
  <c r="BA64" i="48" s="1"/>
  <c r="BA24" i="48"/>
  <c r="BA50" i="48" s="1"/>
  <c r="BA65" i="48" s="1"/>
  <c r="AR24" i="49" s="1"/>
  <c r="BE13" i="5"/>
  <c r="AM17" i="15"/>
  <c r="AL8" i="15"/>
  <c r="G8" i="46" s="1"/>
  <c r="G17" i="46" s="1"/>
  <c r="Z22" i="46" s="1"/>
  <c r="Z29" i="46" s="1"/>
  <c r="AO49" i="49"/>
  <c r="AO51" i="49"/>
  <c r="AN16" i="15"/>
  <c r="AM7" i="15"/>
  <c r="H7" i="46" s="1"/>
  <c r="H16" i="46" s="1"/>
  <c r="AA21" i="46" s="1"/>
  <c r="AP49" i="49"/>
  <c r="AP51" i="49"/>
  <c r="AG47" i="49"/>
  <c r="AQ47" i="49"/>
  <c r="AJ52" i="49"/>
  <c r="AH49" i="49"/>
  <c r="AH51" i="49"/>
  <c r="AI52" i="49" s="1"/>
  <c r="AN52" i="49"/>
  <c r="CD13" i="5"/>
  <c r="AL18" i="15"/>
  <c r="AK9" i="15"/>
  <c r="F9" i="46" s="1"/>
  <c r="F18" i="46" s="1"/>
  <c r="Y23" i="46" s="1"/>
  <c r="Y30" i="46" s="1"/>
  <c r="CN147" i="5"/>
  <c r="CS85" i="5"/>
  <c r="V50" i="51" l="1"/>
  <c r="V54" i="51" s="1"/>
  <c r="U60" i="51"/>
  <c r="U69" i="51" s="1"/>
  <c r="U31" i="51" s="1"/>
  <c r="V56" i="51"/>
  <c r="V62" i="51"/>
  <c r="V51" i="51"/>
  <c r="U76" i="51"/>
  <c r="U28" i="50" s="1"/>
  <c r="T102" i="50"/>
  <c r="T35" i="51"/>
  <c r="AB25" i="46"/>
  <c r="AE52" i="46"/>
  <c r="AD56" i="46"/>
  <c r="AC51" i="46"/>
  <c r="AC56" i="46" s="1"/>
  <c r="AD47" i="46"/>
  <c r="AA24" i="46"/>
  <c r="AA31" i="46" s="1"/>
  <c r="AA28" i="46"/>
  <c r="AB42" i="46"/>
  <c r="AB32" i="46"/>
  <c r="AB46" i="46" s="1"/>
  <c r="AC47" i="46" s="1"/>
  <c r="AP56" i="46"/>
  <c r="AP52" i="46"/>
  <c r="R70" i="45"/>
  <c r="R73" i="45" s="1"/>
  <c r="S70" i="45" s="1"/>
  <c r="Q87" i="45"/>
  <c r="Q92" i="45" s="1"/>
  <c r="AM39" i="49" s="1"/>
  <c r="AM83" i="49"/>
  <c r="P88" i="45"/>
  <c r="P90" i="45" s="1"/>
  <c r="AL37" i="49" s="1"/>
  <c r="Q71" i="45"/>
  <c r="Q74" i="45" s="1"/>
  <c r="Q88" i="45" s="1"/>
  <c r="AB28" i="54"/>
  <c r="AB33" i="54" s="1"/>
  <c r="AB35" i="54" s="1"/>
  <c r="AB19" i="54"/>
  <c r="AB24" i="54" s="1"/>
  <c r="AB26" i="54" s="1"/>
  <c r="AB15" i="54"/>
  <c r="AB17" i="54" s="1"/>
  <c r="AC9" i="54"/>
  <c r="AC10" i="54" s="1"/>
  <c r="AD8" i="54"/>
  <c r="AA28" i="54"/>
  <c r="AA33" i="54" s="1"/>
  <c r="AA35" i="54" s="1"/>
  <c r="AA24" i="54"/>
  <c r="AA26" i="54" s="1"/>
  <c r="O68" i="47"/>
  <c r="P65" i="47" s="1"/>
  <c r="O71" i="47"/>
  <c r="M92" i="47"/>
  <c r="P41" i="47"/>
  <c r="Q38" i="47" s="1"/>
  <c r="N79" i="47"/>
  <c r="N82" i="47"/>
  <c r="AL84" i="49"/>
  <c r="P44" i="47"/>
  <c r="Q51" i="34"/>
  <c r="U19" i="30"/>
  <c r="U24" i="30" s="1"/>
  <c r="U26" i="30" s="1"/>
  <c r="U15" i="30"/>
  <c r="U17" i="30" s="1"/>
  <c r="AF59" i="49" s="1"/>
  <c r="V9" i="30"/>
  <c r="V10" i="30" s="1"/>
  <c r="W8" i="30"/>
  <c r="T28" i="30"/>
  <c r="AA60" i="49"/>
  <c r="AQ80" i="49"/>
  <c r="CS17" i="5"/>
  <c r="AQ178" i="49"/>
  <c r="R47" i="34" s="1"/>
  <c r="R50" i="34" s="1"/>
  <c r="AR80" i="49"/>
  <c r="CX17" i="5"/>
  <c r="AR178" i="49"/>
  <c r="S47" i="34" s="1"/>
  <c r="S50" i="34" s="1"/>
  <c r="AJ41" i="49"/>
  <c r="AJ43" i="49" s="1"/>
  <c r="N97" i="45"/>
  <c r="AK37" i="49"/>
  <c r="U108" i="45"/>
  <c r="U34" i="45"/>
  <c r="U110" i="45"/>
  <c r="U36" i="45"/>
  <c r="V25" i="45"/>
  <c r="V24" i="45"/>
  <c r="V23" i="45"/>
  <c r="T141" i="45"/>
  <c r="AJ74" i="49"/>
  <c r="BJ12" i="5"/>
  <c r="AJ166" i="49"/>
  <c r="N208" i="45" s="1"/>
  <c r="N211" i="45" s="1"/>
  <c r="U29" i="45"/>
  <c r="U31" i="45"/>
  <c r="U105" i="45" s="1"/>
  <c r="M212" i="45"/>
  <c r="O95" i="45"/>
  <c r="AK41" i="49" s="1"/>
  <c r="AK39" i="49"/>
  <c r="U109" i="45"/>
  <c r="U35" i="45"/>
  <c r="V20" i="45"/>
  <c r="V19" i="45"/>
  <c r="V18" i="45"/>
  <c r="P161" i="45"/>
  <c r="P147" i="45"/>
  <c r="P162" i="45" s="1"/>
  <c r="M189" i="45"/>
  <c r="T67" i="45"/>
  <c r="U30" i="45"/>
  <c r="U104" i="45" s="1"/>
  <c r="T68" i="45"/>
  <c r="P168" i="45"/>
  <c r="AL69" i="49"/>
  <c r="O171" i="45"/>
  <c r="AL39" i="49"/>
  <c r="AU81" i="48"/>
  <c r="AY81" i="48"/>
  <c r="AR23" i="49"/>
  <c r="AR31" i="49" s="1"/>
  <c r="BA66" i="48"/>
  <c r="AZ67" i="48"/>
  <c r="R16" i="48"/>
  <c r="AQ21" i="48" s="1"/>
  <c r="Q7" i="48"/>
  <c r="R17" i="48"/>
  <c r="AQ22" i="48" s="1"/>
  <c r="AQ48" i="48" s="1"/>
  <c r="AQ63" i="48" s="1"/>
  <c r="AH22" i="49" s="1"/>
  <c r="Q8" i="48"/>
  <c r="Q18" i="48"/>
  <c r="AP23" i="48" s="1"/>
  <c r="AP49" i="48" s="1"/>
  <c r="AP64" i="48" s="1"/>
  <c r="AG23" i="49" s="1"/>
  <c r="P9" i="48"/>
  <c r="AS66" i="48"/>
  <c r="AJ21" i="49"/>
  <c r="AJ31" i="49" s="1"/>
  <c r="AK32" i="49" s="1"/>
  <c r="BO8" i="5"/>
  <c r="AK25" i="49"/>
  <c r="AK128" i="49"/>
  <c r="AT76" i="48" s="1"/>
  <c r="AT80" i="48" s="1"/>
  <c r="CS8" i="5"/>
  <c r="AQ32" i="49"/>
  <c r="AQ25" i="49"/>
  <c r="AQ27" i="49" s="1"/>
  <c r="AQ128" i="49"/>
  <c r="AZ76" i="48" s="1"/>
  <c r="AZ80" i="48" s="1"/>
  <c r="AR24" i="48"/>
  <c r="AR50" i="48" s="1"/>
  <c r="AR65" i="48" s="1"/>
  <c r="AI24" i="49" s="1"/>
  <c r="AR47" i="48"/>
  <c r="AR62" i="48" s="1"/>
  <c r="AK18" i="15"/>
  <c r="AJ9" i="15"/>
  <c r="E9" i="46" s="1"/>
  <c r="E18" i="46" s="1"/>
  <c r="X23" i="46" s="1"/>
  <c r="X30" i="46" s="1"/>
  <c r="AF47" i="49"/>
  <c r="AR47" i="49"/>
  <c r="AG49" i="49"/>
  <c r="AG51" i="49"/>
  <c r="AZ13" i="5"/>
  <c r="AQ49" i="49"/>
  <c r="AQ51" i="49"/>
  <c r="CN13" i="5"/>
  <c r="AP52" i="49"/>
  <c r="AM16" i="15"/>
  <c r="AL7" i="15"/>
  <c r="G7" i="46" s="1"/>
  <c r="G16" i="46" s="1"/>
  <c r="Z21" i="46" s="1"/>
  <c r="CI13" i="5"/>
  <c r="AO52" i="49"/>
  <c r="AL17" i="15"/>
  <c r="AK8" i="15"/>
  <c r="F8" i="46" s="1"/>
  <c r="F17" i="46" s="1"/>
  <c r="Y22" i="46" s="1"/>
  <c r="Y29" i="46" s="1"/>
  <c r="CS147" i="5"/>
  <c r="CX85" i="5"/>
  <c r="CX147" i="5" s="1"/>
  <c r="W50" i="51" l="1"/>
  <c r="W51" i="51" s="1"/>
  <c r="V60" i="51"/>
  <c r="V69" i="51" s="1"/>
  <c r="V61" i="51"/>
  <c r="U102" i="50"/>
  <c r="U35" i="51"/>
  <c r="W56" i="51"/>
  <c r="W61" i="51" s="1"/>
  <c r="W62" i="51"/>
  <c r="Q144" i="45"/>
  <c r="AD52" i="46"/>
  <c r="AA32" i="46"/>
  <c r="AA46" i="46" s="1"/>
  <c r="AB47" i="46" s="1"/>
  <c r="AA42" i="46"/>
  <c r="AB51" i="46"/>
  <c r="Z28" i="46"/>
  <c r="Z24" i="46"/>
  <c r="Z31" i="46" s="1"/>
  <c r="AA25" i="46"/>
  <c r="AM35" i="49"/>
  <c r="Q90" i="45"/>
  <c r="Q97" i="45" s="1"/>
  <c r="AL36" i="49"/>
  <c r="P93" i="45"/>
  <c r="AK43" i="49"/>
  <c r="BO10" i="5" s="1"/>
  <c r="R71" i="45"/>
  <c r="R74" i="45" s="1"/>
  <c r="R88" i="45" s="1"/>
  <c r="AA37" i="54"/>
  <c r="AA46" i="54" s="1"/>
  <c r="AA49" i="54" s="1"/>
  <c r="AA52" i="54" s="1"/>
  <c r="R87" i="45"/>
  <c r="R92" i="45" s="1"/>
  <c r="P51" i="47"/>
  <c r="P52" i="47" s="1"/>
  <c r="O78" i="47"/>
  <c r="O79" i="47" s="1"/>
  <c r="AC28" i="54"/>
  <c r="AC33" i="54" s="1"/>
  <c r="AC35" i="54" s="1"/>
  <c r="AC19" i="54"/>
  <c r="AC24" i="54" s="1"/>
  <c r="AC26" i="54" s="1"/>
  <c r="AC15" i="54"/>
  <c r="AC17" i="54" s="1"/>
  <c r="AE8" i="54"/>
  <c r="AD9" i="54"/>
  <c r="AD10" i="54" s="1"/>
  <c r="AB37" i="54"/>
  <c r="AB46" i="54" s="1"/>
  <c r="Q44" i="47"/>
  <c r="N83" i="47"/>
  <c r="AL85" i="49"/>
  <c r="P71" i="47"/>
  <c r="Q35" i="47"/>
  <c r="P62" i="47"/>
  <c r="S51" i="34"/>
  <c r="R51" i="34"/>
  <c r="V19" i="30"/>
  <c r="V24" i="30" s="1"/>
  <c r="V26" i="30" s="1"/>
  <c r="V15" i="30"/>
  <c r="V17" i="30" s="1"/>
  <c r="AG59" i="49" s="1"/>
  <c r="AA61" i="49"/>
  <c r="Z61" i="49" s="1"/>
  <c r="W9" i="30"/>
  <c r="W10" i="30" s="1"/>
  <c r="X8" i="30"/>
  <c r="U28" i="30"/>
  <c r="AF60" i="49"/>
  <c r="S73" i="45"/>
  <c r="S87" i="45" s="1"/>
  <c r="O203" i="45"/>
  <c r="AK73" i="49"/>
  <c r="AL71" i="49"/>
  <c r="N212" i="45"/>
  <c r="Q166" i="45"/>
  <c r="P163" i="45"/>
  <c r="AL67" i="49" s="1"/>
  <c r="AL65" i="49"/>
  <c r="V29" i="45"/>
  <c r="V103" i="45" s="1"/>
  <c r="V31" i="45"/>
  <c r="V105" i="45" s="1"/>
  <c r="U67" i="45"/>
  <c r="V34" i="45"/>
  <c r="V36" i="45"/>
  <c r="V110" i="45" s="1"/>
  <c r="O97" i="45"/>
  <c r="N174" i="45"/>
  <c r="N175" i="45" s="1"/>
  <c r="N99" i="45"/>
  <c r="N142" i="45" s="1"/>
  <c r="Q167" i="45"/>
  <c r="AM70" i="49" s="1"/>
  <c r="AL66" i="49"/>
  <c r="V30" i="45"/>
  <c r="V104" i="45" s="1"/>
  <c r="U103" i="45"/>
  <c r="U141" i="45" s="1"/>
  <c r="Q93" i="45"/>
  <c r="AM40" i="49" s="1"/>
  <c r="AM36" i="49"/>
  <c r="V35" i="45"/>
  <c r="V109" i="45" s="1"/>
  <c r="U68" i="45"/>
  <c r="BJ10" i="5"/>
  <c r="AJ44" i="49"/>
  <c r="AJ136" i="49"/>
  <c r="N184" i="45" s="1"/>
  <c r="N188" i="45" s="1"/>
  <c r="AZ81" i="48"/>
  <c r="AT81" i="48"/>
  <c r="AQ24" i="48"/>
  <c r="AQ50" i="48" s="1"/>
  <c r="AQ65" i="48" s="1"/>
  <c r="AH24" i="49" s="1"/>
  <c r="AQ47" i="48"/>
  <c r="AQ62" i="48" s="1"/>
  <c r="BA67" i="48"/>
  <c r="AR66" i="48"/>
  <c r="AI21" i="49"/>
  <c r="AI31" i="49" s="1"/>
  <c r="AJ32" i="49" s="1"/>
  <c r="AJ25" i="49"/>
  <c r="BJ8" i="5"/>
  <c r="AJ128" i="49"/>
  <c r="AS76" i="48" s="1"/>
  <c r="AS80" i="48" s="1"/>
  <c r="P18" i="48"/>
  <c r="AO23" i="48" s="1"/>
  <c r="AO49" i="48" s="1"/>
  <c r="AO64" i="48" s="1"/>
  <c r="AF23" i="49" s="1"/>
  <c r="O9" i="48"/>
  <c r="Q17" i="48"/>
  <c r="AP22" i="48" s="1"/>
  <c r="AP48" i="48" s="1"/>
  <c r="AP63" i="48" s="1"/>
  <c r="AG22" i="49" s="1"/>
  <c r="P8" i="48"/>
  <c r="Q16" i="48"/>
  <c r="AP21" i="48" s="1"/>
  <c r="P7" i="48"/>
  <c r="AT67" i="48"/>
  <c r="AL27" i="49"/>
  <c r="AR32" i="49"/>
  <c r="AR25" i="49"/>
  <c r="AR27" i="49" s="1"/>
  <c r="CX8" i="5"/>
  <c r="AR128" i="49"/>
  <c r="BA76" i="48" s="1"/>
  <c r="BA80" i="48" s="1"/>
  <c r="AL16" i="15"/>
  <c r="AK7" i="15"/>
  <c r="F7" i="46" s="1"/>
  <c r="F16" i="46" s="1"/>
  <c r="Y21" i="46" s="1"/>
  <c r="V47" i="49"/>
  <c r="U47" i="49" s="1"/>
  <c r="AU13" i="5"/>
  <c r="AF49" i="49"/>
  <c r="AF51" i="49"/>
  <c r="AJ18" i="15"/>
  <c r="AI9" i="15"/>
  <c r="D9" i="46" s="1"/>
  <c r="D18" i="46" s="1"/>
  <c r="W23" i="46" s="1"/>
  <c r="W30" i="46" s="1"/>
  <c r="AK17" i="15"/>
  <c r="AJ8" i="15"/>
  <c r="E8" i="46" s="1"/>
  <c r="E17" i="46" s="1"/>
  <c r="X22" i="46" s="1"/>
  <c r="X29" i="46" s="1"/>
  <c r="CS13" i="5"/>
  <c r="AQ52" i="49"/>
  <c r="AH52" i="49"/>
  <c r="AR49" i="49"/>
  <c r="AR51" i="49"/>
  <c r="AA47" i="49"/>
  <c r="W54" i="51" l="1"/>
  <c r="V31" i="51"/>
  <c r="V76" i="51"/>
  <c r="V28" i="50" s="1"/>
  <c r="W60" i="51"/>
  <c r="W69" i="51" s="1"/>
  <c r="W31" i="51" s="1"/>
  <c r="Z25" i="46"/>
  <c r="Y24" i="46"/>
  <c r="Y31" i="46" s="1"/>
  <c r="Y28" i="46"/>
  <c r="AC52" i="46"/>
  <c r="AB56" i="46"/>
  <c r="V51" i="49" s="1"/>
  <c r="Z42" i="46"/>
  <c r="Z32" i="46"/>
  <c r="Z46" i="46" s="1"/>
  <c r="Z51" i="46" s="1"/>
  <c r="AA51" i="46"/>
  <c r="AB52" i="46" s="1"/>
  <c r="AM37" i="49"/>
  <c r="AM43" i="49" s="1"/>
  <c r="BY10" i="5" s="1"/>
  <c r="AK136" i="49"/>
  <c r="O184" i="45" s="1"/>
  <c r="O188" i="45" s="1"/>
  <c r="AN83" i="49"/>
  <c r="AL40" i="49"/>
  <c r="P95" i="45"/>
  <c r="AK44" i="49"/>
  <c r="R90" i="45"/>
  <c r="AN37" i="49" s="1"/>
  <c r="AN35" i="49"/>
  <c r="AM84" i="49"/>
  <c r="O82" i="47"/>
  <c r="O83" i="47" s="1"/>
  <c r="T70" i="45"/>
  <c r="T73" i="45" s="1"/>
  <c r="U70" i="45" s="1"/>
  <c r="S71" i="45"/>
  <c r="S74" i="45" s="1"/>
  <c r="S88" i="45" s="1"/>
  <c r="AE9" i="54"/>
  <c r="AE10" i="54" s="1"/>
  <c r="AF8" i="54"/>
  <c r="AD28" i="54"/>
  <c r="AD33" i="54" s="1"/>
  <c r="AD35" i="54" s="1"/>
  <c r="AD19" i="54"/>
  <c r="AD24" i="54" s="1"/>
  <c r="AD26" i="54" s="1"/>
  <c r="AG90" i="49" s="1"/>
  <c r="AD15" i="54"/>
  <c r="AD17" i="54" s="1"/>
  <c r="AG89" i="49" s="1"/>
  <c r="AC37" i="54"/>
  <c r="AC46" i="54" s="1"/>
  <c r="P68" i="47"/>
  <c r="Q41" i="47"/>
  <c r="AL172" i="49"/>
  <c r="N88" i="47" s="1"/>
  <c r="N91" i="47" s="1"/>
  <c r="BT18" i="5"/>
  <c r="AL86" i="49"/>
  <c r="W19" i="30"/>
  <c r="W24" i="30" s="1"/>
  <c r="W26" i="30" s="1"/>
  <c r="W15" i="30"/>
  <c r="W17" i="30" s="1"/>
  <c r="AH59" i="49" s="1"/>
  <c r="AF61" i="49"/>
  <c r="X9" i="30"/>
  <c r="X10" i="30" s="1"/>
  <c r="Y8" i="30"/>
  <c r="Z184" i="49"/>
  <c r="AA184" i="49" s="1"/>
  <c r="AK15" i="5"/>
  <c r="V28" i="30"/>
  <c r="AG60" i="49"/>
  <c r="S92" i="45"/>
  <c r="AO35" i="49"/>
  <c r="N189" i="45"/>
  <c r="N148" i="45"/>
  <c r="N145" i="45" s="1"/>
  <c r="V68" i="45"/>
  <c r="V141" i="45"/>
  <c r="P171" i="45"/>
  <c r="Q161" i="45"/>
  <c r="Q147" i="45"/>
  <c r="Q162" i="45" s="1"/>
  <c r="O174" i="45"/>
  <c r="O175" i="45" s="1"/>
  <c r="O99" i="45"/>
  <c r="O142" i="45" s="1"/>
  <c r="V108" i="45"/>
  <c r="R93" i="45"/>
  <c r="AN40" i="49" s="1"/>
  <c r="AN36" i="49"/>
  <c r="V67" i="45"/>
  <c r="Q168" i="45"/>
  <c r="AM69" i="49"/>
  <c r="AN39" i="49"/>
  <c r="AK74" i="49"/>
  <c r="BO12" i="5"/>
  <c r="AK166" i="49"/>
  <c r="O208" i="45" s="1"/>
  <c r="O211" i="45" s="1"/>
  <c r="BA81" i="48"/>
  <c r="AS81" i="48"/>
  <c r="AP24" i="48"/>
  <c r="AP50" i="48" s="1"/>
  <c r="AP65" i="48" s="1"/>
  <c r="AG24" i="49" s="1"/>
  <c r="AP47" i="48"/>
  <c r="AP62" i="48" s="1"/>
  <c r="P16" i="48"/>
  <c r="AO21" i="48" s="1"/>
  <c r="O7" i="48"/>
  <c r="P17" i="48"/>
  <c r="AO22" i="48" s="1"/>
  <c r="AO48" i="48" s="1"/>
  <c r="AO63" i="48" s="1"/>
  <c r="AF22" i="49" s="1"/>
  <c r="O8" i="48"/>
  <c r="O18" i="48"/>
  <c r="AN23" i="48" s="1"/>
  <c r="AN49" i="48" s="1"/>
  <c r="AN64" i="48" s="1"/>
  <c r="AA23" i="49" s="1"/>
  <c r="N9" i="48"/>
  <c r="AI128" i="49"/>
  <c r="AR76" i="48" s="1"/>
  <c r="AR80" i="48" s="1"/>
  <c r="BE8" i="5"/>
  <c r="AI25" i="49"/>
  <c r="AQ66" i="48"/>
  <c r="AH21" i="49"/>
  <c r="AH31" i="49" s="1"/>
  <c r="AI32" i="49" s="1"/>
  <c r="AS67" i="48"/>
  <c r="AK27" i="49"/>
  <c r="AI18" i="15"/>
  <c r="AH9" i="15"/>
  <c r="C9" i="46" s="1"/>
  <c r="C18" i="46" s="1"/>
  <c r="V23" i="46" s="1"/>
  <c r="AP13" i="5"/>
  <c r="AG52" i="49"/>
  <c r="AK16" i="15"/>
  <c r="AJ7" i="15"/>
  <c r="E7" i="46" s="1"/>
  <c r="E16" i="46" s="1"/>
  <c r="X21" i="46" s="1"/>
  <c r="AA49" i="49"/>
  <c r="AA51" i="49"/>
  <c r="AF52" i="49" s="1"/>
  <c r="AR52" i="49"/>
  <c r="CX13" i="5"/>
  <c r="AJ17" i="15"/>
  <c r="AI8" i="15"/>
  <c r="D8" i="46" s="1"/>
  <c r="D17" i="46" s="1"/>
  <c r="W22" i="46" s="1"/>
  <c r="W29" i="46" s="1"/>
  <c r="V49" i="49"/>
  <c r="U49" i="49" s="1"/>
  <c r="V35" i="51" l="1"/>
  <c r="V102" i="50"/>
  <c r="W76" i="51"/>
  <c r="W28" i="50" s="1"/>
  <c r="AB51" i="49"/>
  <c r="AC51" i="49"/>
  <c r="AC61" i="49"/>
  <c r="AB61" i="49"/>
  <c r="AD61" i="49"/>
  <c r="AD51" i="49"/>
  <c r="R144" i="45"/>
  <c r="W35" i="51"/>
  <c r="W102" i="50"/>
  <c r="Y25" i="46"/>
  <c r="X28" i="46"/>
  <c r="X24" i="46"/>
  <c r="X31" i="46" s="1"/>
  <c r="Z56" i="46"/>
  <c r="AA47" i="46"/>
  <c r="Y42" i="46"/>
  <c r="Y32" i="46"/>
  <c r="Y46" i="46" s="1"/>
  <c r="Y51" i="46" s="1"/>
  <c r="Z52" i="46" s="1"/>
  <c r="AA56" i="46"/>
  <c r="AA52" i="46"/>
  <c r="AM136" i="49"/>
  <c r="Q184" i="45" s="1"/>
  <c r="Q188" i="45" s="1"/>
  <c r="AM85" i="49"/>
  <c r="BY18" i="5" s="1"/>
  <c r="AL41" i="49"/>
  <c r="AL43" i="49" s="1"/>
  <c r="P97" i="45"/>
  <c r="P174" i="45" s="1"/>
  <c r="P175" i="45" s="1"/>
  <c r="R95" i="45"/>
  <c r="AN41" i="49" s="1"/>
  <c r="AN43" i="49" s="1"/>
  <c r="AG8" i="54"/>
  <c r="AF9" i="54"/>
  <c r="AF10" i="54" s="1"/>
  <c r="AD37" i="54"/>
  <c r="AG91" i="49"/>
  <c r="AE28" i="54"/>
  <c r="AE33" i="54" s="1"/>
  <c r="AE35" i="54" s="1"/>
  <c r="AE19" i="54"/>
  <c r="AE24" i="54" s="1"/>
  <c r="AE26" i="54" s="1"/>
  <c r="AH90" i="49" s="1"/>
  <c r="AE15" i="54"/>
  <c r="AE17" i="54" s="1"/>
  <c r="AH89" i="49" s="1"/>
  <c r="N92" i="47"/>
  <c r="Q51" i="47"/>
  <c r="R38" i="47"/>
  <c r="P78" i="47"/>
  <c r="Q65" i="47"/>
  <c r="AM172" i="49"/>
  <c r="O88" i="47" s="1"/>
  <c r="O91" i="47" s="1"/>
  <c r="R35" i="47"/>
  <c r="Q62" i="47"/>
  <c r="X19" i="30"/>
  <c r="X24" i="30" s="1"/>
  <c r="X26" i="30" s="1"/>
  <c r="X15" i="30"/>
  <c r="X17" i="30" s="1"/>
  <c r="AI59" i="49" s="1"/>
  <c r="AG61" i="49"/>
  <c r="AA185" i="49"/>
  <c r="T37" i="30"/>
  <c r="T41" i="30" s="1"/>
  <c r="Y9" i="30"/>
  <c r="Y10" i="30" s="1"/>
  <c r="Z8" i="30"/>
  <c r="AF184" i="49"/>
  <c r="U37" i="30" s="1"/>
  <c r="U41" i="30" s="1"/>
  <c r="AP15" i="5"/>
  <c r="AF62" i="49"/>
  <c r="W28" i="30"/>
  <c r="AH60" i="49"/>
  <c r="O212" i="45"/>
  <c r="U73" i="45"/>
  <c r="V70" i="45" s="1"/>
  <c r="AM71" i="49"/>
  <c r="O148" i="45"/>
  <c r="O145" i="45" s="1"/>
  <c r="R167" i="45"/>
  <c r="AN70" i="49" s="1"/>
  <c r="AM66" i="49"/>
  <c r="T87" i="45"/>
  <c r="P203" i="45"/>
  <c r="AL73" i="49"/>
  <c r="S93" i="45"/>
  <c r="AO40" i="49" s="1"/>
  <c r="AO36" i="49"/>
  <c r="S90" i="45"/>
  <c r="O189" i="45"/>
  <c r="R166" i="45"/>
  <c r="Q163" i="45"/>
  <c r="AM67" i="49" s="1"/>
  <c r="AM65" i="49"/>
  <c r="T71" i="45"/>
  <c r="AO39" i="49"/>
  <c r="AR81" i="48"/>
  <c r="N18" i="48"/>
  <c r="AM23" i="48" s="1"/>
  <c r="AM49" i="48" s="1"/>
  <c r="AM64" i="48" s="1"/>
  <c r="V23" i="49" s="1"/>
  <c r="M9" i="48"/>
  <c r="O17" i="48"/>
  <c r="AN22" i="48" s="1"/>
  <c r="AN48" i="48" s="1"/>
  <c r="AN63" i="48" s="1"/>
  <c r="AA22" i="49" s="1"/>
  <c r="N8" i="48"/>
  <c r="O16" i="48"/>
  <c r="AN21" i="48" s="1"/>
  <c r="N7" i="48"/>
  <c r="AR67" i="48"/>
  <c r="AP66" i="48"/>
  <c r="AG21" i="49"/>
  <c r="AG31" i="49" s="1"/>
  <c r="AH32" i="49" s="1"/>
  <c r="AZ8" i="5"/>
  <c r="AH25" i="49"/>
  <c r="AI27" i="49" s="1"/>
  <c r="AH128" i="49"/>
  <c r="AQ76" i="48" s="1"/>
  <c r="AQ80" i="48" s="1"/>
  <c r="AJ27" i="49"/>
  <c r="AO24" i="48"/>
  <c r="AO50" i="48" s="1"/>
  <c r="AO65" i="48" s="1"/>
  <c r="AF24" i="49" s="1"/>
  <c r="AO47" i="48"/>
  <c r="AO62" i="48" s="1"/>
  <c r="AI17" i="15"/>
  <c r="AH8" i="15"/>
  <c r="C8" i="46" s="1"/>
  <c r="C17" i="46" s="1"/>
  <c r="V22" i="46" s="1"/>
  <c r="AH18" i="15"/>
  <c r="AG9" i="15"/>
  <c r="Q47" i="49"/>
  <c r="P47" i="49" s="1"/>
  <c r="U51" i="49"/>
  <c r="AA52" i="49"/>
  <c r="AJ16" i="15"/>
  <c r="AI7" i="15"/>
  <c r="D7" i="46" s="1"/>
  <c r="D16" i="46" s="1"/>
  <c r="W21" i="46" s="1"/>
  <c r="AN13" i="5" l="1"/>
  <c r="AD52" i="49"/>
  <c r="AM15" i="5"/>
  <c r="AC184" i="49"/>
  <c r="AN15" i="5"/>
  <c r="AD184" i="49"/>
  <c r="AM13" i="5"/>
  <c r="AC52" i="49"/>
  <c r="AB184" i="49"/>
  <c r="AL15" i="5"/>
  <c r="AE61" i="49"/>
  <c r="AL13" i="5"/>
  <c r="AB52" i="49"/>
  <c r="X42" i="46"/>
  <c r="X32" i="46"/>
  <c r="X46" i="46" s="1"/>
  <c r="X51" i="46" s="1"/>
  <c r="W28" i="46"/>
  <c r="W24" i="46"/>
  <c r="W31" i="46" s="1"/>
  <c r="Y56" i="46"/>
  <c r="AM86" i="49"/>
  <c r="R97" i="45"/>
  <c r="R99" i="45" s="1"/>
  <c r="R142" i="45" s="1"/>
  <c r="Q99" i="45"/>
  <c r="Q142" i="45" s="1"/>
  <c r="P99" i="45"/>
  <c r="P142" i="45" s="1"/>
  <c r="P148" i="45" s="1"/>
  <c r="P145" i="45" s="1"/>
  <c r="AL136" i="49"/>
  <c r="P184" i="45" s="1"/>
  <c r="P188" i="45" s="1"/>
  <c r="P189" i="45" s="1"/>
  <c r="BT10" i="5"/>
  <c r="AL44" i="49"/>
  <c r="AM44" i="49"/>
  <c r="CD10" i="5"/>
  <c r="AN136" i="49"/>
  <c r="R184" i="45" s="1"/>
  <c r="R188" i="45" s="1"/>
  <c r="AN44" i="49"/>
  <c r="Z51" i="49"/>
  <c r="AE37" i="54"/>
  <c r="AH91" i="49"/>
  <c r="AD46" i="54"/>
  <c r="AG92" i="49"/>
  <c r="AG9" i="54"/>
  <c r="AG10" i="54" s="1"/>
  <c r="AH8" i="54"/>
  <c r="AF28" i="54"/>
  <c r="AF33" i="54" s="1"/>
  <c r="AF35" i="54" s="1"/>
  <c r="AF19" i="54"/>
  <c r="AF24" i="54" s="1"/>
  <c r="AF26" i="54" s="1"/>
  <c r="AI90" i="49" s="1"/>
  <c r="AF15" i="54"/>
  <c r="AF17" i="54" s="1"/>
  <c r="AI89" i="49" s="1"/>
  <c r="R41" i="47"/>
  <c r="Q71" i="47"/>
  <c r="R44" i="47"/>
  <c r="Q68" i="47"/>
  <c r="O92" i="47"/>
  <c r="P79" i="47"/>
  <c r="P82" i="47"/>
  <c r="AN84" i="49"/>
  <c r="Q52" i="47"/>
  <c r="AO83" i="49"/>
  <c r="Y19" i="30"/>
  <c r="Y24" i="30" s="1"/>
  <c r="Y26" i="30" s="1"/>
  <c r="Y15" i="30"/>
  <c r="Y17" i="30" s="1"/>
  <c r="AJ59" i="49" s="1"/>
  <c r="U42" i="30"/>
  <c r="AH61" i="49"/>
  <c r="AA8" i="30"/>
  <c r="Z9" i="30"/>
  <c r="Z10" i="30" s="1"/>
  <c r="T42" i="30"/>
  <c r="T47" i="30"/>
  <c r="T49" i="30" s="1"/>
  <c r="AG184" i="49"/>
  <c r="V37" i="30" s="1"/>
  <c r="V41" i="30" s="1"/>
  <c r="AU15" i="5"/>
  <c r="AG62" i="49"/>
  <c r="X28" i="30"/>
  <c r="AI60" i="49"/>
  <c r="V73" i="45"/>
  <c r="V87" i="45" s="1"/>
  <c r="T74" i="45"/>
  <c r="T88" i="45" s="1"/>
  <c r="T90" i="45" s="1"/>
  <c r="R161" i="45"/>
  <c r="R147" i="45"/>
  <c r="R162" i="45" s="1"/>
  <c r="Q171" i="45"/>
  <c r="U87" i="45"/>
  <c r="S95" i="45"/>
  <c r="AO41" i="49" s="1"/>
  <c r="R168" i="45"/>
  <c r="AN69" i="49"/>
  <c r="AO37" i="49"/>
  <c r="AL74" i="49"/>
  <c r="BT12" i="5"/>
  <c r="AL166" i="49"/>
  <c r="P208" i="45" s="1"/>
  <c r="P211" i="45" s="1"/>
  <c r="T92" i="45"/>
  <c r="AP35" i="49"/>
  <c r="AQ81" i="48"/>
  <c r="N16" i="48"/>
  <c r="AM21" i="48" s="1"/>
  <c r="M7" i="48"/>
  <c r="N17" i="48"/>
  <c r="AM22" i="48" s="1"/>
  <c r="AM48" i="48" s="1"/>
  <c r="AM63" i="48" s="1"/>
  <c r="V22" i="49" s="1"/>
  <c r="M8" i="48"/>
  <c r="M18" i="48"/>
  <c r="AL23" i="48" s="1"/>
  <c r="AL49" i="48" s="1"/>
  <c r="AL64" i="48" s="1"/>
  <c r="Q23" i="49" s="1"/>
  <c r="L9" i="48"/>
  <c r="AQ67" i="48"/>
  <c r="AO66" i="48"/>
  <c r="AF21" i="49"/>
  <c r="AF31" i="49" s="1"/>
  <c r="AU8" i="5"/>
  <c r="AG128" i="49"/>
  <c r="AP76" i="48" s="1"/>
  <c r="AP80" i="48" s="1"/>
  <c r="AG25" i="49"/>
  <c r="AN24" i="48"/>
  <c r="AN50" i="48" s="1"/>
  <c r="AN65" i="48" s="1"/>
  <c r="AA24" i="49" s="1"/>
  <c r="AN47" i="48"/>
  <c r="AN62" i="48" s="1"/>
  <c r="Y52" i="49"/>
  <c r="Y144" i="49"/>
  <c r="U144" i="49"/>
  <c r="L47" i="49"/>
  <c r="Q49" i="49"/>
  <c r="P49" i="49" s="1"/>
  <c r="Q51" i="49"/>
  <c r="AG18" i="15"/>
  <c r="AF9" i="15"/>
  <c r="AH17" i="15"/>
  <c r="AG8" i="15"/>
  <c r="AI16" i="15"/>
  <c r="AH7" i="15"/>
  <c r="C7" i="46" s="1"/>
  <c r="C16" i="46" s="1"/>
  <c r="V21" i="46" s="1"/>
  <c r="V24" i="46" s="1"/>
  <c r="X52" i="49"/>
  <c r="X144" i="49"/>
  <c r="AG32" i="49" l="1"/>
  <c r="AO15" i="5"/>
  <c r="AE184" i="49"/>
  <c r="Z144" i="49"/>
  <c r="AA144" i="49" s="1"/>
  <c r="AC71" i="46" s="1"/>
  <c r="AC75" i="46" s="1"/>
  <c r="AE51" i="49"/>
  <c r="S144" i="45"/>
  <c r="X56" i="46"/>
  <c r="Y52" i="46"/>
  <c r="W42" i="46"/>
  <c r="W32" i="46"/>
  <c r="W46" i="46" s="1"/>
  <c r="W51" i="46" s="1"/>
  <c r="W56" i="46" s="1"/>
  <c r="Q148" i="45"/>
  <c r="Q145" i="45" s="1"/>
  <c r="AK13" i="5"/>
  <c r="Z52" i="49"/>
  <c r="Q78" i="47"/>
  <c r="Q79" i="47" s="1"/>
  <c r="AF37" i="54"/>
  <c r="AI91" i="49"/>
  <c r="AG28" i="54"/>
  <c r="AG33" i="54" s="1"/>
  <c r="AG35" i="54" s="1"/>
  <c r="AG19" i="54"/>
  <c r="AG24" i="54" s="1"/>
  <c r="AG26" i="54" s="1"/>
  <c r="AJ90" i="49" s="1"/>
  <c r="AG15" i="54"/>
  <c r="AG17" i="54" s="1"/>
  <c r="AJ89" i="49" s="1"/>
  <c r="AH92" i="49"/>
  <c r="AI8" i="54"/>
  <c r="AH9" i="54"/>
  <c r="AH10" i="54" s="1"/>
  <c r="AU19" i="5"/>
  <c r="AG190" i="49"/>
  <c r="P83" i="47"/>
  <c r="AN85" i="49"/>
  <c r="R65" i="47"/>
  <c r="R51" i="47"/>
  <c r="R62" i="47"/>
  <c r="S38" i="47"/>
  <c r="S35" i="47"/>
  <c r="Z19" i="30"/>
  <c r="Z24" i="30" s="1"/>
  <c r="Z26" i="30" s="1"/>
  <c r="Z15" i="30"/>
  <c r="Z17" i="30" s="1"/>
  <c r="AK59" i="49" s="1"/>
  <c r="V42" i="30"/>
  <c r="AA9" i="30"/>
  <c r="AA10" i="30" s="1"/>
  <c r="AB8" i="30"/>
  <c r="AI61" i="49"/>
  <c r="AH184" i="49"/>
  <c r="W37" i="30" s="1"/>
  <c r="W41" i="30" s="1"/>
  <c r="AZ15" i="5"/>
  <c r="AH62" i="49"/>
  <c r="Y28" i="30"/>
  <c r="AJ60" i="49"/>
  <c r="P212" i="45"/>
  <c r="V92" i="45"/>
  <c r="AR35" i="49"/>
  <c r="AP37" i="49"/>
  <c r="AO43" i="49"/>
  <c r="Q203" i="45"/>
  <c r="AM73" i="49"/>
  <c r="Q174" i="45"/>
  <c r="S166" i="45"/>
  <c r="R163" i="45"/>
  <c r="AN67" i="49" s="1"/>
  <c r="AN65" i="49"/>
  <c r="R148" i="45"/>
  <c r="R145" i="45" s="1"/>
  <c r="T93" i="45"/>
  <c r="AP40" i="49" s="1"/>
  <c r="AP36" i="49"/>
  <c r="AP39" i="49"/>
  <c r="S97" i="45"/>
  <c r="AN71" i="49"/>
  <c r="U92" i="45"/>
  <c r="AQ35" i="49"/>
  <c r="S167" i="45"/>
  <c r="AO70" i="49" s="1"/>
  <c r="AN66" i="49"/>
  <c r="U71" i="45"/>
  <c r="AP81" i="48"/>
  <c r="AN66" i="48"/>
  <c r="AO67" i="48" s="1"/>
  <c r="AA21" i="49"/>
  <c r="AA31" i="49" s="1"/>
  <c r="AD31" i="49" s="1"/>
  <c r="AF128" i="49"/>
  <c r="AO76" i="48" s="1"/>
  <c r="AO80" i="48" s="1"/>
  <c r="AF25" i="49"/>
  <c r="AP8" i="5"/>
  <c r="AM24" i="48"/>
  <c r="AM50" i="48" s="1"/>
  <c r="AM65" i="48" s="1"/>
  <c r="V24" i="49" s="1"/>
  <c r="AM47" i="48"/>
  <c r="AM62" i="48" s="1"/>
  <c r="L18" i="48"/>
  <c r="AK23" i="48" s="1"/>
  <c r="AK49" i="48" s="1"/>
  <c r="AK64" i="48" s="1"/>
  <c r="L23" i="49" s="1"/>
  <c r="K9" i="48"/>
  <c r="M17" i="48"/>
  <c r="AL22" i="48" s="1"/>
  <c r="AL48" i="48" s="1"/>
  <c r="AL63" i="48" s="1"/>
  <c r="Q22" i="49" s="1"/>
  <c r="L8" i="48"/>
  <c r="M16" i="48"/>
  <c r="AL21" i="48" s="1"/>
  <c r="L7" i="48"/>
  <c r="AP67" i="48"/>
  <c r="AH27" i="49"/>
  <c r="AG17" i="15"/>
  <c r="AF8" i="15"/>
  <c r="Q147" i="49"/>
  <c r="Q144" i="49"/>
  <c r="Q95" i="49"/>
  <c r="P51" i="49"/>
  <c r="V52" i="49"/>
  <c r="L49" i="49"/>
  <c r="L51" i="49"/>
  <c r="V144" i="49"/>
  <c r="AB71" i="46" s="1"/>
  <c r="AB75" i="46" s="1"/>
  <c r="AH16" i="15"/>
  <c r="AG7" i="15"/>
  <c r="AF18" i="15"/>
  <c r="AE9" i="15"/>
  <c r="AC31" i="49" l="1"/>
  <c r="AC32" i="49" s="1"/>
  <c r="AD128" i="49"/>
  <c r="AD25" i="49"/>
  <c r="AN8" i="5"/>
  <c r="AD32" i="49"/>
  <c r="AB31" i="49"/>
  <c r="AO13" i="5"/>
  <c r="AE52" i="49"/>
  <c r="X52" i="46"/>
  <c r="AO84" i="49"/>
  <c r="Q82" i="47"/>
  <c r="AO85" i="49" s="1"/>
  <c r="T95" i="45"/>
  <c r="AP41" i="49" s="1"/>
  <c r="AP43" i="49" s="1"/>
  <c r="CN10" i="5" s="1"/>
  <c r="AI9" i="54"/>
  <c r="AI10" i="54" s="1"/>
  <c r="AJ8" i="54"/>
  <c r="AH28" i="54"/>
  <c r="AH33" i="54" s="1"/>
  <c r="AH35" i="54" s="1"/>
  <c r="AH19" i="54"/>
  <c r="AH24" i="54" s="1"/>
  <c r="AH26" i="54" s="1"/>
  <c r="AK90" i="49" s="1"/>
  <c r="AH15" i="54"/>
  <c r="AH17" i="54" s="1"/>
  <c r="AK89" i="49" s="1"/>
  <c r="AZ19" i="5"/>
  <c r="AH190" i="49"/>
  <c r="AE43" i="54" s="1"/>
  <c r="AE46" i="54" s="1"/>
  <c r="AG37" i="54"/>
  <c r="AJ91" i="49"/>
  <c r="AI92" i="49"/>
  <c r="S44" i="47"/>
  <c r="R52" i="47"/>
  <c r="AP83" i="49"/>
  <c r="S41" i="47"/>
  <c r="R68" i="47"/>
  <c r="R71" i="47"/>
  <c r="AN172" i="49"/>
  <c r="P88" i="47" s="1"/>
  <c r="P91" i="47" s="1"/>
  <c r="AN86" i="49"/>
  <c r="CD18" i="5"/>
  <c r="AA19" i="30"/>
  <c r="AA24" i="30" s="1"/>
  <c r="AA26" i="30" s="1"/>
  <c r="AA15" i="30"/>
  <c r="AA17" i="30" s="1"/>
  <c r="AL59" i="49" s="1"/>
  <c r="AJ61" i="49"/>
  <c r="W42" i="30"/>
  <c r="AI184" i="49"/>
  <c r="X37" i="30" s="1"/>
  <c r="X41" i="30" s="1"/>
  <c r="BE15" i="5"/>
  <c r="AI62" i="49"/>
  <c r="AC8" i="30"/>
  <c r="AB9" i="30"/>
  <c r="AB10" i="30" s="1"/>
  <c r="Z28" i="30"/>
  <c r="AK60" i="49"/>
  <c r="AB76" i="46"/>
  <c r="AB79" i="46"/>
  <c r="AB81" i="46" s="1"/>
  <c r="Q225" i="49"/>
  <c r="Q227" i="49" s="1"/>
  <c r="AA71" i="46"/>
  <c r="AA75" i="46" s="1"/>
  <c r="AC76" i="46"/>
  <c r="S161" i="45"/>
  <c r="S147" i="45"/>
  <c r="S162" i="45" s="1"/>
  <c r="S99" i="45"/>
  <c r="S142" i="45" s="1"/>
  <c r="Q175" i="45"/>
  <c r="Q189" i="45"/>
  <c r="U74" i="45"/>
  <c r="U88" i="45" s="1"/>
  <c r="AQ39" i="49"/>
  <c r="R171" i="45"/>
  <c r="S168" i="45"/>
  <c r="AO69" i="49"/>
  <c r="AM74" i="49"/>
  <c r="BY12" i="5"/>
  <c r="AM166" i="49"/>
  <c r="Q208" i="45" s="1"/>
  <c r="Q211" i="45" s="1"/>
  <c r="AO44" i="49"/>
  <c r="CI10" i="5"/>
  <c r="AO136" i="49"/>
  <c r="S184" i="45" s="1"/>
  <c r="S188" i="45" s="1"/>
  <c r="AR39" i="49"/>
  <c r="AL24" i="48"/>
  <c r="AL50" i="48" s="1"/>
  <c r="AL65" i="48" s="1"/>
  <c r="Q24" i="49" s="1"/>
  <c r="AL47" i="48"/>
  <c r="AL62" i="48" s="1"/>
  <c r="AO81" i="48"/>
  <c r="AA25" i="49"/>
  <c r="AF27" i="49" s="1"/>
  <c r="L16" i="48"/>
  <c r="AK21" i="48" s="1"/>
  <c r="K7" i="48"/>
  <c r="L17" i="48"/>
  <c r="AK22" i="48" s="1"/>
  <c r="AK48" i="48" s="1"/>
  <c r="AK63" i="48" s="1"/>
  <c r="L22" i="49" s="1"/>
  <c r="K8" i="48"/>
  <c r="K18" i="48"/>
  <c r="AJ23" i="48" s="1"/>
  <c r="J9" i="48"/>
  <c r="AM66" i="48"/>
  <c r="AN67" i="48" s="1"/>
  <c r="V21" i="49"/>
  <c r="V31" i="49" s="1"/>
  <c r="AF32" i="49"/>
  <c r="AG27" i="49"/>
  <c r="AA145" i="49"/>
  <c r="AF145" i="49" s="1"/>
  <c r="AB145" i="49" s="1"/>
  <c r="AG16" i="15"/>
  <c r="AF7" i="15"/>
  <c r="V145" i="49"/>
  <c r="L144" i="49"/>
  <c r="Z71" i="46" s="1"/>
  <c r="Z75" i="46" s="1"/>
  <c r="Q157" i="49"/>
  <c r="Q163" i="49"/>
  <c r="Q161" i="49"/>
  <c r="AF17" i="15"/>
  <c r="AE8" i="15"/>
  <c r="AE18" i="15"/>
  <c r="AD9" i="15"/>
  <c r="P95" i="49"/>
  <c r="P147" i="49"/>
  <c r="U52" i="49"/>
  <c r="Q52" i="49"/>
  <c r="AM8" i="5" l="1"/>
  <c r="AC25" i="49"/>
  <c r="AC27" i="49" s="1"/>
  <c r="AC128" i="49"/>
  <c r="AB128" i="49"/>
  <c r="AB32" i="49"/>
  <c r="AL8" i="5"/>
  <c r="AB25" i="49"/>
  <c r="AB144" i="49"/>
  <c r="AC145" i="49"/>
  <c r="T144" i="45"/>
  <c r="AP136" i="49"/>
  <c r="T184" i="45" s="1"/>
  <c r="AP44" i="49"/>
  <c r="Q83" i="47"/>
  <c r="T97" i="45"/>
  <c r="T99" i="45" s="1"/>
  <c r="T142" i="45" s="1"/>
  <c r="V71" i="45"/>
  <c r="V74" i="45" s="1"/>
  <c r="V88" i="45" s="1"/>
  <c r="V90" i="45" s="1"/>
  <c r="S51" i="47"/>
  <c r="AQ83" i="49" s="1"/>
  <c r="AJ92" i="49"/>
  <c r="AK8" i="54"/>
  <c r="AJ9" i="54"/>
  <c r="AJ10" i="54" s="1"/>
  <c r="BE19" i="5"/>
  <c r="AI190" i="49"/>
  <c r="AF43" i="54" s="1"/>
  <c r="AF46" i="54" s="1"/>
  <c r="AE47" i="54"/>
  <c r="AH37" i="54"/>
  <c r="AK91" i="49"/>
  <c r="AI28" i="54"/>
  <c r="AI33" i="54" s="1"/>
  <c r="AI35" i="54" s="1"/>
  <c r="AI19" i="54"/>
  <c r="AI24" i="54" s="1"/>
  <c r="AI26" i="54" s="1"/>
  <c r="AL90" i="49" s="1"/>
  <c r="AI15" i="54"/>
  <c r="AI17" i="54" s="1"/>
  <c r="AL89" i="49" s="1"/>
  <c r="P92" i="47"/>
  <c r="R78" i="47"/>
  <c r="T38" i="47"/>
  <c r="T44" i="47" s="1"/>
  <c r="CI18" i="5"/>
  <c r="AO172" i="49"/>
  <c r="Q88" i="47" s="1"/>
  <c r="Q91" i="47" s="1"/>
  <c r="AO86" i="49"/>
  <c r="S65" i="47"/>
  <c r="S62" i="47"/>
  <c r="T35" i="47"/>
  <c r="T41" i="47" s="1"/>
  <c r="AB19" i="30"/>
  <c r="AB24" i="30" s="1"/>
  <c r="AB26" i="30" s="1"/>
  <c r="AB15" i="30"/>
  <c r="AB17" i="30" s="1"/>
  <c r="AM59" i="49" s="1"/>
  <c r="X42" i="30"/>
  <c r="AK61" i="49"/>
  <c r="AC9" i="30"/>
  <c r="AC10" i="30" s="1"/>
  <c r="AD8" i="30"/>
  <c r="AJ62" i="49"/>
  <c r="BJ15" i="5"/>
  <c r="AJ184" i="49"/>
  <c r="Y37" i="30" s="1"/>
  <c r="Y41" i="30" s="1"/>
  <c r="AA28" i="30"/>
  <c r="AL60" i="49"/>
  <c r="Z79" i="46"/>
  <c r="Z81" i="46" s="1"/>
  <c r="Z76" i="46"/>
  <c r="AA76" i="46"/>
  <c r="AA79" i="46"/>
  <c r="AA81" i="46" s="1"/>
  <c r="Q212" i="45"/>
  <c r="S148" i="45"/>
  <c r="S145" i="45" s="1"/>
  <c r="R203" i="45"/>
  <c r="AN73" i="49"/>
  <c r="R174" i="45"/>
  <c r="T166" i="45"/>
  <c r="S163" i="45"/>
  <c r="AO67" i="49" s="1"/>
  <c r="AO65" i="49"/>
  <c r="AO71" i="49"/>
  <c r="U93" i="45"/>
  <c r="AQ36" i="49"/>
  <c r="U90" i="45"/>
  <c r="T167" i="45"/>
  <c r="AP70" i="49" s="1"/>
  <c r="AO66" i="49"/>
  <c r="AK24" i="48"/>
  <c r="AK50" i="48" s="1"/>
  <c r="AK65" i="48" s="1"/>
  <c r="L24" i="49" s="1"/>
  <c r="AK47" i="48"/>
  <c r="AK62" i="48" s="1"/>
  <c r="X27" i="49"/>
  <c r="X32" i="49"/>
  <c r="X128" i="49"/>
  <c r="AL66" i="48"/>
  <c r="Q21" i="49"/>
  <c r="V133" i="49"/>
  <c r="V25" i="49"/>
  <c r="U31" i="49"/>
  <c r="V32" i="49"/>
  <c r="J18" i="48"/>
  <c r="AI23" i="48" s="1"/>
  <c r="I9" i="48"/>
  <c r="K17" i="48"/>
  <c r="AJ22" i="48" s="1"/>
  <c r="J8" i="48"/>
  <c r="K16" i="48"/>
  <c r="AJ21" i="48" s="1"/>
  <c r="J7" i="48"/>
  <c r="Z31" i="49"/>
  <c r="AE31" i="49" s="1"/>
  <c r="Y32" i="49"/>
  <c r="Y128" i="49"/>
  <c r="Y25" i="49"/>
  <c r="AA32" i="49"/>
  <c r="AD18" i="15"/>
  <c r="AC9" i="15"/>
  <c r="AE17" i="15"/>
  <c r="AD8" i="15"/>
  <c r="AF16" i="15"/>
  <c r="AE7" i="15"/>
  <c r="P163" i="49"/>
  <c r="P161" i="49"/>
  <c r="P157" i="49"/>
  <c r="AF144" i="49"/>
  <c r="AD71" i="46" s="1"/>
  <c r="AD75" i="46" s="1"/>
  <c r="AG145" i="49"/>
  <c r="AJ24" i="48" l="1"/>
  <c r="AB27" i="49"/>
  <c r="AE128" i="49"/>
  <c r="AE25" i="49"/>
  <c r="AO8" i="5"/>
  <c r="AE32" i="49"/>
  <c r="Y27" i="49"/>
  <c r="AD27" i="49"/>
  <c r="AD145" i="49"/>
  <c r="AC144" i="49"/>
  <c r="AR36" i="49"/>
  <c r="S52" i="47"/>
  <c r="T188" i="45"/>
  <c r="S171" i="45"/>
  <c r="S174" i="45" s="1"/>
  <c r="T51" i="47"/>
  <c r="T52" i="47" s="1"/>
  <c r="V93" i="45"/>
  <c r="AR40" i="49" s="1"/>
  <c r="AI37" i="54"/>
  <c r="AL91" i="49"/>
  <c r="AK92" i="49"/>
  <c r="AF47" i="54"/>
  <c r="AJ28" i="54"/>
  <c r="AJ33" i="54" s="1"/>
  <c r="AJ35" i="54" s="1"/>
  <c r="AJ19" i="54"/>
  <c r="AJ24" i="54" s="1"/>
  <c r="AJ26" i="54" s="1"/>
  <c r="AM90" i="49" s="1"/>
  <c r="AJ15" i="54"/>
  <c r="AJ17" i="54" s="1"/>
  <c r="AM89" i="49" s="1"/>
  <c r="BJ19" i="5"/>
  <c r="AJ190" i="49"/>
  <c r="AG43" i="54" s="1"/>
  <c r="AG46" i="54" s="1"/>
  <c r="AK9" i="54"/>
  <c r="AK10" i="54" s="1"/>
  <c r="AL8" i="54"/>
  <c r="S71" i="47"/>
  <c r="Q92" i="47"/>
  <c r="S68" i="47"/>
  <c r="R79" i="47"/>
  <c r="R82" i="47"/>
  <c r="AP84" i="49"/>
  <c r="AC19" i="30"/>
  <c r="AC24" i="30" s="1"/>
  <c r="AC26" i="30" s="1"/>
  <c r="AC15" i="30"/>
  <c r="AC17" i="30" s="1"/>
  <c r="AN59" i="49" s="1"/>
  <c r="Y42" i="30"/>
  <c r="AL61" i="49"/>
  <c r="AE8" i="30"/>
  <c r="AD9" i="30"/>
  <c r="AD10" i="30" s="1"/>
  <c r="AK184" i="49"/>
  <c r="Z37" i="30" s="1"/>
  <c r="Z41" i="30" s="1"/>
  <c r="BO15" i="5"/>
  <c r="AK62" i="49"/>
  <c r="AB28" i="30"/>
  <c r="AM60" i="49"/>
  <c r="AD76" i="46"/>
  <c r="T161" i="45"/>
  <c r="T147" i="45"/>
  <c r="T162" i="45" s="1"/>
  <c r="T148" i="45"/>
  <c r="T145" i="45" s="1"/>
  <c r="T168" i="45"/>
  <c r="AP69" i="49"/>
  <c r="R175" i="45"/>
  <c r="R189" i="45"/>
  <c r="AQ37" i="49"/>
  <c r="AQ40" i="49"/>
  <c r="U95" i="45"/>
  <c r="AQ41" i="49" s="1"/>
  <c r="AR37" i="49"/>
  <c r="AN74" i="49"/>
  <c r="CD12" i="5"/>
  <c r="AN166" i="49"/>
  <c r="R208" i="45" s="1"/>
  <c r="R211" i="45" s="1"/>
  <c r="Z128" i="49"/>
  <c r="AA128" i="49" s="1"/>
  <c r="AK8" i="5"/>
  <c r="Z32" i="49"/>
  <c r="Z25" i="49"/>
  <c r="U128" i="49"/>
  <c r="V128" i="49" s="1"/>
  <c r="U32" i="49"/>
  <c r="AL80" i="48"/>
  <c r="Q26" i="49"/>
  <c r="AK66" i="48"/>
  <c r="AL67" i="48" s="1"/>
  <c r="L21" i="49"/>
  <c r="L25" i="49" s="1"/>
  <c r="AM67" i="48"/>
  <c r="J16" i="48"/>
  <c r="AI21" i="48" s="1"/>
  <c r="I7" i="48"/>
  <c r="J17" i="48"/>
  <c r="AI22" i="48" s="1"/>
  <c r="I8" i="48"/>
  <c r="I18" i="48"/>
  <c r="AH23" i="48" s="1"/>
  <c r="H9" i="48"/>
  <c r="U25" i="49"/>
  <c r="U27" i="49" s="1"/>
  <c r="V27" i="49"/>
  <c r="AA27" i="49"/>
  <c r="AE16" i="15"/>
  <c r="AD7" i="15"/>
  <c r="AD17" i="15"/>
  <c r="AC8" i="15"/>
  <c r="AC18" i="15"/>
  <c r="AB9" i="15"/>
  <c r="AH145" i="49"/>
  <c r="AG144" i="49"/>
  <c r="AE71" i="46" s="1"/>
  <c r="AE75" i="46" s="1"/>
  <c r="AE27" i="49" l="1"/>
  <c r="AE145" i="49"/>
  <c r="AE144" i="49" s="1"/>
  <c r="AD144" i="49"/>
  <c r="U144" i="45"/>
  <c r="AO73" i="49"/>
  <c r="CI12" i="5" s="1"/>
  <c r="S203" i="45"/>
  <c r="AR83" i="49"/>
  <c r="AQ43" i="49"/>
  <c r="AQ136" i="49" s="1"/>
  <c r="U184" i="45" s="1"/>
  <c r="V95" i="45"/>
  <c r="S78" i="47"/>
  <c r="S82" i="47" s="1"/>
  <c r="AM8" i="54"/>
  <c r="AL9" i="54"/>
  <c r="AL10" i="54" s="1"/>
  <c r="AG47" i="54"/>
  <c r="AJ37" i="54"/>
  <c r="AM91" i="49"/>
  <c r="BO19" i="5"/>
  <c r="AK190" i="49"/>
  <c r="AH43" i="54" s="1"/>
  <c r="AH46" i="54" s="1"/>
  <c r="AK28" i="54"/>
  <c r="AK33" i="54" s="1"/>
  <c r="AK35" i="54" s="1"/>
  <c r="AK19" i="54"/>
  <c r="AK24" i="54" s="1"/>
  <c r="AK26" i="54" s="1"/>
  <c r="AN90" i="49" s="1"/>
  <c r="AK15" i="54"/>
  <c r="AK17" i="54" s="1"/>
  <c r="AN89" i="49" s="1"/>
  <c r="AL92" i="49"/>
  <c r="R83" i="47"/>
  <c r="AP85" i="49"/>
  <c r="T65" i="47"/>
  <c r="T71" i="47" s="1"/>
  <c r="T62" i="47"/>
  <c r="T68" i="47" s="1"/>
  <c r="AD19" i="30"/>
  <c r="AD24" i="30" s="1"/>
  <c r="AD26" i="30" s="1"/>
  <c r="AD15" i="30"/>
  <c r="AD17" i="30" s="1"/>
  <c r="AO59" i="49" s="1"/>
  <c r="AM61" i="49"/>
  <c r="AL184" i="49"/>
  <c r="AA37" i="30" s="1"/>
  <c r="AA41" i="30" s="1"/>
  <c r="BT15" i="5"/>
  <c r="AL62" i="49"/>
  <c r="Z42" i="30"/>
  <c r="AE9" i="30"/>
  <c r="AE10" i="30" s="1"/>
  <c r="AF8" i="30"/>
  <c r="AC28" i="30"/>
  <c r="AN60" i="49"/>
  <c r="AE76" i="46"/>
  <c r="R212" i="45"/>
  <c r="AP71" i="49"/>
  <c r="U166" i="45"/>
  <c r="T163" i="45"/>
  <c r="AP67" i="49" s="1"/>
  <c r="AP65" i="49"/>
  <c r="S175" i="45"/>
  <c r="S189" i="45"/>
  <c r="U97" i="45"/>
  <c r="U167" i="45"/>
  <c r="AQ70" i="49" s="1"/>
  <c r="AP66" i="49"/>
  <c r="AI24" i="48"/>
  <c r="L31" i="49"/>
  <c r="Q32" i="49" s="1"/>
  <c r="Q27" i="49"/>
  <c r="L128" i="49"/>
  <c r="Z27" i="49"/>
  <c r="H18" i="48"/>
  <c r="AG23" i="48" s="1"/>
  <c r="G9" i="48"/>
  <c r="I17" i="48"/>
  <c r="AH22" i="48" s="1"/>
  <c r="H8" i="48"/>
  <c r="I16" i="48"/>
  <c r="AH21" i="48" s="1"/>
  <c r="H7" i="48"/>
  <c r="AK76" i="48"/>
  <c r="AK80" i="48" s="1"/>
  <c r="L26" i="49"/>
  <c r="AL81" i="48"/>
  <c r="AL84" i="48"/>
  <c r="AL86" i="48" s="1"/>
  <c r="V129" i="49"/>
  <c r="AM76" i="48"/>
  <c r="AM80" i="48" s="1"/>
  <c r="AA129" i="49"/>
  <c r="AN76" i="48"/>
  <c r="AN80" i="48" s="1"/>
  <c r="AH144" i="49"/>
  <c r="AF71" i="46" s="1"/>
  <c r="AF75" i="46" s="1"/>
  <c r="AI145" i="49"/>
  <c r="AB18" i="15"/>
  <c r="BU23" i="15" s="1"/>
  <c r="BU49" i="15" s="1"/>
  <c r="BU64" i="15" s="1"/>
  <c r="AR8" i="49" s="1"/>
  <c r="AA9" i="15"/>
  <c r="AC17" i="15"/>
  <c r="AB8" i="15"/>
  <c r="AD16" i="15"/>
  <c r="AC7" i="15"/>
  <c r="AH24" i="48" l="1"/>
  <c r="AO74" i="49"/>
  <c r="AO166" i="49"/>
  <c r="S208" i="45" s="1"/>
  <c r="S211" i="45" s="1"/>
  <c r="S212" i="45" s="1"/>
  <c r="CS10" i="5"/>
  <c r="S79" i="47"/>
  <c r="AQ44" i="49"/>
  <c r="AQ84" i="49"/>
  <c r="AR41" i="49"/>
  <c r="AR43" i="49" s="1"/>
  <c r="V97" i="45"/>
  <c r="V99" i="45" s="1"/>
  <c r="V142" i="45" s="1"/>
  <c r="T171" i="45"/>
  <c r="T174" i="45" s="1"/>
  <c r="T78" i="47"/>
  <c r="T79" i="47" s="1"/>
  <c r="BT19" i="5"/>
  <c r="AL190" i="49"/>
  <c r="AI43" i="54" s="1"/>
  <c r="AI46" i="54" s="1"/>
  <c r="AK37" i="54"/>
  <c r="AN91" i="49"/>
  <c r="AM92" i="49"/>
  <c r="AL28" i="54"/>
  <c r="AL33" i="54" s="1"/>
  <c r="AL35" i="54" s="1"/>
  <c r="AL19" i="54"/>
  <c r="AL24" i="54" s="1"/>
  <c r="AL26" i="54" s="1"/>
  <c r="AO90" i="49" s="1"/>
  <c r="AL15" i="54"/>
  <c r="AL17" i="54" s="1"/>
  <c r="AO89" i="49" s="1"/>
  <c r="AH47" i="54"/>
  <c r="AM9" i="54"/>
  <c r="AM10" i="54" s="1"/>
  <c r="AN8" i="54"/>
  <c r="S83" i="47"/>
  <c r="AQ85" i="49"/>
  <c r="CN18" i="5"/>
  <c r="AP86" i="49"/>
  <c r="AP172" i="49"/>
  <c r="R88" i="47" s="1"/>
  <c r="R91" i="47" s="1"/>
  <c r="AE19" i="30"/>
  <c r="AE24" i="30" s="1"/>
  <c r="AE26" i="30" s="1"/>
  <c r="AE15" i="30"/>
  <c r="AE17" i="30" s="1"/>
  <c r="AP59" i="49" s="1"/>
  <c r="AG8" i="30"/>
  <c r="AG9" i="30" s="1"/>
  <c r="AF9" i="30"/>
  <c r="AF10" i="30" s="1"/>
  <c r="AA42" i="30"/>
  <c r="AN61" i="49"/>
  <c r="AM184" i="49"/>
  <c r="AB37" i="30" s="1"/>
  <c r="AB41" i="30" s="1"/>
  <c r="BY15" i="5"/>
  <c r="AM62" i="49"/>
  <c r="AD28" i="30"/>
  <c r="AO60" i="49"/>
  <c r="AF76" i="46"/>
  <c r="U161" i="45"/>
  <c r="U147" i="45"/>
  <c r="U162" i="45" s="1"/>
  <c r="U168" i="45"/>
  <c r="AQ69" i="49"/>
  <c r="U188" i="45"/>
  <c r="U99" i="45"/>
  <c r="U142" i="45" s="1"/>
  <c r="AK81" i="48"/>
  <c r="AK84" i="48"/>
  <c r="AK86" i="48" s="1"/>
  <c r="AN81" i="48"/>
  <c r="AM81" i="48"/>
  <c r="AM84" i="48"/>
  <c r="AM86" i="48" s="1"/>
  <c r="H16" i="48"/>
  <c r="AG21" i="48" s="1"/>
  <c r="G7" i="48"/>
  <c r="H17" i="48"/>
  <c r="AG22" i="48" s="1"/>
  <c r="G8" i="48"/>
  <c r="G18" i="48"/>
  <c r="AF23" i="48" s="1"/>
  <c r="F9" i="48"/>
  <c r="AI144" i="49"/>
  <c r="AG71" i="46" s="1"/>
  <c r="AG75" i="46" s="1"/>
  <c r="AJ145" i="49"/>
  <c r="AC16" i="15"/>
  <c r="AB7" i="15"/>
  <c r="AB17" i="15"/>
  <c r="BU22" i="15" s="1"/>
  <c r="BU48" i="15" s="1"/>
  <c r="BU63" i="15" s="1"/>
  <c r="AR7" i="49" s="1"/>
  <c r="AA8" i="15"/>
  <c r="AA18" i="15"/>
  <c r="BT23" i="15" s="1"/>
  <c r="BT49" i="15" s="1"/>
  <c r="BT64" i="15" s="1"/>
  <c r="AQ8" i="49" s="1"/>
  <c r="Z9" i="15"/>
  <c r="V144" i="45" l="1"/>
  <c r="AP73" i="49"/>
  <c r="CN12" i="5" s="1"/>
  <c r="T203" i="45"/>
  <c r="AR136" i="49"/>
  <c r="V184" i="45" s="1"/>
  <c r="V188" i="45" s="1"/>
  <c r="CX10" i="5"/>
  <c r="AR44" i="49"/>
  <c r="T82" i="47"/>
  <c r="AR85" i="49" s="1"/>
  <c r="AR84" i="49"/>
  <c r="AO8" i="54"/>
  <c r="AO9" i="54" s="1"/>
  <c r="AN9" i="54"/>
  <c r="AN10" i="54" s="1"/>
  <c r="BY19" i="5"/>
  <c r="AM190" i="49"/>
  <c r="AJ43" i="54" s="1"/>
  <c r="AJ46" i="54" s="1"/>
  <c r="AI47" i="54"/>
  <c r="AM28" i="54"/>
  <c r="AM33" i="54" s="1"/>
  <c r="AM35" i="54" s="1"/>
  <c r="AM19" i="54"/>
  <c r="AM24" i="54" s="1"/>
  <c r="AM26" i="54" s="1"/>
  <c r="AP90" i="49" s="1"/>
  <c r="AM15" i="54"/>
  <c r="AM17" i="54" s="1"/>
  <c r="AP89" i="49" s="1"/>
  <c r="AL37" i="54"/>
  <c r="AO91" i="49"/>
  <c r="AN92" i="49"/>
  <c r="CS18" i="5"/>
  <c r="AQ86" i="49"/>
  <c r="AQ172" i="49"/>
  <c r="S88" i="47" s="1"/>
  <c r="S91" i="47" s="1"/>
  <c r="R92" i="47"/>
  <c r="AF19" i="30"/>
  <c r="AF24" i="30" s="1"/>
  <c r="AF26" i="30" s="1"/>
  <c r="AG10" i="30"/>
  <c r="AF15" i="30"/>
  <c r="AF17" i="30" s="1"/>
  <c r="AQ59" i="49" s="1"/>
  <c r="AO61" i="49"/>
  <c r="AB42" i="30"/>
  <c r="AN184" i="49"/>
  <c r="AC37" i="30" s="1"/>
  <c r="AC41" i="30" s="1"/>
  <c r="CD15" i="5"/>
  <c r="AN62" i="49"/>
  <c r="AE28" i="30"/>
  <c r="AP60" i="49"/>
  <c r="AG76" i="46"/>
  <c r="U148" i="45"/>
  <c r="U145" i="45" s="1"/>
  <c r="V148" i="45"/>
  <c r="V145" i="45" s="1"/>
  <c r="AP74" i="49"/>
  <c r="V166" i="45"/>
  <c r="U163" i="45"/>
  <c r="AQ67" i="49" s="1"/>
  <c r="AQ65" i="49"/>
  <c r="T175" i="45"/>
  <c r="T189" i="45"/>
  <c r="AQ71" i="49"/>
  <c r="V167" i="45"/>
  <c r="AR70" i="49" s="1"/>
  <c r="AQ66" i="49"/>
  <c r="F18" i="48"/>
  <c r="AE23" i="48" s="1"/>
  <c r="E9" i="48"/>
  <c r="G17" i="48"/>
  <c r="AF22" i="48" s="1"/>
  <c r="F8" i="48"/>
  <c r="G16" i="48"/>
  <c r="AF21" i="48" s="1"/>
  <c r="F7" i="48"/>
  <c r="AG24" i="48"/>
  <c r="Z18" i="15"/>
  <c r="BS23" i="15" s="1"/>
  <c r="BS49" i="15" s="1"/>
  <c r="BS64" i="15" s="1"/>
  <c r="AP8" i="49" s="1"/>
  <c r="Y9" i="15"/>
  <c r="AA17" i="15"/>
  <c r="BT22" i="15" s="1"/>
  <c r="BT48" i="15" s="1"/>
  <c r="BT63" i="15" s="1"/>
  <c r="AQ7" i="49" s="1"/>
  <c r="Z8" i="15"/>
  <c r="AB16" i="15"/>
  <c r="BU21" i="15" s="1"/>
  <c r="AA7" i="15"/>
  <c r="AK145" i="49"/>
  <c r="AJ144" i="49"/>
  <c r="AH71" i="46" s="1"/>
  <c r="AH75" i="46" s="1"/>
  <c r="AF24" i="48" l="1"/>
  <c r="AP166" i="49"/>
  <c r="T208" i="45" s="1"/>
  <c r="T211" i="45" s="1"/>
  <c r="T212" i="45" s="1"/>
  <c r="T83" i="47"/>
  <c r="E79" i="59"/>
  <c r="CD19" i="5"/>
  <c r="AN190" i="49"/>
  <c r="AK43" i="54" s="1"/>
  <c r="AK46" i="54" s="1"/>
  <c r="AM37" i="54"/>
  <c r="AP91" i="49"/>
  <c r="AJ47" i="54"/>
  <c r="AN28" i="54"/>
  <c r="AN33" i="54" s="1"/>
  <c r="AN35" i="54" s="1"/>
  <c r="AN19" i="54"/>
  <c r="AN24" i="54" s="1"/>
  <c r="AN26" i="54" s="1"/>
  <c r="AQ90" i="49" s="1"/>
  <c r="AN15" i="54"/>
  <c r="AN17" i="54" s="1"/>
  <c r="AQ89" i="49" s="1"/>
  <c r="AO92" i="49"/>
  <c r="AO10" i="54"/>
  <c r="AR86" i="49"/>
  <c r="CX18" i="5"/>
  <c r="AR172" i="49"/>
  <c r="T88" i="47" s="1"/>
  <c r="T91" i="47" s="1"/>
  <c r="S92" i="47"/>
  <c r="AP61" i="49"/>
  <c r="AC42" i="30"/>
  <c r="AG19" i="30"/>
  <c r="AG24" i="30" s="1"/>
  <c r="AG26" i="30" s="1"/>
  <c r="AG15" i="30"/>
  <c r="AG17" i="30" s="1"/>
  <c r="AR59" i="49" s="1"/>
  <c r="CI15" i="5"/>
  <c r="AO62" i="49"/>
  <c r="AO184" i="49"/>
  <c r="AD37" i="30" s="1"/>
  <c r="AD41" i="30" s="1"/>
  <c r="AF28" i="30"/>
  <c r="AQ60" i="49"/>
  <c r="AH76" i="46"/>
  <c r="V161" i="45"/>
  <c r="V147" i="45"/>
  <c r="V162" i="45" s="1"/>
  <c r="AR66" i="49" s="1"/>
  <c r="U171" i="45"/>
  <c r="V168" i="45"/>
  <c r="AR69" i="49"/>
  <c r="F16" i="48"/>
  <c r="AE21" i="48" s="1"/>
  <c r="E7" i="48"/>
  <c r="F17" i="48"/>
  <c r="AE22" i="48" s="1"/>
  <c r="E8" i="48"/>
  <c r="E18" i="48"/>
  <c r="AD23" i="48" s="1"/>
  <c r="D9" i="48"/>
  <c r="AA16" i="15"/>
  <c r="BT21" i="15" s="1"/>
  <c r="Z7" i="15"/>
  <c r="Z17" i="15"/>
  <c r="BS22" i="15" s="1"/>
  <c r="BS48" i="15" s="1"/>
  <c r="BS63" i="15" s="1"/>
  <c r="AP7" i="49" s="1"/>
  <c r="Y8" i="15"/>
  <c r="Y18" i="15"/>
  <c r="BR23" i="15" s="1"/>
  <c r="BR49" i="15" s="1"/>
  <c r="BR64" i="15" s="1"/>
  <c r="AO8" i="49" s="1"/>
  <c r="X9" i="15"/>
  <c r="AK144" i="49"/>
  <c r="AI71" i="46" s="1"/>
  <c r="AI75" i="46" s="1"/>
  <c r="AL145" i="49"/>
  <c r="BU24" i="15"/>
  <c r="BU50" i="15" s="1"/>
  <c r="BU65" i="15" s="1"/>
  <c r="AR9" i="49" s="1"/>
  <c r="BU47" i="15"/>
  <c r="BU62" i="15" s="1"/>
  <c r="CI19" i="5" l="1"/>
  <c r="AO190" i="49"/>
  <c r="AL43" i="54" s="1"/>
  <c r="AL46" i="54" s="1"/>
  <c r="AN37" i="54"/>
  <c r="AQ91" i="49"/>
  <c r="AK47" i="54"/>
  <c r="AO28" i="54"/>
  <c r="AO33" i="54" s="1"/>
  <c r="AO35" i="54" s="1"/>
  <c r="AO19" i="54"/>
  <c r="AO24" i="54" s="1"/>
  <c r="AO26" i="54" s="1"/>
  <c r="AR90" i="49" s="1"/>
  <c r="AO15" i="54"/>
  <c r="AO17" i="54" s="1"/>
  <c r="AR89" i="49" s="1"/>
  <c r="AP92" i="49"/>
  <c r="T92" i="47"/>
  <c r="AQ61" i="49"/>
  <c r="AP62" i="49"/>
  <c r="CN15" i="5"/>
  <c r="AP184" i="49"/>
  <c r="AE37" i="30" s="1"/>
  <c r="AE41" i="30" s="1"/>
  <c r="AD42" i="30"/>
  <c r="AG28" i="30"/>
  <c r="AR60" i="49"/>
  <c r="AI76" i="46"/>
  <c r="U203" i="45"/>
  <c r="AQ73" i="49"/>
  <c r="U174" i="45"/>
  <c r="V163" i="45"/>
  <c r="AR67" i="49" s="1"/>
  <c r="AR65" i="49"/>
  <c r="AR71" i="49"/>
  <c r="D18" i="48"/>
  <c r="AC23" i="48" s="1"/>
  <c r="C9" i="48"/>
  <c r="C18" i="48" s="1"/>
  <c r="E17" i="48"/>
  <c r="AD22" i="48" s="1"/>
  <c r="D8" i="48"/>
  <c r="E16" i="48"/>
  <c r="AD21" i="48" s="1"/>
  <c r="D7" i="48"/>
  <c r="AE24" i="48"/>
  <c r="BT24" i="15"/>
  <c r="BT50" i="15" s="1"/>
  <c r="BT65" i="15" s="1"/>
  <c r="AQ9" i="49" s="1"/>
  <c r="BT47" i="15"/>
  <c r="BT62" i="15" s="1"/>
  <c r="BU66" i="15"/>
  <c r="AR6" i="49"/>
  <c r="AR16" i="49" s="1"/>
  <c r="AL144" i="49"/>
  <c r="AJ71" i="46" s="1"/>
  <c r="AJ75" i="46" s="1"/>
  <c r="AM145" i="49"/>
  <c r="X18" i="15"/>
  <c r="BQ23" i="15" s="1"/>
  <c r="BQ49" i="15" s="1"/>
  <c r="BQ64" i="15" s="1"/>
  <c r="AN8" i="49" s="1"/>
  <c r="W9" i="15"/>
  <c r="Y17" i="15"/>
  <c r="BR22" i="15" s="1"/>
  <c r="BR48" i="15" s="1"/>
  <c r="BR63" i="15" s="1"/>
  <c r="AO7" i="49" s="1"/>
  <c r="X8" i="15"/>
  <c r="Z16" i="15"/>
  <c r="BS21" i="15" s="1"/>
  <c r="Y7" i="15"/>
  <c r="AD24" i="48" l="1"/>
  <c r="AB23" i="48"/>
  <c r="V171" i="45"/>
  <c r="V174" i="45" s="1"/>
  <c r="CN19" i="5"/>
  <c r="AP190" i="49"/>
  <c r="AM43" i="54" s="1"/>
  <c r="AM46" i="54" s="1"/>
  <c r="AO37" i="54"/>
  <c r="AR91" i="49"/>
  <c r="AL47" i="54"/>
  <c r="AQ92" i="49"/>
  <c r="AR61" i="49"/>
  <c r="CS15" i="5"/>
  <c r="AQ62" i="49"/>
  <c r="AQ184" i="49"/>
  <c r="AF37" i="30" s="1"/>
  <c r="AF41" i="30" s="1"/>
  <c r="AE42" i="30"/>
  <c r="AJ76" i="46"/>
  <c r="AQ74" i="49"/>
  <c r="CS12" i="5"/>
  <c r="AQ166" i="49"/>
  <c r="U208" i="45" s="1"/>
  <c r="U211" i="45" s="1"/>
  <c r="U175" i="45"/>
  <c r="U189" i="45"/>
  <c r="D16" i="48"/>
  <c r="AC21" i="48" s="1"/>
  <c r="C7" i="48"/>
  <c r="C16" i="48" s="1"/>
  <c r="D17" i="48"/>
  <c r="AC22" i="48" s="1"/>
  <c r="C8" i="48"/>
  <c r="C17" i="48" s="1"/>
  <c r="BS24" i="15"/>
  <c r="BS50" i="15" s="1"/>
  <c r="BS65" i="15" s="1"/>
  <c r="AP9" i="49" s="1"/>
  <c r="BS47" i="15"/>
  <c r="BS62" i="15" s="1"/>
  <c r="Y16" i="15"/>
  <c r="BR21" i="15" s="1"/>
  <c r="X7" i="15"/>
  <c r="X17" i="15"/>
  <c r="BQ22" i="15" s="1"/>
  <c r="BQ48" i="15" s="1"/>
  <c r="BQ63" i="15" s="1"/>
  <c r="AN7" i="49" s="1"/>
  <c r="W8" i="15"/>
  <c r="W18" i="15"/>
  <c r="BP23" i="15" s="1"/>
  <c r="BP49" i="15" s="1"/>
  <c r="BP64" i="15" s="1"/>
  <c r="AM8" i="49" s="1"/>
  <c r="V9" i="15"/>
  <c r="AN145" i="49"/>
  <c r="AM144" i="49"/>
  <c r="AK71" i="46" s="1"/>
  <c r="AK75" i="46" s="1"/>
  <c r="AR10" i="49"/>
  <c r="CX6" i="5"/>
  <c r="AR120" i="49"/>
  <c r="BU76" i="15" s="1"/>
  <c r="BU80" i="15" s="1"/>
  <c r="BT66" i="15"/>
  <c r="AQ6" i="49"/>
  <c r="AQ16" i="49" s="1"/>
  <c r="AB21" i="48" l="1"/>
  <c r="AB22" i="48"/>
  <c r="AR73" i="49"/>
  <c r="CX12" i="5" s="1"/>
  <c r="V203" i="45"/>
  <c r="AM47" i="54"/>
  <c r="CS19" i="5"/>
  <c r="AQ190" i="49"/>
  <c r="AN43" i="54" s="1"/>
  <c r="AN46" i="54" s="1"/>
  <c r="AR92" i="49"/>
  <c r="AR62" i="49"/>
  <c r="CX15" i="5"/>
  <c r="AR184" i="49"/>
  <c r="AG37" i="30" s="1"/>
  <c r="AG41" i="30" s="1"/>
  <c r="AF42" i="30"/>
  <c r="AK76" i="46"/>
  <c r="U212" i="45"/>
  <c r="AR74" i="49"/>
  <c r="V175" i="45"/>
  <c r="V189" i="45"/>
  <c r="AB24" i="48"/>
  <c r="AC24" i="48"/>
  <c r="BU81" i="15"/>
  <c r="AQ120" i="49"/>
  <c r="BT76" i="15" s="1"/>
  <c r="BT80" i="15" s="1"/>
  <c r="AQ10" i="49"/>
  <c r="AQ95" i="49" s="1"/>
  <c r="CS6" i="5"/>
  <c r="AN144" i="49"/>
  <c r="AL71" i="46" s="1"/>
  <c r="AL75" i="46" s="1"/>
  <c r="AO145" i="49"/>
  <c r="BR24" i="15"/>
  <c r="BR50" i="15" s="1"/>
  <c r="BR65" i="15" s="1"/>
  <c r="AO9" i="49" s="1"/>
  <c r="BR47" i="15"/>
  <c r="BR62" i="15" s="1"/>
  <c r="BS66" i="15"/>
  <c r="BT68" i="15" s="1"/>
  <c r="AP6" i="49"/>
  <c r="AP16" i="49" s="1"/>
  <c r="V18" i="15"/>
  <c r="BO23" i="15" s="1"/>
  <c r="BO49" i="15" s="1"/>
  <c r="BO64" i="15" s="1"/>
  <c r="AL8" i="49" s="1"/>
  <c r="U9" i="15"/>
  <c r="W17" i="15"/>
  <c r="BP22" i="15" s="1"/>
  <c r="BP48" i="15" s="1"/>
  <c r="BP63" i="15" s="1"/>
  <c r="AM7" i="49" s="1"/>
  <c r="V8" i="15"/>
  <c r="X16" i="15"/>
  <c r="BQ21" i="15" s="1"/>
  <c r="W7" i="15"/>
  <c r="BU68" i="15"/>
  <c r="CS5" i="5" l="1"/>
  <c r="CS22" i="5" s="1"/>
  <c r="V41" i="50" s="1"/>
  <c r="AR166" i="49"/>
  <c r="V208" i="45" s="1"/>
  <c r="V211" i="45" s="1"/>
  <c r="V212" i="45" s="1"/>
  <c r="CX19" i="5"/>
  <c r="CX5" i="5" s="1"/>
  <c r="CX22" i="5" s="1"/>
  <c r="AR190" i="49"/>
  <c r="AO43" i="54" s="1"/>
  <c r="AO46" i="54" s="1"/>
  <c r="AN47" i="54"/>
  <c r="AR95" i="49"/>
  <c r="AR97" i="49" s="1"/>
  <c r="AG42" i="30"/>
  <c r="AL76" i="46"/>
  <c r="BQ24" i="15"/>
  <c r="BQ50" i="15" s="1"/>
  <c r="BQ65" i="15" s="1"/>
  <c r="AN9" i="49" s="1"/>
  <c r="BQ47" i="15"/>
  <c r="BQ62" i="15" s="1"/>
  <c r="BT81" i="15"/>
  <c r="AP10" i="49"/>
  <c r="AP95" i="49" s="1"/>
  <c r="AQ97" i="49" s="1"/>
  <c r="CN6" i="5"/>
  <c r="CN5" i="5" s="1"/>
  <c r="CN22" i="5" s="1"/>
  <c r="AP120" i="49"/>
  <c r="BS76" i="15" s="1"/>
  <c r="BS80" i="15" s="1"/>
  <c r="BR66" i="15"/>
  <c r="BS68" i="15" s="1"/>
  <c r="AO6" i="49"/>
  <c r="AO16" i="49" s="1"/>
  <c r="AP145" i="49"/>
  <c r="AO144" i="49"/>
  <c r="AM71" i="46" s="1"/>
  <c r="AM75" i="46" s="1"/>
  <c r="W16" i="15"/>
  <c r="BP21" i="15" s="1"/>
  <c r="V7" i="15"/>
  <c r="V17" i="15"/>
  <c r="BO22" i="15" s="1"/>
  <c r="BO48" i="15" s="1"/>
  <c r="BO63" i="15" s="1"/>
  <c r="AL7" i="49" s="1"/>
  <c r="U8" i="15"/>
  <c r="U18" i="15"/>
  <c r="BN23" i="15" s="1"/>
  <c r="BN49" i="15" s="1"/>
  <c r="BN64" i="15" s="1"/>
  <c r="AK8" i="49" s="1"/>
  <c r="T9" i="15"/>
  <c r="CX138" i="5" l="1"/>
  <c r="CS138" i="5"/>
  <c r="AO47" i="54"/>
  <c r="W41" i="50"/>
  <c r="AM76" i="46"/>
  <c r="BS81" i="15"/>
  <c r="T18" i="15"/>
  <c r="BM23" i="15" s="1"/>
  <c r="BM49" i="15" s="1"/>
  <c r="BM64" i="15" s="1"/>
  <c r="AJ8" i="49" s="1"/>
  <c r="S9" i="15"/>
  <c r="U17" i="15"/>
  <c r="BN22" i="15" s="1"/>
  <c r="BN48" i="15" s="1"/>
  <c r="BN63" i="15" s="1"/>
  <c r="AK7" i="49" s="1"/>
  <c r="T8" i="15"/>
  <c r="V16" i="15"/>
  <c r="BO21" i="15" s="1"/>
  <c r="U7" i="15"/>
  <c r="AQ145" i="49"/>
  <c r="AP144" i="49"/>
  <c r="U41" i="50"/>
  <c r="BQ66" i="15"/>
  <c r="BR68" i="15" s="1"/>
  <c r="AN6" i="49"/>
  <c r="AN16" i="49" s="1"/>
  <c r="V56" i="50"/>
  <c r="V7" i="50" s="1"/>
  <c r="V60" i="50"/>
  <c r="V8" i="50" s="1"/>
  <c r="V62" i="50"/>
  <c r="V14" i="50" s="1"/>
  <c r="V71" i="50"/>
  <c r="V58" i="50"/>
  <c r="V9" i="50" s="1"/>
  <c r="BP24" i="15"/>
  <c r="BP50" i="15" s="1"/>
  <c r="BP65" i="15" s="1"/>
  <c r="AM9" i="49" s="1"/>
  <c r="BP47" i="15"/>
  <c r="BP62" i="15" s="1"/>
  <c r="CI6" i="5"/>
  <c r="CI5" i="5" s="1"/>
  <c r="CI22" i="5" s="1"/>
  <c r="AO10" i="49"/>
  <c r="AO95" i="49" s="1"/>
  <c r="AP97" i="49" s="1"/>
  <c r="AO120" i="49"/>
  <c r="BR76" i="15" s="1"/>
  <c r="BR80" i="15" s="1"/>
  <c r="AO225" i="49" l="1"/>
  <c r="CI28" i="5" s="1"/>
  <c r="W60" i="50"/>
  <c r="W8" i="50" s="1"/>
  <c r="W14" i="51" s="1"/>
  <c r="W62" i="50"/>
  <c r="W14" i="50" s="1"/>
  <c r="W16" i="51" s="1"/>
  <c r="W71" i="50"/>
  <c r="W56" i="50"/>
  <c r="W7" i="50" s="1"/>
  <c r="W50" i="50" s="1"/>
  <c r="W53" i="50" s="1"/>
  <c r="W58" i="50"/>
  <c r="W9" i="50" s="1"/>
  <c r="W15" i="51" s="1"/>
  <c r="AP225" i="49"/>
  <c r="CN28" i="5" s="1"/>
  <c r="CN29" i="5" s="1"/>
  <c r="AN71" i="46"/>
  <c r="AN75" i="46" s="1"/>
  <c r="BR81" i="15"/>
  <c r="V95" i="50"/>
  <c r="V23" i="51"/>
  <c r="AN10" i="49"/>
  <c r="AN95" i="49" s="1"/>
  <c r="CD6" i="5"/>
  <c r="CD5" i="5" s="1"/>
  <c r="CD22" i="5" s="1"/>
  <c r="CI138" i="5" s="1"/>
  <c r="AN120" i="49"/>
  <c r="U62" i="50"/>
  <c r="U14" i="50" s="1"/>
  <c r="V16" i="51" s="1"/>
  <c r="U58" i="50"/>
  <c r="U9" i="50" s="1"/>
  <c r="V15" i="51" s="1"/>
  <c r="U71" i="50"/>
  <c r="U60" i="50"/>
  <c r="U8" i="50" s="1"/>
  <c r="U56" i="50"/>
  <c r="U7" i="50" s="1"/>
  <c r="AR145" i="49"/>
  <c r="AR144" i="49" s="1"/>
  <c r="AQ144" i="49"/>
  <c r="BO24" i="15"/>
  <c r="BO50" i="15" s="1"/>
  <c r="BO65" i="15" s="1"/>
  <c r="AL9" i="49" s="1"/>
  <c r="BO47" i="15"/>
  <c r="BO62" i="15" s="1"/>
  <c r="T41" i="50"/>
  <c r="BP66" i="15"/>
  <c r="AM6" i="49"/>
  <c r="AM16" i="49" s="1"/>
  <c r="V50" i="50"/>
  <c r="V53" i="50" s="1"/>
  <c r="CN138" i="5"/>
  <c r="U16" i="15"/>
  <c r="BN21" i="15" s="1"/>
  <c r="T7" i="15"/>
  <c r="T17" i="15"/>
  <c r="BM22" i="15" s="1"/>
  <c r="BM48" i="15" s="1"/>
  <c r="BM63" i="15" s="1"/>
  <c r="AJ7" i="49" s="1"/>
  <c r="S8" i="15"/>
  <c r="S18" i="15"/>
  <c r="BL23" i="15" s="1"/>
  <c r="BL49" i="15" s="1"/>
  <c r="BL64" i="15" s="1"/>
  <c r="AI8" i="49" s="1"/>
  <c r="R9" i="15"/>
  <c r="V27" i="51" l="1"/>
  <c r="V47" i="50"/>
  <c r="W95" i="50"/>
  <c r="CN26" i="5"/>
  <c r="T42" i="50"/>
  <c r="CI128" i="5"/>
  <c r="CN128" i="5"/>
  <c r="CI29" i="5"/>
  <c r="CN140" i="5" s="1"/>
  <c r="CN129" i="5"/>
  <c r="CI26" i="5"/>
  <c r="CN139" i="5"/>
  <c r="U42" i="50"/>
  <c r="U51" i="50" s="1"/>
  <c r="U54" i="50" s="1"/>
  <c r="CI129" i="5"/>
  <c r="W13" i="51"/>
  <c r="W96" i="50"/>
  <c r="W23" i="51"/>
  <c r="AR225" i="49"/>
  <c r="CX28" i="5" s="1"/>
  <c r="CX129" i="5" s="1"/>
  <c r="AP71" i="46"/>
  <c r="AP75" i="46" s="1"/>
  <c r="AN76" i="46"/>
  <c r="AQ225" i="49"/>
  <c r="CS28" i="5" s="1"/>
  <c r="AO71" i="46"/>
  <c r="AO75" i="46" s="1"/>
  <c r="R18" i="15"/>
  <c r="BK23" i="15" s="1"/>
  <c r="BK49" i="15" s="1"/>
  <c r="BK64" i="15" s="1"/>
  <c r="AH8" i="49" s="1"/>
  <c r="Q9" i="15"/>
  <c r="S17" i="15"/>
  <c r="BL22" i="15" s="1"/>
  <c r="BL48" i="15" s="1"/>
  <c r="BL63" i="15" s="1"/>
  <c r="AI7" i="49" s="1"/>
  <c r="R8" i="15"/>
  <c r="T16" i="15"/>
  <c r="BM21" i="15" s="1"/>
  <c r="S7" i="15"/>
  <c r="BO66" i="15"/>
  <c r="AL6" i="49"/>
  <c r="AL16" i="49" s="1"/>
  <c r="AM17" i="49" s="1"/>
  <c r="U50" i="50"/>
  <c r="U53" i="50" s="1"/>
  <c r="V13" i="51"/>
  <c r="U94" i="50"/>
  <c r="U23" i="51"/>
  <c r="S41" i="50"/>
  <c r="BN24" i="15"/>
  <c r="BN50" i="15" s="1"/>
  <c r="BN65" i="15" s="1"/>
  <c r="AK9" i="49" s="1"/>
  <c r="BN47" i="15"/>
  <c r="BN62" i="15" s="1"/>
  <c r="BQ68" i="15"/>
  <c r="AM120" i="49"/>
  <c r="AM10" i="49"/>
  <c r="BY6" i="5"/>
  <c r="T71" i="50"/>
  <c r="T58" i="50"/>
  <c r="T9" i="50" s="1"/>
  <c r="U15" i="51" s="1"/>
  <c r="T56" i="50"/>
  <c r="T7" i="50" s="1"/>
  <c r="U13" i="51" s="1"/>
  <c r="T60" i="50"/>
  <c r="T8" i="50" s="1"/>
  <c r="U14" i="51" s="1"/>
  <c r="T62" i="50"/>
  <c r="T14" i="50" s="1"/>
  <c r="U16" i="51" s="1"/>
  <c r="V14" i="51"/>
  <c r="BQ76" i="15"/>
  <c r="BQ80" i="15" s="1"/>
  <c r="AN225" i="49"/>
  <c r="CD28" i="5" s="1"/>
  <c r="CD29" i="5" s="1"/>
  <c r="AO97" i="49"/>
  <c r="U27" i="51" l="1"/>
  <c r="U47" i="50"/>
  <c r="W27" i="51"/>
  <c r="W47" i="50"/>
  <c r="CX26" i="5"/>
  <c r="W42" i="50"/>
  <c r="W51" i="50" s="1"/>
  <c r="W54" i="50" s="1"/>
  <c r="CX128" i="5"/>
  <c r="CX29" i="5"/>
  <c r="CX139" i="5"/>
  <c r="CS129" i="5"/>
  <c r="T51" i="50"/>
  <c r="T54" i="50" s="1"/>
  <c r="CS26" i="5"/>
  <c r="V42" i="50"/>
  <c r="V51" i="50" s="1"/>
  <c r="V54" i="50" s="1"/>
  <c r="CS29" i="5"/>
  <c r="CS140" i="5" s="1"/>
  <c r="CS128" i="5"/>
  <c r="CS139" i="5"/>
  <c r="AO76" i="46"/>
  <c r="AP76" i="46"/>
  <c r="T50" i="50"/>
  <c r="T53" i="50" s="1"/>
  <c r="CI140" i="5"/>
  <c r="BQ81" i="15"/>
  <c r="BY5" i="5"/>
  <c r="BY22" i="5" s="1"/>
  <c r="E78" i="59"/>
  <c r="D78" i="59"/>
  <c r="BP76" i="15"/>
  <c r="BP80" i="15" s="1"/>
  <c r="AM225" i="49"/>
  <c r="BY28" i="5" s="1"/>
  <c r="CD139" i="5" s="1"/>
  <c r="BP68" i="15"/>
  <c r="S16" i="15"/>
  <c r="BL21" i="15" s="1"/>
  <c r="R7" i="15"/>
  <c r="R17" i="15"/>
  <c r="BK22" i="15" s="1"/>
  <c r="BK48" i="15" s="1"/>
  <c r="BK63" i="15" s="1"/>
  <c r="AH7" i="49" s="1"/>
  <c r="Q8" i="15"/>
  <c r="Q18" i="15"/>
  <c r="BJ23" i="15" s="1"/>
  <c r="BJ49" i="15" s="1"/>
  <c r="BJ64" i="15" s="1"/>
  <c r="AG8" i="49" s="1"/>
  <c r="P9" i="15"/>
  <c r="S42" i="50"/>
  <c r="CD26" i="5"/>
  <c r="CD129" i="5"/>
  <c r="CD128" i="5"/>
  <c r="CI139" i="5"/>
  <c r="T93" i="50"/>
  <c r="T23" i="51"/>
  <c r="AM95" i="49"/>
  <c r="BN66" i="15"/>
  <c r="BO68" i="15" s="1"/>
  <c r="AK6" i="49"/>
  <c r="AK16" i="49" s="1"/>
  <c r="AL17" i="49" s="1"/>
  <c r="S71" i="50"/>
  <c r="S60" i="50"/>
  <c r="S8" i="50" s="1"/>
  <c r="S56" i="50"/>
  <c r="S7" i="50" s="1"/>
  <c r="S62" i="50"/>
  <c r="S14" i="50" s="1"/>
  <c r="T16" i="51" s="1"/>
  <c r="S58" i="50"/>
  <c r="S9" i="50" s="1"/>
  <c r="T15" i="51" s="1"/>
  <c r="V94" i="50"/>
  <c r="W94" i="50" s="1"/>
  <c r="AL10" i="49"/>
  <c r="BT6" i="5"/>
  <c r="BT5" i="5" s="1"/>
  <c r="BT22" i="5" s="1"/>
  <c r="AL120" i="49"/>
  <c r="BM24" i="15"/>
  <c r="BM50" i="15" s="1"/>
  <c r="BM65" i="15" s="1"/>
  <c r="AJ9" i="49" s="1"/>
  <c r="BM47" i="15"/>
  <c r="BM62" i="15" s="1"/>
  <c r="T27" i="51" l="1"/>
  <c r="T47" i="50"/>
  <c r="CX140" i="5"/>
  <c r="BM66" i="15"/>
  <c r="BN68" i="15" s="1"/>
  <c r="AJ6" i="49"/>
  <c r="AJ16" i="49" s="1"/>
  <c r="AL95" i="49"/>
  <c r="S51" i="50"/>
  <c r="S54" i="50" s="1"/>
  <c r="T14" i="51"/>
  <c r="BO6" i="5"/>
  <c r="BO5" i="5" s="1"/>
  <c r="BO22" i="5" s="1"/>
  <c r="AK120" i="49"/>
  <c r="AK10" i="49"/>
  <c r="AN97" i="49"/>
  <c r="BL24" i="15"/>
  <c r="BL50" i="15" s="1"/>
  <c r="BL65" i="15" s="1"/>
  <c r="AI9" i="49" s="1"/>
  <c r="BL47" i="15"/>
  <c r="BL62" i="15" s="1"/>
  <c r="BP81" i="15"/>
  <c r="BO76" i="15"/>
  <c r="BO80" i="15" s="1"/>
  <c r="AL225" i="49"/>
  <c r="BT28" i="5" s="1"/>
  <c r="BY139" i="5" s="1"/>
  <c r="Q41" i="50"/>
  <c r="S50" i="50"/>
  <c r="S53" i="50" s="1"/>
  <c r="T13" i="51"/>
  <c r="S92" i="50"/>
  <c r="S23" i="51"/>
  <c r="AM12" i="49"/>
  <c r="U93" i="50"/>
  <c r="V93" i="50" s="1"/>
  <c r="P18" i="15"/>
  <c r="BI23" i="15" s="1"/>
  <c r="BI49" i="15" s="1"/>
  <c r="BI64" i="15" s="1"/>
  <c r="AF8" i="49" s="1"/>
  <c r="O9" i="15"/>
  <c r="Q17" i="15"/>
  <c r="BJ22" i="15" s="1"/>
  <c r="BJ48" i="15" s="1"/>
  <c r="BJ63" i="15" s="1"/>
  <c r="AG7" i="49" s="1"/>
  <c r="P8" i="15"/>
  <c r="R16" i="15"/>
  <c r="BK21" i="15" s="1"/>
  <c r="Q7" i="15"/>
  <c r="R42" i="50"/>
  <c r="BY128" i="5"/>
  <c r="BY26" i="5"/>
  <c r="BY129" i="5"/>
  <c r="R41" i="50"/>
  <c r="BY138" i="5"/>
  <c r="BY29" i="5"/>
  <c r="CD138" i="5"/>
  <c r="S27" i="51" l="1"/>
  <c r="S47" i="50"/>
  <c r="BT29" i="5"/>
  <c r="Q16" i="15"/>
  <c r="BJ21" i="15" s="1"/>
  <c r="P7" i="15"/>
  <c r="P17" i="15"/>
  <c r="BI22" i="15" s="1"/>
  <c r="BI48" i="15" s="1"/>
  <c r="BI63" i="15" s="1"/>
  <c r="AF7" i="49" s="1"/>
  <c r="O8" i="15"/>
  <c r="O18" i="15"/>
  <c r="BH23" i="15" s="1"/>
  <c r="BH49" i="15" s="1"/>
  <c r="BH64" i="15" s="1"/>
  <c r="AA8" i="49" s="1"/>
  <c r="N9" i="15"/>
  <c r="Q62" i="50"/>
  <c r="Q14" i="50" s="1"/>
  <c r="Q58" i="50"/>
  <c r="Q9" i="50" s="1"/>
  <c r="Q71" i="50"/>
  <c r="Q60" i="50"/>
  <c r="Q8" i="50" s="1"/>
  <c r="Q56" i="50"/>
  <c r="Q7" i="50" s="1"/>
  <c r="BO81" i="15"/>
  <c r="BL66" i="15"/>
  <c r="AI6" i="49"/>
  <c r="AI16" i="49" s="1"/>
  <c r="AJ17" i="49" s="1"/>
  <c r="AK95" i="49"/>
  <c r="AL97" i="49" s="1"/>
  <c r="P41" i="50"/>
  <c r="AJ10" i="49"/>
  <c r="BJ6" i="5"/>
  <c r="BJ5" i="5" s="1"/>
  <c r="BJ22" i="5" s="1"/>
  <c r="AJ120" i="49"/>
  <c r="CD140" i="5"/>
  <c r="R56" i="50"/>
  <c r="R7" i="50" s="1"/>
  <c r="S13" i="51" s="1"/>
  <c r="R60" i="50"/>
  <c r="R8" i="50" s="1"/>
  <c r="R62" i="50"/>
  <c r="R14" i="50" s="1"/>
  <c r="S16" i="51" s="1"/>
  <c r="R71" i="50"/>
  <c r="R58" i="50"/>
  <c r="R9" i="50" s="1"/>
  <c r="S15" i="51" s="1"/>
  <c r="BK24" i="15"/>
  <c r="BK50" i="15" s="1"/>
  <c r="BK65" i="15" s="1"/>
  <c r="AH9" i="49" s="1"/>
  <c r="BK47" i="15"/>
  <c r="BK62" i="15" s="1"/>
  <c r="W93" i="50"/>
  <c r="T92" i="50"/>
  <c r="U92" i="50" s="1"/>
  <c r="V92" i="50" s="1"/>
  <c r="W92" i="50" s="1"/>
  <c r="BT138" i="5"/>
  <c r="Q42" i="50"/>
  <c r="BT26" i="5"/>
  <c r="BT129" i="5"/>
  <c r="BT128" i="5"/>
  <c r="AM97" i="49"/>
  <c r="BN76" i="15"/>
  <c r="BN80" i="15" s="1"/>
  <c r="AK225" i="49"/>
  <c r="BO28" i="5" s="1"/>
  <c r="BT139" i="5" s="1"/>
  <c r="AK17" i="49"/>
  <c r="AL12" i="49"/>
  <c r="BY140" i="5" l="1"/>
  <c r="BO29" i="5"/>
  <c r="BT140" i="5" s="1"/>
  <c r="BN81" i="15"/>
  <c r="BK66" i="15"/>
  <c r="BL68" i="15" s="1"/>
  <c r="AH6" i="49"/>
  <c r="AH16" i="49" s="1"/>
  <c r="AI17" i="49" s="1"/>
  <c r="O41" i="50"/>
  <c r="BO138" i="5"/>
  <c r="Q51" i="50"/>
  <c r="Q54" i="50" s="1"/>
  <c r="R14" i="51"/>
  <c r="R15" i="51"/>
  <c r="N18" i="15"/>
  <c r="BG23" i="15" s="1"/>
  <c r="BG49" i="15" s="1"/>
  <c r="BG64" i="15" s="1"/>
  <c r="V8" i="49" s="1"/>
  <c r="M9" i="15"/>
  <c r="O17" i="15"/>
  <c r="BH22" i="15" s="1"/>
  <c r="BH48" i="15" s="1"/>
  <c r="BH63" i="15" s="1"/>
  <c r="AA7" i="49" s="1"/>
  <c r="N8" i="15"/>
  <c r="P16" i="15"/>
  <c r="BI21" i="15" s="1"/>
  <c r="O7" i="15"/>
  <c r="BM68" i="15"/>
  <c r="P42" i="50"/>
  <c r="BO128" i="5"/>
  <c r="BO26" i="5"/>
  <c r="BO129" i="5"/>
  <c r="R50" i="50"/>
  <c r="R53" i="50" s="1"/>
  <c r="R91" i="50"/>
  <c r="R23" i="51"/>
  <c r="R51" i="50"/>
  <c r="R54" i="50" s="1"/>
  <c r="S14" i="51"/>
  <c r="BM76" i="15"/>
  <c r="BM80" i="15" s="1"/>
  <c r="AJ225" i="49"/>
  <c r="BJ28" i="5" s="1"/>
  <c r="AJ95" i="49"/>
  <c r="P71" i="50"/>
  <c r="P58" i="50"/>
  <c r="P9" i="50" s="1"/>
  <c r="Q15" i="51" s="1"/>
  <c r="P56" i="50"/>
  <c r="P7" i="50" s="1"/>
  <c r="Q13" i="51" s="1"/>
  <c r="P60" i="50"/>
  <c r="P8" i="50" s="1"/>
  <c r="Q14" i="51" s="1"/>
  <c r="P62" i="50"/>
  <c r="P14" i="50" s="1"/>
  <c r="Q16" i="51" s="1"/>
  <c r="AK12" i="49"/>
  <c r="AI10" i="49"/>
  <c r="AI120" i="49"/>
  <c r="BE6" i="5"/>
  <c r="BE5" i="5" s="1"/>
  <c r="BE22" i="5" s="1"/>
  <c r="Q50" i="50"/>
  <c r="Q53" i="50" s="1"/>
  <c r="R13" i="51"/>
  <c r="Q23" i="51"/>
  <c r="Q87" i="50"/>
  <c r="Q88" i="50"/>
  <c r="Q89" i="50"/>
  <c r="Q90" i="50"/>
  <c r="R16" i="51"/>
  <c r="BJ24" i="15"/>
  <c r="BJ50" i="15" s="1"/>
  <c r="BJ65" i="15" s="1"/>
  <c r="AG9" i="49" s="1"/>
  <c r="BJ47" i="15"/>
  <c r="BJ62" i="15" s="1"/>
  <c r="Q27" i="51" l="1"/>
  <c r="Q47" i="50"/>
  <c r="R27" i="51"/>
  <c r="R47" i="50"/>
  <c r="BJ66" i="15"/>
  <c r="BK68" i="15" s="1"/>
  <c r="AG6" i="49"/>
  <c r="AG16" i="49" s="1"/>
  <c r="AH17" i="49" s="1"/>
  <c r="N41" i="50"/>
  <c r="AI95" i="49"/>
  <c r="AJ97" i="49" s="1"/>
  <c r="P89" i="50"/>
  <c r="P23" i="51"/>
  <c r="AJ12" i="49"/>
  <c r="BM81" i="15"/>
  <c r="P51" i="50"/>
  <c r="P54" i="50" s="1"/>
  <c r="O16" i="15"/>
  <c r="BH21" i="15" s="1"/>
  <c r="N7" i="15"/>
  <c r="N17" i="15"/>
  <c r="BG22" i="15" s="1"/>
  <c r="BG48" i="15" s="1"/>
  <c r="BG63" i="15" s="1"/>
  <c r="V7" i="49" s="1"/>
  <c r="M8" i="15"/>
  <c r="M18" i="15"/>
  <c r="BF23" i="15" s="1"/>
  <c r="BF49" i="15" s="1"/>
  <c r="BF64" i="15" s="1"/>
  <c r="Q8" i="49" s="1"/>
  <c r="L9" i="15"/>
  <c r="BJ138" i="5"/>
  <c r="R90" i="50"/>
  <c r="S90" i="50" s="1"/>
  <c r="BL76" i="15"/>
  <c r="BL80" i="15" s="1"/>
  <c r="AI225" i="49"/>
  <c r="BE28" i="5" s="1"/>
  <c r="P50" i="50"/>
  <c r="P53" i="50" s="1"/>
  <c r="O42" i="50"/>
  <c r="BJ129" i="5"/>
  <c r="BJ128" i="5"/>
  <c r="BJ26" i="5"/>
  <c r="S91" i="50"/>
  <c r="T91" i="50" s="1"/>
  <c r="BO139" i="5"/>
  <c r="BI24" i="15"/>
  <c r="BI50" i="15" s="1"/>
  <c r="BI65" i="15" s="1"/>
  <c r="AF9" i="49" s="1"/>
  <c r="BI47" i="15"/>
  <c r="BI62" i="15" s="1"/>
  <c r="AK97" i="49"/>
  <c r="BJ29" i="5"/>
  <c r="O71" i="50"/>
  <c r="O60" i="50"/>
  <c r="O8" i="50" s="1"/>
  <c r="O56" i="50"/>
  <c r="O7" i="50" s="1"/>
  <c r="O62" i="50"/>
  <c r="O14" i="50" s="1"/>
  <c r="P16" i="51" s="1"/>
  <c r="O58" i="50"/>
  <c r="O9" i="50" s="1"/>
  <c r="P15" i="51" s="1"/>
  <c r="AH10" i="49"/>
  <c r="AI12" i="49" s="1"/>
  <c r="AZ6" i="5"/>
  <c r="AZ5" i="5" s="1"/>
  <c r="AZ22" i="5" s="1"/>
  <c r="AH120" i="49"/>
  <c r="P27" i="51" l="1"/>
  <c r="P47" i="50"/>
  <c r="U91" i="50"/>
  <c r="V91" i="50" s="1"/>
  <c r="W91" i="50" s="1"/>
  <c r="M41" i="50"/>
  <c r="O51" i="50"/>
  <c r="O54" i="50" s="1"/>
  <c r="P14" i="51"/>
  <c r="BO140" i="5"/>
  <c r="BI66" i="15"/>
  <c r="AF6" i="49"/>
  <c r="AF16" i="49" s="1"/>
  <c r="N42" i="50"/>
  <c r="BE129" i="5"/>
  <c r="BE128" i="5"/>
  <c r="BE26" i="5"/>
  <c r="BH24" i="15"/>
  <c r="BH50" i="15" s="1"/>
  <c r="BH65" i="15" s="1"/>
  <c r="AA9" i="49" s="1"/>
  <c r="BH47" i="15"/>
  <c r="BH62" i="15" s="1"/>
  <c r="R89" i="50"/>
  <c r="S89" i="50" s="1"/>
  <c r="BE138" i="5"/>
  <c r="AU6" i="5"/>
  <c r="AU5" i="5" s="1"/>
  <c r="AU22" i="5" s="1"/>
  <c r="AZ138" i="5" s="1"/>
  <c r="AG10" i="49"/>
  <c r="AG120" i="49"/>
  <c r="BK76" i="15"/>
  <c r="BK80" i="15" s="1"/>
  <c r="AH225" i="49"/>
  <c r="AZ28" i="5" s="1"/>
  <c r="AH95" i="49"/>
  <c r="AI97" i="49" s="1"/>
  <c r="O50" i="50"/>
  <c r="O53" i="50" s="1"/>
  <c r="P13" i="51"/>
  <c r="O88" i="50"/>
  <c r="O23" i="51"/>
  <c r="BJ139" i="5"/>
  <c r="BL81" i="15"/>
  <c r="T90" i="50"/>
  <c r="L18" i="15"/>
  <c r="BE23" i="15" s="1"/>
  <c r="BE49" i="15" s="1"/>
  <c r="BE64" i="15" s="1"/>
  <c r="L8" i="49" s="1"/>
  <c r="K9" i="15"/>
  <c r="M17" i="15"/>
  <c r="BF22" i="15" s="1"/>
  <c r="BF48" i="15" s="1"/>
  <c r="BF63" i="15" s="1"/>
  <c r="Q7" i="49" s="1"/>
  <c r="L8" i="15"/>
  <c r="N16" i="15"/>
  <c r="BG21" i="15" s="1"/>
  <c r="M7" i="15"/>
  <c r="BE29" i="5"/>
  <c r="BJ140" i="5" s="1"/>
  <c r="N56" i="50"/>
  <c r="N7" i="50" s="1"/>
  <c r="O13" i="51" s="1"/>
  <c r="N60" i="50"/>
  <c r="N8" i="50" s="1"/>
  <c r="O14" i="51" s="1"/>
  <c r="N62" i="50"/>
  <c r="N14" i="50" s="1"/>
  <c r="O16" i="51" s="1"/>
  <c r="N71" i="50"/>
  <c r="N58" i="50"/>
  <c r="N9" i="50" s="1"/>
  <c r="O15" i="51" s="1"/>
  <c r="O27" i="51" l="1"/>
  <c r="O47" i="50"/>
  <c r="AG17" i="49"/>
  <c r="N50" i="50"/>
  <c r="N53" i="50" s="1"/>
  <c r="T89" i="50"/>
  <c r="U89" i="50" s="1"/>
  <c r="V89" i="50" s="1"/>
  <c r="N87" i="50"/>
  <c r="N23" i="51"/>
  <c r="M16" i="15"/>
  <c r="BF21" i="15" s="1"/>
  <c r="L7" i="15"/>
  <c r="L17" i="15"/>
  <c r="BE22" i="15" s="1"/>
  <c r="BE48" i="15" s="1"/>
  <c r="BE63" i="15" s="1"/>
  <c r="L7" i="49" s="1"/>
  <c r="K8" i="15"/>
  <c r="K18" i="15"/>
  <c r="BD23" i="15" s="1"/>
  <c r="J9" i="15"/>
  <c r="M42" i="50"/>
  <c r="AZ26" i="5"/>
  <c r="AZ129" i="5"/>
  <c r="AZ128" i="5"/>
  <c r="AG95" i="49"/>
  <c r="BE139" i="5"/>
  <c r="BJ68" i="15"/>
  <c r="BG24" i="15"/>
  <c r="BG50" i="15" s="1"/>
  <c r="BG65" i="15" s="1"/>
  <c r="V9" i="49" s="1"/>
  <c r="BG47" i="15"/>
  <c r="BG62" i="15" s="1"/>
  <c r="U90" i="50"/>
  <c r="V90" i="50" s="1"/>
  <c r="W90" i="50" s="1"/>
  <c r="P88" i="50"/>
  <c r="R88" i="50" s="1"/>
  <c r="AH12" i="49"/>
  <c r="BK81" i="15"/>
  <c r="BJ76" i="15"/>
  <c r="BJ80" i="15" s="1"/>
  <c r="AG225" i="49"/>
  <c r="AU28" i="5" s="1"/>
  <c r="L41" i="50"/>
  <c r="BH66" i="15"/>
  <c r="BI68" i="15" s="1"/>
  <c r="AA6" i="49"/>
  <c r="AA16" i="49" s="1"/>
  <c r="AF17" i="49" s="1"/>
  <c r="N51" i="50"/>
  <c r="N54" i="50" s="1"/>
  <c r="AF10" i="49"/>
  <c r="AP6" i="5"/>
  <c r="AP5" i="5" s="1"/>
  <c r="AP22" i="5" s="1"/>
  <c r="AU138" i="5" s="1"/>
  <c r="AF120" i="49"/>
  <c r="AZ29" i="5"/>
  <c r="BE140" i="5" s="1"/>
  <c r="M62" i="50"/>
  <c r="M14" i="50" s="1"/>
  <c r="N16" i="51" s="1"/>
  <c r="M58" i="50"/>
  <c r="M9" i="50" s="1"/>
  <c r="N15" i="51" s="1"/>
  <c r="M71" i="50"/>
  <c r="M60" i="50"/>
  <c r="M8" i="50" s="1"/>
  <c r="M56" i="50"/>
  <c r="M7" i="50" s="1"/>
  <c r="N27" i="51" l="1"/>
  <c r="N47" i="50"/>
  <c r="AC16" i="49"/>
  <c r="AC10" i="49" s="1"/>
  <c r="AB16" i="49"/>
  <c r="AD16" i="49"/>
  <c r="W89" i="50"/>
  <c r="M50" i="50"/>
  <c r="M53" i="50" s="1"/>
  <c r="N13" i="51"/>
  <c r="M86" i="50"/>
  <c r="M23" i="51"/>
  <c r="AF95" i="49"/>
  <c r="AA10" i="49"/>
  <c r="L42" i="50"/>
  <c r="AU129" i="5"/>
  <c r="AU128" i="5"/>
  <c r="AU26" i="5"/>
  <c r="AG12" i="49"/>
  <c r="AZ139" i="5"/>
  <c r="BF24" i="15"/>
  <c r="BF50" i="15" s="1"/>
  <c r="BF65" i="15" s="1"/>
  <c r="Q9" i="49" s="1"/>
  <c r="BF47" i="15"/>
  <c r="BF62" i="15" s="1"/>
  <c r="O87" i="50"/>
  <c r="P87" i="50" s="1"/>
  <c r="M51" i="50"/>
  <c r="M54" i="50" s="1"/>
  <c r="N14" i="51"/>
  <c r="BI76" i="15"/>
  <c r="BI80" i="15" s="1"/>
  <c r="AF225" i="49"/>
  <c r="AP28" i="5" s="1"/>
  <c r="K41" i="50"/>
  <c r="AU29" i="5"/>
  <c r="L71" i="50"/>
  <c r="L58" i="50"/>
  <c r="L9" i="50" s="1"/>
  <c r="M15" i="51" s="1"/>
  <c r="L56" i="50"/>
  <c r="L7" i="50" s="1"/>
  <c r="M13" i="51" s="1"/>
  <c r="L60" i="50"/>
  <c r="L8" i="50" s="1"/>
  <c r="M14" i="51" s="1"/>
  <c r="L62" i="50"/>
  <c r="L14" i="50" s="1"/>
  <c r="M16" i="51" s="1"/>
  <c r="BJ81" i="15"/>
  <c r="S88" i="50"/>
  <c r="T88" i="50" s="1"/>
  <c r="BG66" i="15"/>
  <c r="V6" i="49"/>
  <c r="V16" i="49" s="1"/>
  <c r="AH97" i="49"/>
  <c r="J18" i="15"/>
  <c r="BC23" i="15" s="1"/>
  <c r="I9" i="15"/>
  <c r="K17" i="15"/>
  <c r="BD22" i="15" s="1"/>
  <c r="J8" i="15"/>
  <c r="L16" i="15"/>
  <c r="BE21" i="15" s="1"/>
  <c r="K7" i="15"/>
  <c r="M27" i="51" l="1"/>
  <c r="M47" i="50"/>
  <c r="AM6" i="5"/>
  <c r="AM5" i="5" s="1"/>
  <c r="AM22" i="5" s="1"/>
  <c r="AR138" i="5" s="1"/>
  <c r="AC120" i="49"/>
  <c r="AC225" i="49" s="1"/>
  <c r="AM28" i="5" s="1"/>
  <c r="AC17" i="49"/>
  <c r="AN6" i="5"/>
  <c r="AN5" i="5" s="1"/>
  <c r="AN22" i="5" s="1"/>
  <c r="AD17" i="49"/>
  <c r="AD10" i="49"/>
  <c r="AD95" i="49" s="1"/>
  <c r="AD120" i="49"/>
  <c r="AD225" i="49" s="1"/>
  <c r="AN28" i="5" s="1"/>
  <c r="AC12" i="49"/>
  <c r="AC95" i="49"/>
  <c r="AB17" i="49"/>
  <c r="AB120" i="49"/>
  <c r="AB225" i="49" s="1"/>
  <c r="AL28" i="5" s="1"/>
  <c r="AL6" i="5"/>
  <c r="AL5" i="5" s="1"/>
  <c r="AL22" i="5" s="1"/>
  <c r="AB10" i="49"/>
  <c r="L50" i="50"/>
  <c r="L53" i="50" s="1"/>
  <c r="R87" i="50"/>
  <c r="S87" i="50" s="1"/>
  <c r="K16" i="15"/>
  <c r="BD21" i="15" s="1"/>
  <c r="BD24" i="15" s="1"/>
  <c r="J7" i="15"/>
  <c r="J17" i="15"/>
  <c r="BC22" i="15" s="1"/>
  <c r="I8" i="15"/>
  <c r="I18" i="15"/>
  <c r="BB23" i="15" s="1"/>
  <c r="H9" i="15"/>
  <c r="V125" i="49"/>
  <c r="U16" i="49"/>
  <c r="V17" i="49"/>
  <c r="V123" i="49"/>
  <c r="V10" i="49"/>
  <c r="AA12" i="49" s="1"/>
  <c r="V95" i="49"/>
  <c r="K42" i="50"/>
  <c r="AP129" i="5"/>
  <c r="AP26" i="5"/>
  <c r="AP128" i="5"/>
  <c r="AZ140" i="5"/>
  <c r="BF66" i="15"/>
  <c r="BG68" i="15" s="1"/>
  <c r="Q6" i="49"/>
  <c r="AU139" i="5"/>
  <c r="X120" i="49"/>
  <c r="X225" i="49" s="1"/>
  <c r="X17" i="49"/>
  <c r="AA17" i="49"/>
  <c r="N86" i="50"/>
  <c r="O86" i="50" s="1"/>
  <c r="BE24" i="15"/>
  <c r="BE50" i="15" s="1"/>
  <c r="BE65" i="15" s="1"/>
  <c r="L9" i="49" s="1"/>
  <c r="BE47" i="15"/>
  <c r="BE62" i="15" s="1"/>
  <c r="AG97" i="49"/>
  <c r="U88" i="50"/>
  <c r="V88" i="50" s="1"/>
  <c r="W88" i="50" s="1"/>
  <c r="L85" i="50"/>
  <c r="L23" i="51"/>
  <c r="BH68" i="15"/>
  <c r="AP29" i="5"/>
  <c r="AU140" i="5" s="1"/>
  <c r="K71" i="50"/>
  <c r="K60" i="50"/>
  <c r="K8" i="50" s="1"/>
  <c r="K56" i="50"/>
  <c r="K7" i="50" s="1"/>
  <c r="K62" i="50"/>
  <c r="K14" i="50" s="1"/>
  <c r="L16" i="51" s="1"/>
  <c r="K58" i="50"/>
  <c r="K9" i="50" s="1"/>
  <c r="L15" i="51" s="1"/>
  <c r="BI81" i="15"/>
  <c r="L51" i="50"/>
  <c r="L54" i="50" s="1"/>
  <c r="Z16" i="49"/>
  <c r="AE16" i="49" s="1"/>
  <c r="AA95" i="49"/>
  <c r="Y120" i="49"/>
  <c r="Y225" i="49" s="1"/>
  <c r="AI5" i="5"/>
  <c r="AI22" i="5" s="1"/>
  <c r="Y17" i="49"/>
  <c r="Y10" i="49"/>
  <c r="AF12" i="49"/>
  <c r="L27" i="51" l="1"/>
  <c r="L47" i="50"/>
  <c r="AD12" i="49"/>
  <c r="AM128" i="5"/>
  <c r="AM26" i="5"/>
  <c r="AR139" i="5"/>
  <c r="AM29" i="5"/>
  <c r="AR140" i="5" s="1"/>
  <c r="AM129" i="5"/>
  <c r="AB12" i="49"/>
  <c r="AB95" i="49"/>
  <c r="AL138" i="5"/>
  <c r="AQ138" i="5"/>
  <c r="AL29" i="5"/>
  <c r="AS138" i="5"/>
  <c r="AN29" i="5"/>
  <c r="AS140" i="5" s="1"/>
  <c r="AL129" i="5"/>
  <c r="AL128" i="5"/>
  <c r="AL26" i="5"/>
  <c r="AQ139" i="5"/>
  <c r="AL139" i="5"/>
  <c r="AS139" i="5"/>
  <c r="AN26" i="5"/>
  <c r="AN129" i="5"/>
  <c r="AN128" i="5"/>
  <c r="AE10" i="49"/>
  <c r="AE120" i="49"/>
  <c r="AE225" i="49" s="1"/>
  <c r="AO28" i="5" s="1"/>
  <c r="AO6" i="5"/>
  <c r="AO5" i="5" s="1"/>
  <c r="AO22" i="5" s="1"/>
  <c r="AE17" i="49"/>
  <c r="AA97" i="49"/>
  <c r="T87" i="50"/>
  <c r="P86" i="50"/>
  <c r="Q86" i="50" s="1"/>
  <c r="AI139" i="5"/>
  <c r="AN139" i="5"/>
  <c r="AI128" i="5"/>
  <c r="K50" i="50"/>
  <c r="K53" i="50" s="1"/>
  <c r="L13" i="51"/>
  <c r="K84" i="50"/>
  <c r="K23" i="51"/>
  <c r="BE66" i="15"/>
  <c r="L6" i="49"/>
  <c r="L10" i="49" s="1"/>
  <c r="X12" i="49"/>
  <c r="X95" i="49"/>
  <c r="X97" i="49" s="1"/>
  <c r="U10" i="49"/>
  <c r="U12" i="49" s="1"/>
  <c r="V12" i="49"/>
  <c r="H18" i="15"/>
  <c r="BA23" i="15" s="1"/>
  <c r="G9" i="15"/>
  <c r="I17" i="15"/>
  <c r="BB22" i="15" s="1"/>
  <c r="H8" i="15"/>
  <c r="J16" i="15"/>
  <c r="BC21" i="15" s="1"/>
  <c r="BC24" i="15" s="1"/>
  <c r="I7" i="15"/>
  <c r="Y12" i="49"/>
  <c r="Y95" i="49"/>
  <c r="Y97" i="49" s="1"/>
  <c r="AI129" i="5"/>
  <c r="AN138" i="5"/>
  <c r="AI138" i="5"/>
  <c r="AI29" i="5"/>
  <c r="Z10" i="49"/>
  <c r="Z17" i="49"/>
  <c r="Z120" i="49"/>
  <c r="AJ5" i="5"/>
  <c r="K51" i="50"/>
  <c r="K54" i="50" s="1"/>
  <c r="L14" i="51"/>
  <c r="M85" i="50"/>
  <c r="N85" i="50" s="1"/>
  <c r="AF97" i="49"/>
  <c r="AH22" i="5"/>
  <c r="BF80" i="15"/>
  <c r="Q11" i="49"/>
  <c r="V157" i="49"/>
  <c r="V161" i="49"/>
  <c r="V163" i="49"/>
  <c r="V97" i="49"/>
  <c r="U123" i="49"/>
  <c r="U17" i="49"/>
  <c r="U120" i="49"/>
  <c r="U125" i="49"/>
  <c r="U95" i="49"/>
  <c r="U97" i="49" s="1"/>
  <c r="K27" i="51" l="1"/>
  <c r="K47" i="50"/>
  <c r="AQ140" i="5"/>
  <c r="AL140" i="5"/>
  <c r="AO29" i="5"/>
  <c r="AT140" i="5" s="1"/>
  <c r="AT138" i="5"/>
  <c r="AT139" i="5"/>
  <c r="AO129" i="5"/>
  <c r="AO128" i="5"/>
  <c r="AO26" i="5"/>
  <c r="AE12" i="49"/>
  <c r="AE95" i="49"/>
  <c r="AJ22" i="5"/>
  <c r="AJ138" i="5" s="1"/>
  <c r="AK6" i="5"/>
  <c r="AK5" i="5" s="1"/>
  <c r="AK22" i="5" s="1"/>
  <c r="AK138" i="5" s="1"/>
  <c r="U87" i="50"/>
  <c r="V87" i="50" s="1"/>
  <c r="W87" i="50" s="1"/>
  <c r="O85" i="50"/>
  <c r="P85" i="50" s="1"/>
  <c r="V120" i="49"/>
  <c r="U225" i="49"/>
  <c r="BF84" i="15"/>
  <c r="BF86" i="15" s="1"/>
  <c r="BF81" i="15"/>
  <c r="AH138" i="5"/>
  <c r="AM138" i="5"/>
  <c r="AA120" i="49"/>
  <c r="Z225" i="49"/>
  <c r="Z12" i="49"/>
  <c r="Z95" i="49"/>
  <c r="Z97" i="49" s="1"/>
  <c r="AI140" i="5"/>
  <c r="AN140" i="5"/>
  <c r="BE76" i="15"/>
  <c r="BE80" i="15" s="1"/>
  <c r="L11" i="49"/>
  <c r="R86" i="50"/>
  <c r="BF68" i="15"/>
  <c r="I16" i="15"/>
  <c r="BB21" i="15" s="1"/>
  <c r="BB24" i="15" s="1"/>
  <c r="H7" i="15"/>
  <c r="H17" i="15"/>
  <c r="BA22" i="15" s="1"/>
  <c r="G8" i="15"/>
  <c r="G18" i="15"/>
  <c r="AZ23" i="15" s="1"/>
  <c r="F9" i="15"/>
  <c r="L16" i="49"/>
  <c r="BE67" i="15"/>
  <c r="Q12" i="49"/>
  <c r="L84" i="50"/>
  <c r="M84" i="50" s="1"/>
  <c r="N84" i="50" s="1"/>
  <c r="AJ29" i="5" l="1"/>
  <c r="AJ140" i="5" s="1"/>
  <c r="AO138" i="5"/>
  <c r="AP138" i="5"/>
  <c r="J41" i="50"/>
  <c r="Q85" i="50"/>
  <c r="R85" i="50" s="1"/>
  <c r="S86" i="50"/>
  <c r="T86" i="50" s="1"/>
  <c r="Q17" i="49"/>
  <c r="L120" i="49"/>
  <c r="L225" i="49" s="1"/>
  <c r="L227" i="49" s="1"/>
  <c r="L95" i="49"/>
  <c r="Q97" i="49" s="1"/>
  <c r="BE81" i="15"/>
  <c r="BE84" i="15"/>
  <c r="BE86" i="15" s="1"/>
  <c r="AA121" i="49"/>
  <c r="BH76" i="15"/>
  <c r="BH80" i="15" s="1"/>
  <c r="AA225" i="49"/>
  <c r="V121" i="49"/>
  <c r="BG76" i="15"/>
  <c r="BG80" i="15" s="1"/>
  <c r="V225" i="49"/>
  <c r="O84" i="50"/>
  <c r="F18" i="15"/>
  <c r="AY23" i="15" s="1"/>
  <c r="E9" i="15"/>
  <c r="G17" i="15"/>
  <c r="AZ22" i="15" s="1"/>
  <c r="F8" i="15"/>
  <c r="H16" i="15"/>
  <c r="BA21" i="15" s="1"/>
  <c r="BA24" i="15" s="1"/>
  <c r="G7" i="15"/>
  <c r="AJ128" i="5"/>
  <c r="AJ129" i="5"/>
  <c r="AJ139" i="5"/>
  <c r="AO139" i="5"/>
  <c r="L14" i="52"/>
  <c r="M14" i="52" s="1"/>
  <c r="N14" i="52" s="1"/>
  <c r="O14" i="52" s="1"/>
  <c r="P14" i="52" s="1"/>
  <c r="Q14" i="52" s="1"/>
  <c r="R14" i="52" s="1"/>
  <c r="S14" i="52" s="1"/>
  <c r="T14" i="52" s="1"/>
  <c r="U14" i="52" s="1"/>
  <c r="K14" i="52"/>
  <c r="J72" i="50" l="1"/>
  <c r="J63" i="50"/>
  <c r="J59" i="50"/>
  <c r="J61" i="50"/>
  <c r="J57" i="50"/>
  <c r="AO140" i="5"/>
  <c r="J50" i="50"/>
  <c r="J53" i="50" s="1"/>
  <c r="K15" i="51"/>
  <c r="U86" i="50"/>
  <c r="V86" i="50" s="1"/>
  <c r="W86" i="50" s="1"/>
  <c r="J83" i="50"/>
  <c r="J27" i="51"/>
  <c r="J82" i="50"/>
  <c r="J81" i="50"/>
  <c r="J80" i="50"/>
  <c r="S85" i="50"/>
  <c r="T85" i="50" s="1"/>
  <c r="U85" i="50" s="1"/>
  <c r="BG81" i="15"/>
  <c r="BG84" i="15"/>
  <c r="BG86" i="15" s="1"/>
  <c r="BH81" i="15"/>
  <c r="G16" i="15"/>
  <c r="AZ21" i="15" s="1"/>
  <c r="AZ24" i="15" s="1"/>
  <c r="F7" i="15"/>
  <c r="F17" i="15"/>
  <c r="AY22" i="15" s="1"/>
  <c r="E8" i="15"/>
  <c r="E18" i="15"/>
  <c r="AX23" i="15" s="1"/>
  <c r="D9" i="15"/>
  <c r="P84" i="50"/>
  <c r="J14" i="52"/>
  <c r="K13" i="51" l="1"/>
  <c r="K14" i="51"/>
  <c r="K16" i="51"/>
  <c r="V85" i="50"/>
  <c r="W85" i="50" s="1"/>
  <c r="Q84" i="50"/>
  <c r="R84" i="50" s="1"/>
  <c r="J97" i="50"/>
  <c r="K80" i="50"/>
  <c r="L80" i="50" s="1"/>
  <c r="K82" i="50"/>
  <c r="L82" i="50" s="1"/>
  <c r="K83" i="50"/>
  <c r="D18" i="15"/>
  <c r="AW23" i="15" s="1"/>
  <c r="C9" i="15"/>
  <c r="C18" i="15" s="1"/>
  <c r="AV23" i="15" s="1"/>
  <c r="E17" i="15"/>
  <c r="AX22" i="15" s="1"/>
  <c r="D8" i="15"/>
  <c r="F16" i="15"/>
  <c r="AY21" i="15" s="1"/>
  <c r="AY24" i="15" s="1"/>
  <c r="E7" i="15"/>
  <c r="K81" i="50"/>
  <c r="I14" i="52"/>
  <c r="E16" i="15" l="1"/>
  <c r="AX21" i="15" s="1"/>
  <c r="AX24" i="15" s="1"/>
  <c r="D7" i="15"/>
  <c r="D17" i="15"/>
  <c r="AW22" i="15" s="1"/>
  <c r="C8" i="15"/>
  <c r="C17" i="15" s="1"/>
  <c r="S84" i="50"/>
  <c r="T84" i="50" s="1"/>
  <c r="U84" i="50" s="1"/>
  <c r="V84" i="50" s="1"/>
  <c r="W84" i="50" s="1"/>
  <c r="L81" i="50"/>
  <c r="M81" i="50" s="1"/>
  <c r="L83" i="50"/>
  <c r="M82" i="50"/>
  <c r="K97" i="50"/>
  <c r="K73" i="50" s="1"/>
  <c r="K8" i="51" s="1"/>
  <c r="M80" i="50"/>
  <c r="H14" i="52"/>
  <c r="N82" i="50" l="1"/>
  <c r="O82" i="50" s="1"/>
  <c r="N80" i="50"/>
  <c r="L97" i="50"/>
  <c r="L73" i="50" s="1"/>
  <c r="L8" i="51" s="1"/>
  <c r="AV22" i="15"/>
  <c r="D16" i="15"/>
  <c r="AW21" i="15" s="1"/>
  <c r="AW24" i="15" s="1"/>
  <c r="C7" i="15"/>
  <c r="C16" i="15" s="1"/>
  <c r="N81" i="50"/>
  <c r="O81" i="50" s="1"/>
  <c r="P81" i="50" s="1"/>
  <c r="Q81" i="50" s="1"/>
  <c r="R81" i="50" s="1"/>
  <c r="S81" i="50" s="1"/>
  <c r="T81" i="50" s="1"/>
  <c r="U81" i="50" s="1"/>
  <c r="V81" i="50" s="1"/>
  <c r="W81" i="50" s="1"/>
  <c r="M83" i="50"/>
  <c r="N83" i="50" s="1"/>
  <c r="G14" i="52"/>
  <c r="P82" i="50" l="1"/>
  <c r="Q82" i="50" s="1"/>
  <c r="O83" i="50"/>
  <c r="P83" i="50" s="1"/>
  <c r="Q83" i="50" s="1"/>
  <c r="N97" i="50"/>
  <c r="N73" i="50" s="1"/>
  <c r="N8" i="51" s="1"/>
  <c r="O80" i="50"/>
  <c r="AV21" i="15"/>
  <c r="AV24" i="15" s="1"/>
  <c r="M97" i="50"/>
  <c r="M73" i="50" s="1"/>
  <c r="M8" i="51" s="1"/>
  <c r="F14" i="52"/>
  <c r="R83" i="50" l="1"/>
  <c r="S83" i="50" s="1"/>
  <c r="T83" i="50" s="1"/>
  <c r="R82" i="50"/>
  <c r="S82" i="50" s="1"/>
  <c r="T82" i="50" s="1"/>
  <c r="U82" i="50" s="1"/>
  <c r="V82" i="50" s="1"/>
  <c r="W82" i="50" s="1"/>
  <c r="P80" i="50"/>
  <c r="O97" i="50"/>
  <c r="O73" i="50" s="1"/>
  <c r="O8" i="51" s="1"/>
  <c r="E14" i="52"/>
  <c r="U83" i="50" l="1"/>
  <c r="Q80" i="50"/>
  <c r="P97" i="50"/>
  <c r="P73" i="50" s="1"/>
  <c r="P8" i="51" s="1"/>
  <c r="V83" i="50" l="1"/>
  <c r="W83" i="50" s="1"/>
  <c r="R80" i="50"/>
  <c r="Q97" i="50"/>
  <c r="Q73" i="50" s="1"/>
  <c r="J47" i="50"/>
  <c r="R97" i="50" l="1"/>
  <c r="R73" i="50" s="1"/>
  <c r="S80" i="50"/>
  <c r="Q8" i="51"/>
  <c r="D14" i="52"/>
  <c r="T80" i="50" l="1"/>
  <c r="S97" i="50"/>
  <c r="S73" i="50" s="1"/>
  <c r="S8" i="51" s="1"/>
  <c r="R8" i="51"/>
  <c r="AP113" i="5"/>
  <c r="U80" i="50" l="1"/>
  <c r="T97" i="50"/>
  <c r="T73" i="50" s="1"/>
  <c r="T8" i="51" s="1"/>
  <c r="D12" i="52"/>
  <c r="AI93" i="5"/>
  <c r="AH93" i="5"/>
  <c r="AJ92" i="5"/>
  <c r="AH92" i="5"/>
  <c r="AI92" i="5"/>
  <c r="AK92" i="5"/>
  <c r="E12" i="52"/>
  <c r="AU113" i="5"/>
  <c r="U97" i="50" l="1"/>
  <c r="U73" i="50" s="1"/>
  <c r="U8" i="51" s="1"/>
  <c r="V80" i="50"/>
  <c r="K13" i="50"/>
  <c r="L13" i="50" s="1"/>
  <c r="AI50" i="5"/>
  <c r="AI52" i="5" s="1"/>
  <c r="AI53" i="5" s="1"/>
  <c r="AH52" i="5"/>
  <c r="AH53" i="5" s="1"/>
  <c r="F12" i="52"/>
  <c r="AI142" i="5" l="1"/>
  <c r="AI132" i="5"/>
  <c r="AH142" i="5"/>
  <c r="AH132" i="5"/>
  <c r="W80" i="50"/>
  <c r="W97" i="50" s="1"/>
  <c r="W73" i="50" s="1"/>
  <c r="W8" i="51" s="1"/>
  <c r="V97" i="50"/>
  <c r="V73" i="50" s="1"/>
  <c r="V8" i="51" s="1"/>
  <c r="H12" i="52"/>
  <c r="BE113" i="5"/>
  <c r="AH65" i="5"/>
  <c r="AH66" i="5" s="1"/>
  <c r="AI63" i="5"/>
  <c r="AI65" i="5" s="1"/>
  <c r="AI66" i="5" s="1"/>
  <c r="AI69" i="5" s="1"/>
  <c r="G12" i="52"/>
  <c r="AZ113" i="5"/>
  <c r="AJ52" i="5"/>
  <c r="AJ53" i="5" s="1"/>
  <c r="AK53" i="5" s="1"/>
  <c r="AK50" i="5"/>
  <c r="BJ113" i="5"/>
  <c r="AP53" i="5" l="1"/>
  <c r="AK142" i="5"/>
  <c r="AK132" i="5"/>
  <c r="AI143" i="5"/>
  <c r="AI74" i="5"/>
  <c r="AI133" i="5"/>
  <c r="AI141" i="5"/>
  <c r="AI131" i="5"/>
  <c r="AH141" i="5"/>
  <c r="AH131" i="5"/>
  <c r="AJ142" i="5"/>
  <c r="AJ132" i="5"/>
  <c r="M13" i="50"/>
  <c r="N13" i="50" s="1"/>
  <c r="O13" i="50" s="1"/>
  <c r="AK48" i="5"/>
  <c r="AK52" i="5"/>
  <c r="AK63" i="5"/>
  <c r="AJ65" i="5"/>
  <c r="AJ66" i="5" s="1"/>
  <c r="AK66" i="5" s="1"/>
  <c r="BO113" i="5"/>
  <c r="I12" i="52"/>
  <c r="AP66" i="5" l="1"/>
  <c r="K43" i="50" s="1"/>
  <c r="AK141" i="5"/>
  <c r="AK131" i="5"/>
  <c r="AO53" i="5"/>
  <c r="AP142" i="5"/>
  <c r="AU53" i="5"/>
  <c r="AZ53" i="5" s="1"/>
  <c r="BE53" i="5" s="1"/>
  <c r="AP132" i="5"/>
  <c r="AP69" i="5"/>
  <c r="AJ69" i="5"/>
  <c r="AJ143" i="5" s="1"/>
  <c r="AI144" i="5"/>
  <c r="AI134" i="5"/>
  <c r="AJ141" i="5"/>
  <c r="AJ131" i="5"/>
  <c r="AJ74" i="5"/>
  <c r="P13" i="50"/>
  <c r="AK65" i="5"/>
  <c r="AK61" i="5"/>
  <c r="J12" i="52"/>
  <c r="BT113" i="5"/>
  <c r="AJ133" i="5" l="1"/>
  <c r="K64" i="50"/>
  <c r="K18" i="50" s="1"/>
  <c r="K66" i="50"/>
  <c r="K23" i="50" s="1"/>
  <c r="E6" i="52"/>
  <c r="AP74" i="5"/>
  <c r="AP133" i="5"/>
  <c r="AO66" i="5"/>
  <c r="AU66" i="5"/>
  <c r="AP141" i="5"/>
  <c r="AP131" i="5"/>
  <c r="AU142" i="5"/>
  <c r="AU132" i="5"/>
  <c r="AU69" i="5"/>
  <c r="AU143" i="5" s="1"/>
  <c r="AJ134" i="5"/>
  <c r="AJ144" i="5"/>
  <c r="Q13" i="50"/>
  <c r="BY113" i="5"/>
  <c r="K12" i="52"/>
  <c r="AZ142" i="5" l="1"/>
  <c r="AZ132" i="5"/>
  <c r="M43" i="50"/>
  <c r="AZ69" i="5"/>
  <c r="AZ66" i="5"/>
  <c r="AU141" i="5"/>
  <c r="AU131" i="5"/>
  <c r="AP231" i="5"/>
  <c r="AP134" i="5"/>
  <c r="K52" i="50"/>
  <c r="K55" i="50" s="1"/>
  <c r="K20" i="50"/>
  <c r="K24" i="50" s="1"/>
  <c r="AU133" i="5"/>
  <c r="F6" i="52"/>
  <c r="AU74" i="5"/>
  <c r="L43" i="50"/>
  <c r="L12" i="52"/>
  <c r="CD113" i="5"/>
  <c r="M66" i="50" l="1"/>
  <c r="M23" i="50" s="1"/>
  <c r="M64" i="50"/>
  <c r="M18" i="50" s="1"/>
  <c r="AU134" i="5"/>
  <c r="AU231" i="5"/>
  <c r="G6" i="52"/>
  <c r="G7" i="52" s="1"/>
  <c r="AZ133" i="5"/>
  <c r="AZ74" i="5"/>
  <c r="AU144" i="5"/>
  <c r="L66" i="50"/>
  <c r="L23" i="50" s="1"/>
  <c r="L64" i="50"/>
  <c r="L18" i="50" s="1"/>
  <c r="AZ143" i="5"/>
  <c r="AZ141" i="5"/>
  <c r="BE66" i="5"/>
  <c r="AZ131" i="5"/>
  <c r="BE142" i="5"/>
  <c r="BJ53" i="5"/>
  <c r="BE132" i="5"/>
  <c r="N43" i="50"/>
  <c r="BE69" i="5"/>
  <c r="R13" i="50"/>
  <c r="S13" i="50" s="1"/>
  <c r="M12" i="52"/>
  <c r="CI113" i="5"/>
  <c r="BE133" i="5" l="1"/>
  <c r="BE74" i="5"/>
  <c r="BE144" i="5" s="1"/>
  <c r="H6" i="52"/>
  <c r="H7" i="52" s="1"/>
  <c r="N66" i="50"/>
  <c r="N23" i="50" s="1"/>
  <c r="N64" i="50"/>
  <c r="N18" i="50" s="1"/>
  <c r="M17" i="51"/>
  <c r="L52" i="50"/>
  <c r="L55" i="50" s="1"/>
  <c r="L20" i="50"/>
  <c r="L24" i="50" s="1"/>
  <c r="L17" i="51"/>
  <c r="F13" i="52"/>
  <c r="BE141" i="5"/>
  <c r="BJ66" i="5"/>
  <c r="BJ69" i="5" s="1"/>
  <c r="BE131" i="5"/>
  <c r="M18" i="51"/>
  <c r="L18" i="51"/>
  <c r="M52" i="50"/>
  <c r="M55" i="50" s="1"/>
  <c r="M20" i="50"/>
  <c r="M24" i="50" s="1"/>
  <c r="G13" i="52"/>
  <c r="AZ134" i="5"/>
  <c r="AZ231" i="5"/>
  <c r="AZ144" i="5"/>
  <c r="BJ142" i="5"/>
  <c r="BO53" i="5"/>
  <c r="BJ132" i="5"/>
  <c r="BE143" i="5"/>
  <c r="T13" i="50"/>
  <c r="N12" i="52"/>
  <c r="CN113" i="5"/>
  <c r="I6" i="52" l="1"/>
  <c r="I7" i="52" s="1"/>
  <c r="BJ133" i="5"/>
  <c r="BJ74" i="5"/>
  <c r="BJ144" i="5" s="1"/>
  <c r="BJ143" i="5"/>
  <c r="BO66" i="5"/>
  <c r="BJ141" i="5"/>
  <c r="BJ131" i="5"/>
  <c r="BE134" i="5"/>
  <c r="BE231" i="5"/>
  <c r="BO142" i="5"/>
  <c r="BT53" i="5"/>
  <c r="BO132" i="5"/>
  <c r="P43" i="50"/>
  <c r="BO69" i="5"/>
  <c r="O43" i="50"/>
  <c r="N18" i="51"/>
  <c r="N52" i="50"/>
  <c r="N55" i="50" s="1"/>
  <c r="N20" i="50"/>
  <c r="N24" i="50" s="1"/>
  <c r="N17" i="51"/>
  <c r="H13" i="52"/>
  <c r="O12" i="52"/>
  <c r="U13" i="50"/>
  <c r="CS113" i="5"/>
  <c r="O64" i="50" l="1"/>
  <c r="O18" i="50" s="1"/>
  <c r="O66" i="50"/>
  <c r="O23" i="50" s="1"/>
  <c r="BO74" i="5"/>
  <c r="J6" i="52"/>
  <c r="BO133" i="5"/>
  <c r="BO143" i="5"/>
  <c r="BY53" i="5"/>
  <c r="BT142" i="5"/>
  <c r="BT132" i="5"/>
  <c r="Q43" i="50"/>
  <c r="BT69" i="5"/>
  <c r="P64" i="50"/>
  <c r="P18" i="50" s="1"/>
  <c r="P66" i="50"/>
  <c r="P23" i="50" s="1"/>
  <c r="BJ134" i="5"/>
  <c r="BJ231" i="5"/>
  <c r="BO141" i="5"/>
  <c r="BT66" i="5"/>
  <c r="BO131" i="5"/>
  <c r="CX113" i="5"/>
  <c r="P12" i="52"/>
  <c r="V13" i="50"/>
  <c r="W13" i="50" s="1"/>
  <c r="BT133" i="5" l="1"/>
  <c r="BT74" i="5"/>
  <c r="K6" i="52"/>
  <c r="K7" i="52" s="1"/>
  <c r="BY142" i="5"/>
  <c r="CD53" i="5"/>
  <c r="BY132" i="5"/>
  <c r="BO231" i="5"/>
  <c r="BO134" i="5"/>
  <c r="BO144" i="5"/>
  <c r="P52" i="50"/>
  <c r="P55" i="50" s="1"/>
  <c r="P20" i="50"/>
  <c r="P24" i="50" s="1"/>
  <c r="P17" i="51"/>
  <c r="J13" i="52"/>
  <c r="Q66" i="50"/>
  <c r="Q23" i="50" s="1"/>
  <c r="Q18" i="51" s="1"/>
  <c r="Q64" i="50"/>
  <c r="Q18" i="50" s="1"/>
  <c r="Q17" i="51" s="1"/>
  <c r="BT143" i="5"/>
  <c r="J7" i="52"/>
  <c r="O52" i="50"/>
  <c r="O55" i="50" s="1"/>
  <c r="O20" i="50"/>
  <c r="O24" i="50" s="1"/>
  <c r="O17" i="51"/>
  <c r="I13" i="52"/>
  <c r="BT141" i="5"/>
  <c r="BY66" i="5"/>
  <c r="BY69" i="5" s="1"/>
  <c r="BT131" i="5"/>
  <c r="P18" i="51"/>
  <c r="O18" i="51"/>
  <c r="Q12" i="52"/>
  <c r="BY143" i="5" l="1"/>
  <c r="L6" i="52"/>
  <c r="L7" i="52" s="1"/>
  <c r="BY74" i="5"/>
  <c r="BY133" i="5"/>
  <c r="CI53" i="5"/>
  <c r="CD142" i="5"/>
  <c r="CD132" i="5"/>
  <c r="CD69" i="5"/>
  <c r="S43" i="50"/>
  <c r="CD66" i="5"/>
  <c r="BY141" i="5"/>
  <c r="BY131" i="5"/>
  <c r="Q52" i="50"/>
  <c r="Q55" i="50" s="1"/>
  <c r="Q20" i="50"/>
  <c r="Q24" i="50" s="1"/>
  <c r="K13" i="52"/>
  <c r="R43" i="50"/>
  <c r="BT231" i="5"/>
  <c r="BT134" i="5"/>
  <c r="BT144" i="5"/>
  <c r="R12" i="52"/>
  <c r="R64" i="50" l="1"/>
  <c r="R18" i="50" s="1"/>
  <c r="R66" i="50"/>
  <c r="R23" i="50" s="1"/>
  <c r="M6" i="52"/>
  <c r="M7" i="52" s="1"/>
  <c r="CD133" i="5"/>
  <c r="CD74" i="5"/>
  <c r="CD143" i="5"/>
  <c r="CI142" i="5"/>
  <c r="CN53" i="5"/>
  <c r="CI132" i="5"/>
  <c r="CI69" i="5"/>
  <c r="BY144" i="5"/>
  <c r="BY134" i="5"/>
  <c r="BY231" i="5"/>
  <c r="S64" i="50"/>
  <c r="S18" i="50" s="1"/>
  <c r="S66" i="50"/>
  <c r="S23" i="50" s="1"/>
  <c r="CD141" i="5"/>
  <c r="CI66" i="5"/>
  <c r="CD131" i="5"/>
  <c r="S12" i="52"/>
  <c r="CN142" i="5" l="1"/>
  <c r="CS53" i="5"/>
  <c r="CN132" i="5"/>
  <c r="U43" i="50"/>
  <c r="CD134" i="5"/>
  <c r="CD231" i="5"/>
  <c r="CD144" i="5"/>
  <c r="N6" i="52"/>
  <c r="CI133" i="5"/>
  <c r="CI143" i="5"/>
  <c r="CI74" i="5"/>
  <c r="S17" i="51"/>
  <c r="R52" i="50"/>
  <c r="R55" i="50" s="1"/>
  <c r="R20" i="50"/>
  <c r="R24" i="50" s="1"/>
  <c r="R17" i="51"/>
  <c r="L13" i="52"/>
  <c r="M13" i="52" s="1"/>
  <c r="N13" i="52" s="1"/>
  <c r="O13" i="52" s="1"/>
  <c r="P13" i="52" s="1"/>
  <c r="Q13" i="52" s="1"/>
  <c r="R13" i="52" s="1"/>
  <c r="S13" i="52" s="1"/>
  <c r="T13" i="52" s="1"/>
  <c r="U13" i="52" s="1"/>
  <c r="S52" i="50"/>
  <c r="S55" i="50" s="1"/>
  <c r="S20" i="50"/>
  <c r="S24" i="50" s="1"/>
  <c r="CI141" i="5"/>
  <c r="CN66" i="5"/>
  <c r="CN69" i="5" s="1"/>
  <c r="CI131" i="5"/>
  <c r="T43" i="50"/>
  <c r="S18" i="51"/>
  <c r="R18" i="51"/>
  <c r="T12" i="52"/>
  <c r="CN74" i="5" l="1"/>
  <c r="O6" i="52"/>
  <c r="O7" i="52" s="1"/>
  <c r="CN133" i="5"/>
  <c r="CN143" i="5"/>
  <c r="U66" i="50"/>
  <c r="U23" i="50" s="1"/>
  <c r="U64" i="50"/>
  <c r="U18" i="50" s="1"/>
  <c r="T64" i="50"/>
  <c r="T18" i="50" s="1"/>
  <c r="T66" i="50"/>
  <c r="T23" i="50" s="1"/>
  <c r="T18" i="51" s="1"/>
  <c r="CI134" i="5"/>
  <c r="CI231" i="5"/>
  <c r="CI144" i="5"/>
  <c r="CN141" i="5"/>
  <c r="CS66" i="5"/>
  <c r="V43" i="50" s="1"/>
  <c r="V64" i="50" s="1"/>
  <c r="CN131" i="5"/>
  <c r="N7" i="52"/>
  <c r="CS142" i="5"/>
  <c r="CX53" i="5"/>
  <c r="CS132" i="5"/>
  <c r="CS69" i="5"/>
  <c r="U12" i="52"/>
  <c r="U18" i="51" l="1"/>
  <c r="V18" i="50"/>
  <c r="V66" i="50"/>
  <c r="V23" i="50" s="1"/>
  <c r="V18" i="51" s="1"/>
  <c r="CS143" i="5"/>
  <c r="CS133" i="5"/>
  <c r="CS74" i="5"/>
  <c r="P6" i="52"/>
  <c r="P7" i="52" s="1"/>
  <c r="CN231" i="5"/>
  <c r="CN134" i="5"/>
  <c r="CN144" i="5"/>
  <c r="T52" i="50"/>
  <c r="T55" i="50" s="1"/>
  <c r="T20" i="50"/>
  <c r="T24" i="50" s="1"/>
  <c r="T17" i="51"/>
  <c r="CX66" i="5"/>
  <c r="CS141" i="5"/>
  <c r="CS131" i="5"/>
  <c r="CX142" i="5"/>
  <c r="CX132" i="5"/>
  <c r="U52" i="50"/>
  <c r="U55" i="50" s="1"/>
  <c r="U20" i="50"/>
  <c r="U24" i="50" s="1"/>
  <c r="U17" i="51"/>
  <c r="CX141" i="5" l="1"/>
  <c r="CX131" i="5"/>
  <c r="CX69" i="5"/>
  <c r="W43" i="50"/>
  <c r="CS144" i="5"/>
  <c r="CS134" i="5"/>
  <c r="CS231" i="5"/>
  <c r="V17" i="51"/>
  <c r="V20" i="50"/>
  <c r="V24" i="50" s="1"/>
  <c r="V52" i="50"/>
  <c r="V55" i="50" s="1"/>
  <c r="AK26" i="5"/>
  <c r="AH129" i="5"/>
  <c r="AM139" i="5"/>
  <c r="AH139" i="5"/>
  <c r="AH128" i="5"/>
  <c r="AH29" i="5"/>
  <c r="AH140" i="5" s="1"/>
  <c r="AK28" i="5"/>
  <c r="W66" i="50" l="1"/>
  <c r="W23" i="50" s="1"/>
  <c r="W18" i="51" s="1"/>
  <c r="W64" i="50"/>
  <c r="W18" i="50" s="1"/>
  <c r="CX133" i="5"/>
  <c r="Q6" i="52"/>
  <c r="CX74" i="5"/>
  <c r="CX143" i="5"/>
  <c r="AK128" i="5"/>
  <c r="AK139" i="5"/>
  <c r="AP139" i="5"/>
  <c r="J42" i="50"/>
  <c r="AK129" i="5"/>
  <c r="J43" i="50"/>
  <c r="AK29" i="5"/>
  <c r="AM140" i="5"/>
  <c r="AH69" i="5"/>
  <c r="J65" i="50" l="1"/>
  <c r="J67" i="50"/>
  <c r="R6" i="52"/>
  <c r="Q7" i="52"/>
  <c r="CX134" i="5"/>
  <c r="CX231" i="5"/>
  <c r="CX144" i="5"/>
  <c r="W52" i="50"/>
  <c r="W55" i="50" s="1"/>
  <c r="W17" i="51"/>
  <c r="W20" i="50"/>
  <c r="W24" i="50" s="1"/>
  <c r="J51" i="50"/>
  <c r="J54" i="50" s="1"/>
  <c r="AP140" i="5"/>
  <c r="AK140" i="5"/>
  <c r="AK69" i="5"/>
  <c r="D6" i="52" s="1"/>
  <c r="J52" i="50"/>
  <c r="J55" i="50" s="1"/>
  <c r="AH143" i="5"/>
  <c r="AH133" i="5"/>
  <c r="AH74" i="5"/>
  <c r="R7" i="52" l="1"/>
  <c r="S6" i="52"/>
  <c r="AH134" i="5"/>
  <c r="AH144" i="5"/>
  <c r="K17" i="51"/>
  <c r="E13" i="52"/>
  <c r="D13" i="52"/>
  <c r="J20" i="50"/>
  <c r="J24" i="50" s="1"/>
  <c r="K18" i="51"/>
  <c r="AK133" i="5"/>
  <c r="AK143" i="5"/>
  <c r="AP143" i="5"/>
  <c r="AK74" i="5"/>
  <c r="S7" i="52" l="1"/>
  <c r="T6" i="52"/>
  <c r="AK144" i="5"/>
  <c r="AK134" i="5"/>
  <c r="AP144" i="5"/>
  <c r="AK231" i="5"/>
  <c r="T7" i="52" l="1"/>
  <c r="U6" i="52"/>
  <c r="U7" i="52" s="1"/>
  <c r="AK234" i="5"/>
  <c r="AK236" i="5" s="1"/>
  <c r="AK232" i="5"/>
  <c r="AK235" i="5" l="1"/>
  <c r="AP230" i="5"/>
  <c r="J44" i="50"/>
  <c r="AK76" i="5"/>
  <c r="AK77" i="5"/>
  <c r="AJ76" i="5" l="1"/>
  <c r="AJ77" i="5"/>
  <c r="D10" i="52"/>
  <c r="D9" i="52" s="1"/>
  <c r="D11" i="52" s="1"/>
  <c r="D15" i="52" s="1"/>
  <c r="D17" i="52" s="1"/>
  <c r="BH83" i="15"/>
  <c r="AK145" i="5"/>
  <c r="AK80" i="5"/>
  <c r="AK146" i="5" s="1"/>
  <c r="AK135" i="5"/>
  <c r="AI76" i="5"/>
  <c r="AI77" i="5"/>
  <c r="AP234" i="5"/>
  <c r="AP236" i="5" s="1"/>
  <c r="AP75" i="5" s="1"/>
  <c r="AP232" i="5"/>
  <c r="AH76" i="5"/>
  <c r="AH77" i="5"/>
  <c r="AP235" i="5" l="1"/>
  <c r="AU230" i="5"/>
  <c r="T44" i="30"/>
  <c r="I191" i="45"/>
  <c r="AC78" i="46"/>
  <c r="AC79" i="46" s="1"/>
  <c r="AC81" i="46" s="1"/>
  <c r="AC83" i="46" s="1"/>
  <c r="AN83" i="48"/>
  <c r="AN84" i="48" s="1"/>
  <c r="AN86" i="48" s="1"/>
  <c r="AN88" i="48" s="1"/>
  <c r="AB50" i="54"/>
  <c r="AB49" i="54" s="1"/>
  <c r="AB52" i="54" s="1"/>
  <c r="AB62" i="54" s="1"/>
  <c r="BH84" i="15"/>
  <c r="BH86" i="15" s="1"/>
  <c r="BH88" i="15" s="1"/>
  <c r="K44" i="50"/>
  <c r="AP77" i="5"/>
  <c r="AP76" i="5"/>
  <c r="AL76" i="5" s="1"/>
  <c r="AM76" i="5" s="1"/>
  <c r="AN76" i="5" s="1"/>
  <c r="AO76" i="5" s="1"/>
  <c r="AH80" i="5"/>
  <c r="AH145" i="5"/>
  <c r="AH135" i="5"/>
  <c r="AI145" i="5"/>
  <c r="AI135" i="5"/>
  <c r="AI80" i="5"/>
  <c r="AJ145" i="5"/>
  <c r="AJ80" i="5"/>
  <c r="AJ135" i="5"/>
  <c r="AJ146" i="5" l="1"/>
  <c r="AH146" i="5"/>
  <c r="I215" i="45"/>
  <c r="I192" i="45"/>
  <c r="I194" i="45" s="1"/>
  <c r="I196" i="45" s="1"/>
  <c r="I214" i="45"/>
  <c r="I217" i="45" s="1"/>
  <c r="I225" i="45" s="1"/>
  <c r="AI146" i="5"/>
  <c r="E10" i="52"/>
  <c r="E9" i="52" s="1"/>
  <c r="E11" i="52" s="1"/>
  <c r="E15" i="52" s="1"/>
  <c r="E17" i="52" s="1"/>
  <c r="BI83" i="15"/>
  <c r="AU232" i="5"/>
  <c r="AU234" i="5"/>
  <c r="AU236" i="5" s="1"/>
  <c r="AU75" i="5" s="1"/>
  <c r="AP145" i="5"/>
  <c r="AP135" i="5"/>
  <c r="AP80" i="5"/>
  <c r="AP146" i="5" s="1"/>
  <c r="BI84" i="15" l="1"/>
  <c r="BI86" i="15" s="1"/>
  <c r="BI88" i="15" s="1"/>
  <c r="AD78" i="46"/>
  <c r="AD79" i="46" s="1"/>
  <c r="AD81" i="46" s="1"/>
  <c r="AD83" i="46" s="1"/>
  <c r="AO83" i="48"/>
  <c r="AO84" i="48" s="1"/>
  <c r="AO86" i="48" s="1"/>
  <c r="AO88" i="48" s="1"/>
  <c r="AC50" i="54"/>
  <c r="AC49" i="54" s="1"/>
  <c r="AC52" i="54" s="1"/>
  <c r="AC62" i="54" s="1"/>
  <c r="J191" i="45"/>
  <c r="U44" i="30"/>
  <c r="U45" i="30" s="1"/>
  <c r="U47" i="30" s="1"/>
  <c r="U49" i="30" s="1"/>
  <c r="AU76" i="5"/>
  <c r="L44" i="50"/>
  <c r="AU77" i="5"/>
  <c r="AU235" i="5"/>
  <c r="AZ230" i="5"/>
  <c r="AZ234" i="5" l="1"/>
  <c r="AZ236" i="5" s="1"/>
  <c r="AZ75" i="5" s="1"/>
  <c r="AZ232" i="5"/>
  <c r="AU145" i="5"/>
  <c r="AU80" i="5"/>
  <c r="AU146" i="5" s="1"/>
  <c r="AU135" i="5"/>
  <c r="J215" i="45"/>
  <c r="J192" i="45"/>
  <c r="J194" i="45" s="1"/>
  <c r="J196" i="45" s="1"/>
  <c r="J214" i="45"/>
  <c r="J217" i="45" s="1"/>
  <c r="J225" i="45" s="1"/>
  <c r="BJ83" i="15"/>
  <c r="F10" i="52"/>
  <c r="F9" i="52" s="1"/>
  <c r="F11" i="52" s="1"/>
  <c r="F15" i="52" s="1"/>
  <c r="F17" i="52" s="1"/>
  <c r="K191" i="45" l="1"/>
  <c r="AD50" i="54"/>
  <c r="AD49" i="54" s="1"/>
  <c r="AD52" i="54" s="1"/>
  <c r="AD62" i="54" s="1"/>
  <c r="AE78" i="46"/>
  <c r="AE79" i="46" s="1"/>
  <c r="AE81" i="46" s="1"/>
  <c r="AE83" i="46" s="1"/>
  <c r="V44" i="30"/>
  <c r="V45" i="30" s="1"/>
  <c r="V47" i="30" s="1"/>
  <c r="V49" i="30" s="1"/>
  <c r="AP83" i="48"/>
  <c r="AP84" i="48" s="1"/>
  <c r="AP86" i="48" s="1"/>
  <c r="AP88" i="48" s="1"/>
  <c r="BJ84" i="15"/>
  <c r="BJ86" i="15" s="1"/>
  <c r="BJ88" i="15" s="1"/>
  <c r="AZ235" i="5"/>
  <c r="BE230" i="5"/>
  <c r="M44" i="50"/>
  <c r="AZ77" i="5"/>
  <c r="AZ76" i="5"/>
  <c r="G10" i="52" l="1"/>
  <c r="G9" i="52" s="1"/>
  <c r="G11" i="52" s="1"/>
  <c r="G15" i="52" s="1"/>
  <c r="G17" i="52" s="1"/>
  <c r="BK83" i="15"/>
  <c r="AZ80" i="5"/>
  <c r="AZ146" i="5" s="1"/>
  <c r="AZ135" i="5"/>
  <c r="AZ145" i="5"/>
  <c r="BE232" i="5"/>
  <c r="BE234" i="5"/>
  <c r="BE236" i="5" s="1"/>
  <c r="BE75" i="5" s="1"/>
  <c r="K215" i="45"/>
  <c r="K214" i="45"/>
  <c r="K217" i="45" s="1"/>
  <c r="K225" i="45" s="1"/>
  <c r="K192" i="45"/>
  <c r="K194" i="45" s="1"/>
  <c r="K196" i="45" s="1"/>
  <c r="BE235" i="5" l="1"/>
  <c r="BJ230" i="5"/>
  <c r="AF78" i="46"/>
  <c r="AF79" i="46" s="1"/>
  <c r="AF81" i="46" s="1"/>
  <c r="AF83" i="46" s="1"/>
  <c r="BK84" i="15"/>
  <c r="BK86" i="15" s="1"/>
  <c r="BK88" i="15" s="1"/>
  <c r="AQ83" i="48"/>
  <c r="AQ84" i="48" s="1"/>
  <c r="AQ86" i="48" s="1"/>
  <c r="AQ88" i="48" s="1"/>
  <c r="L191" i="45"/>
  <c r="AE50" i="54"/>
  <c r="AE49" i="54" s="1"/>
  <c r="AE52" i="54" s="1"/>
  <c r="AE62" i="54" s="1"/>
  <c r="W44" i="30"/>
  <c r="W45" i="30" s="1"/>
  <c r="W47" i="30" s="1"/>
  <c r="W49" i="30" s="1"/>
  <c r="I54" i="34"/>
  <c r="I53" i="34" s="1"/>
  <c r="I56" i="34" s="1"/>
  <c r="I66" i="34" s="1"/>
  <c r="J95" i="47"/>
  <c r="J94" i="47" s="1"/>
  <c r="J97" i="47" s="1"/>
  <c r="J107" i="47" s="1"/>
  <c r="N44" i="50"/>
  <c r="BE76" i="5"/>
  <c r="BE77" i="5"/>
  <c r="L215" i="45" l="1"/>
  <c r="L192" i="45"/>
  <c r="L194" i="45" s="1"/>
  <c r="L196" i="45" s="1"/>
  <c r="L214" i="45"/>
  <c r="L217" i="45" s="1"/>
  <c r="L225" i="45" s="1"/>
  <c r="BE145" i="5"/>
  <c r="BE80" i="5"/>
  <c r="BE146" i="5" s="1"/>
  <c r="BE135" i="5"/>
  <c r="BJ234" i="5"/>
  <c r="BJ236" i="5" s="1"/>
  <c r="BJ75" i="5" s="1"/>
  <c r="BJ232" i="5"/>
  <c r="H10" i="52"/>
  <c r="H9" i="52" s="1"/>
  <c r="H11" i="52" s="1"/>
  <c r="H15" i="52" s="1"/>
  <c r="BL83" i="15"/>
  <c r="BJ235" i="5" l="1"/>
  <c r="BO230" i="5"/>
  <c r="H17" i="52"/>
  <c r="H16" i="52"/>
  <c r="BJ76" i="5"/>
  <c r="O44" i="50"/>
  <c r="BJ77" i="5"/>
  <c r="X44" i="30"/>
  <c r="X45" i="30" s="1"/>
  <c r="X47" i="30" s="1"/>
  <c r="X49" i="30" s="1"/>
  <c r="K95" i="47"/>
  <c r="K94" i="47" s="1"/>
  <c r="K97" i="47" s="1"/>
  <c r="K107" i="47" s="1"/>
  <c r="J54" i="34"/>
  <c r="J53" i="34" s="1"/>
  <c r="J56" i="34" s="1"/>
  <c r="J66" i="34" s="1"/>
  <c r="AR83" i="48"/>
  <c r="AR84" i="48" s="1"/>
  <c r="AR86" i="48" s="1"/>
  <c r="AR88" i="48" s="1"/>
  <c r="AF50" i="54"/>
  <c r="AF49" i="54" s="1"/>
  <c r="AF52" i="54" s="1"/>
  <c r="AF62" i="54" s="1"/>
  <c r="AG78" i="46"/>
  <c r="AG79" i="46" s="1"/>
  <c r="AG81" i="46" s="1"/>
  <c r="AG83" i="46" s="1"/>
  <c r="M191" i="45"/>
  <c r="BL84" i="15"/>
  <c r="BL86" i="15" s="1"/>
  <c r="BL88" i="15" s="1"/>
  <c r="BJ135" i="5" l="1"/>
  <c r="BJ80" i="5"/>
  <c r="BJ146" i="5" s="1"/>
  <c r="BJ145" i="5"/>
  <c r="M214" i="45"/>
  <c r="M217" i="45" s="1"/>
  <c r="M225" i="45" s="1"/>
  <c r="M192" i="45"/>
  <c r="M194" i="45" s="1"/>
  <c r="M196" i="45" s="1"/>
  <c r="M215" i="45"/>
  <c r="BO232" i="5"/>
  <c r="BO234" i="5"/>
  <c r="BO236" i="5" s="1"/>
  <c r="BO75" i="5" s="1"/>
  <c r="I10" i="52"/>
  <c r="I9" i="52" s="1"/>
  <c r="I11" i="52" s="1"/>
  <c r="I15" i="52" s="1"/>
  <c r="BM83" i="15"/>
  <c r="AS83" i="48" l="1"/>
  <c r="AS84" i="48" s="1"/>
  <c r="AS86" i="48" s="1"/>
  <c r="AS88" i="48" s="1"/>
  <c r="Y44" i="30"/>
  <c r="Y45" i="30" s="1"/>
  <c r="Y47" i="30" s="1"/>
  <c r="Y49" i="30" s="1"/>
  <c r="AH78" i="46"/>
  <c r="AH79" i="46" s="1"/>
  <c r="AH81" i="46" s="1"/>
  <c r="AH83" i="46" s="1"/>
  <c r="N191" i="45"/>
  <c r="BM84" i="15"/>
  <c r="BM86" i="15" s="1"/>
  <c r="BM88" i="15" s="1"/>
  <c r="L95" i="47"/>
  <c r="L94" i="47" s="1"/>
  <c r="L97" i="47" s="1"/>
  <c r="L107" i="47" s="1"/>
  <c r="K54" i="34"/>
  <c r="K53" i="34" s="1"/>
  <c r="K56" i="34" s="1"/>
  <c r="K66" i="34" s="1"/>
  <c r="AG50" i="54"/>
  <c r="AG49" i="54" s="1"/>
  <c r="AG52" i="54" s="1"/>
  <c r="AG62" i="54" s="1"/>
  <c r="BO235" i="5"/>
  <c r="BT230" i="5"/>
  <c r="I17" i="52"/>
  <c r="I16" i="52"/>
  <c r="P44" i="50"/>
  <c r="BO76" i="5"/>
  <c r="BO77" i="5"/>
  <c r="J10" i="52" l="1"/>
  <c r="J9" i="52" s="1"/>
  <c r="J11" i="52" s="1"/>
  <c r="J15" i="52" s="1"/>
  <c r="BN83" i="15"/>
  <c r="N215" i="45"/>
  <c r="N192" i="45"/>
  <c r="N194" i="45" s="1"/>
  <c r="N196" i="45" s="1"/>
  <c r="N214" i="45"/>
  <c r="N217" i="45" s="1"/>
  <c r="N225" i="45" s="1"/>
  <c r="BT234" i="5"/>
  <c r="BT236" i="5" s="1"/>
  <c r="BT75" i="5" s="1"/>
  <c r="BT232" i="5"/>
  <c r="BO145" i="5"/>
  <c r="BO80" i="5"/>
  <c r="BO146" i="5" s="1"/>
  <c r="BO135" i="5"/>
  <c r="J16" i="52" l="1"/>
  <c r="BT235" i="5"/>
  <c r="BY230" i="5"/>
  <c r="Q44" i="50"/>
  <c r="BT76" i="5"/>
  <c r="BT77" i="5"/>
  <c r="AH50" i="54"/>
  <c r="AH49" i="54" s="1"/>
  <c r="AH52" i="54" s="1"/>
  <c r="AH62" i="54" s="1"/>
  <c r="L54" i="34"/>
  <c r="L53" i="34" s="1"/>
  <c r="L56" i="34" s="1"/>
  <c r="L66" i="34" s="1"/>
  <c r="BN84" i="15"/>
  <c r="BN86" i="15" s="1"/>
  <c r="AT83" i="48"/>
  <c r="AT84" i="48" s="1"/>
  <c r="AT86" i="48" s="1"/>
  <c r="AI78" i="46"/>
  <c r="AI79" i="46" s="1"/>
  <c r="AI81" i="46" s="1"/>
  <c r="O191" i="45"/>
  <c r="M95" i="47"/>
  <c r="M94" i="47" s="1"/>
  <c r="M97" i="47" s="1"/>
  <c r="M107" i="47" s="1"/>
  <c r="Z44" i="30"/>
  <c r="Z45" i="30" s="1"/>
  <c r="Z47" i="30" s="1"/>
  <c r="BO83" i="15" l="1"/>
  <c r="K10" i="52"/>
  <c r="K9" i="52" s="1"/>
  <c r="K11" i="52" s="1"/>
  <c r="K15" i="52" s="1"/>
  <c r="O215" i="45"/>
  <c r="O214" i="45"/>
  <c r="O217" i="45" s="1"/>
  <c r="O225" i="45" s="1"/>
  <c r="O192" i="45"/>
  <c r="O194" i="45" s="1"/>
  <c r="BY234" i="5"/>
  <c r="BY236" i="5" s="1"/>
  <c r="BY75" i="5" s="1"/>
  <c r="BY232" i="5"/>
  <c r="BT135" i="5"/>
  <c r="BT145" i="5"/>
  <c r="BT80" i="5"/>
  <c r="BT146" i="5" s="1"/>
  <c r="BY235" i="5" l="1"/>
  <c r="CD230" i="5"/>
  <c r="R44" i="50"/>
  <c r="BY76" i="5"/>
  <c r="BY77" i="5"/>
  <c r="BO84" i="15"/>
  <c r="BO86" i="15" s="1"/>
  <c r="M54" i="34"/>
  <c r="M53" i="34" s="1"/>
  <c r="M56" i="34" s="1"/>
  <c r="M66" i="34" s="1"/>
  <c r="N95" i="47"/>
  <c r="N94" i="47" s="1"/>
  <c r="N97" i="47" s="1"/>
  <c r="N107" i="47" s="1"/>
  <c r="AI50" i="54"/>
  <c r="AI49" i="54" s="1"/>
  <c r="AI52" i="54" s="1"/>
  <c r="AI62" i="54" s="1"/>
  <c r="AA44" i="30"/>
  <c r="AA45" i="30" s="1"/>
  <c r="AA47" i="30" s="1"/>
  <c r="AU83" i="48"/>
  <c r="AU84" i="48" s="1"/>
  <c r="AU86" i="48" s="1"/>
  <c r="AJ78" i="46"/>
  <c r="AJ79" i="46" s="1"/>
  <c r="AJ81" i="46" s="1"/>
  <c r="P191" i="45"/>
  <c r="K16" i="52"/>
  <c r="BY145" i="5" l="1"/>
  <c r="BY80" i="5"/>
  <c r="BY146" i="5" s="1"/>
  <c r="BY135" i="5"/>
  <c r="BP83" i="15"/>
  <c r="L10" i="52"/>
  <c r="P192" i="45"/>
  <c r="P194" i="45" s="1"/>
  <c r="P215" i="45"/>
  <c r="P214" i="45"/>
  <c r="P217" i="45" s="1"/>
  <c r="P225" i="45" s="1"/>
  <c r="CD234" i="5"/>
  <c r="CD236" i="5" s="1"/>
  <c r="CD75" i="5" s="1"/>
  <c r="CD232" i="5"/>
  <c r="S44" i="50" l="1"/>
  <c r="CD77" i="5"/>
  <c r="CD76" i="5"/>
  <c r="BQ83" i="15" s="1"/>
  <c r="Q191" i="45"/>
  <c r="AK78" i="46"/>
  <c r="AK79" i="46" s="1"/>
  <c r="AK81" i="46" s="1"/>
  <c r="BP84" i="15"/>
  <c r="BP86" i="15" s="1"/>
  <c r="AB44" i="30"/>
  <c r="AB45" i="30" s="1"/>
  <c r="AB47" i="30" s="1"/>
  <c r="N54" i="34"/>
  <c r="N53" i="34" s="1"/>
  <c r="N56" i="34" s="1"/>
  <c r="N66" i="34" s="1"/>
  <c r="AV83" i="48"/>
  <c r="AV84" i="48" s="1"/>
  <c r="AV86" i="48" s="1"/>
  <c r="AJ50" i="54"/>
  <c r="AJ49" i="54" s="1"/>
  <c r="AJ52" i="54" s="1"/>
  <c r="AJ62" i="54" s="1"/>
  <c r="O95" i="47"/>
  <c r="O94" i="47" s="1"/>
  <c r="O97" i="47" s="1"/>
  <c r="O107" i="47" s="1"/>
  <c r="CD235" i="5"/>
  <c r="CI230" i="5"/>
  <c r="L9" i="52"/>
  <c r="L11" i="52" s="1"/>
  <c r="L15" i="52" s="1"/>
  <c r="M10" i="52"/>
  <c r="M9" i="52" l="1"/>
  <c r="M11" i="52" s="1"/>
  <c r="M15" i="52" s="1"/>
  <c r="N10" i="52"/>
  <c r="L16" i="52"/>
  <c r="Q214" i="45"/>
  <c r="Q217" i="45" s="1"/>
  <c r="Q225" i="45" s="1"/>
  <c r="Q215" i="45"/>
  <c r="Q192" i="45"/>
  <c r="Q194" i="45" s="1"/>
  <c r="CI234" i="5"/>
  <c r="CI236" i="5" s="1"/>
  <c r="CI75" i="5" s="1"/>
  <c r="CI232" i="5"/>
  <c r="AW83" i="48"/>
  <c r="AW84" i="48" s="1"/>
  <c r="AW86" i="48" s="1"/>
  <c r="P95" i="47"/>
  <c r="P94" i="47" s="1"/>
  <c r="P97" i="47" s="1"/>
  <c r="P107" i="47" s="1"/>
  <c r="AK50" i="54"/>
  <c r="AK49" i="54" s="1"/>
  <c r="AK52" i="54" s="1"/>
  <c r="AK62" i="54" s="1"/>
  <c r="O54" i="34"/>
  <c r="O53" i="34" s="1"/>
  <c r="O56" i="34" s="1"/>
  <c r="O66" i="34" s="1"/>
  <c r="AL78" i="46"/>
  <c r="AL79" i="46" s="1"/>
  <c r="AL81" i="46" s="1"/>
  <c r="AC44" i="30"/>
  <c r="AC45" i="30" s="1"/>
  <c r="AC47" i="30" s="1"/>
  <c r="BQ84" i="15"/>
  <c r="BQ86" i="15" s="1"/>
  <c r="R191" i="45"/>
  <c r="CD145" i="5"/>
  <c r="CD80" i="5"/>
  <c r="CD146" i="5" s="1"/>
  <c r="CD135" i="5"/>
  <c r="M16" i="52" l="1"/>
  <c r="R215" i="45"/>
  <c r="R214" i="45"/>
  <c r="R217" i="45" s="1"/>
  <c r="R225" i="45" s="1"/>
  <c r="R192" i="45"/>
  <c r="R194" i="45" s="1"/>
  <c r="CI235" i="5"/>
  <c r="CN230" i="5"/>
  <c r="T44" i="50"/>
  <c r="CI76" i="5"/>
  <c r="BR83" i="15" s="1"/>
  <c r="CI77" i="5"/>
  <c r="N9" i="52"/>
  <c r="N11" i="52" s="1"/>
  <c r="N15" i="52" s="1"/>
  <c r="O10" i="52"/>
  <c r="CI135" i="5" l="1"/>
  <c r="CI80" i="5"/>
  <c r="CI146" i="5" s="1"/>
  <c r="CI145" i="5"/>
  <c r="AM78" i="46"/>
  <c r="AM79" i="46" s="1"/>
  <c r="AM81" i="46" s="1"/>
  <c r="AL50" i="54"/>
  <c r="AL49" i="54" s="1"/>
  <c r="AL52" i="54" s="1"/>
  <c r="AL62" i="54" s="1"/>
  <c r="Q95" i="47"/>
  <c r="Q94" i="47" s="1"/>
  <c r="Q97" i="47" s="1"/>
  <c r="Q107" i="47" s="1"/>
  <c r="P54" i="34"/>
  <c r="P53" i="34" s="1"/>
  <c r="P56" i="34" s="1"/>
  <c r="P66" i="34" s="1"/>
  <c r="AD44" i="30"/>
  <c r="AD45" i="30" s="1"/>
  <c r="AD47" i="30" s="1"/>
  <c r="S191" i="45"/>
  <c r="BR84" i="15"/>
  <c r="BR86" i="15" s="1"/>
  <c r="AX83" i="48"/>
  <c r="AX84" i="48" s="1"/>
  <c r="AX86" i="48" s="1"/>
  <c r="O9" i="52"/>
  <c r="O11" i="52" s="1"/>
  <c r="O15" i="52" s="1"/>
  <c r="P10" i="52"/>
  <c r="N16" i="52"/>
  <c r="CN234" i="5"/>
  <c r="CN236" i="5" s="1"/>
  <c r="CN75" i="5" s="1"/>
  <c r="CN232" i="5"/>
  <c r="U44" i="50" l="1"/>
  <c r="CN76" i="5"/>
  <c r="BS83" i="15" s="1"/>
  <c r="CN77" i="5"/>
  <c r="O16" i="52"/>
  <c r="CN235" i="5"/>
  <c r="CS230" i="5"/>
  <c r="P9" i="52"/>
  <c r="P11" i="52" s="1"/>
  <c r="P15" i="52" s="1"/>
  <c r="Q10" i="52"/>
  <c r="S215" i="45"/>
  <c r="S192" i="45"/>
  <c r="S194" i="45" s="1"/>
  <c r="S214" i="45"/>
  <c r="S217" i="45" s="1"/>
  <c r="S225" i="45" s="1"/>
  <c r="Q9" i="52" l="1"/>
  <c r="Q11" i="52" s="1"/>
  <c r="Q15" i="52" s="1"/>
  <c r="R10" i="52"/>
  <c r="P16" i="52"/>
  <c r="CS232" i="5"/>
  <c r="CS234" i="5"/>
  <c r="CS236" i="5" s="1"/>
  <c r="CS75" i="5" s="1"/>
  <c r="CN135" i="5"/>
  <c r="CN145" i="5"/>
  <c r="CN80" i="5"/>
  <c r="CN146" i="5" s="1"/>
  <c r="T191" i="45"/>
  <c r="Q54" i="34"/>
  <c r="Q53" i="34" s="1"/>
  <c r="Q56" i="34" s="1"/>
  <c r="Q66" i="34" s="1"/>
  <c r="R95" i="47"/>
  <c r="R94" i="47" s="1"/>
  <c r="R97" i="47" s="1"/>
  <c r="R107" i="47" s="1"/>
  <c r="AN78" i="46"/>
  <c r="AN79" i="46" s="1"/>
  <c r="AN81" i="46" s="1"/>
  <c r="BS84" i="15"/>
  <c r="BS86" i="15" s="1"/>
  <c r="AM50" i="54"/>
  <c r="AM49" i="54" s="1"/>
  <c r="AM52" i="54" s="1"/>
  <c r="AM62" i="54" s="1"/>
  <c r="AY83" i="48"/>
  <c r="AY84" i="48" s="1"/>
  <c r="AY86" i="48" s="1"/>
  <c r="AE44" i="30"/>
  <c r="AE45" i="30" s="1"/>
  <c r="AE47" i="30" s="1"/>
  <c r="CS235" i="5" l="1"/>
  <c r="CX230" i="5"/>
  <c r="T214" i="45"/>
  <c r="T217" i="45" s="1"/>
  <c r="T225" i="45" s="1"/>
  <c r="T215" i="45"/>
  <c r="T192" i="45"/>
  <c r="T194" i="45" s="1"/>
  <c r="S10" i="52"/>
  <c r="R9" i="52"/>
  <c r="R11" i="52" s="1"/>
  <c r="R15" i="52" s="1"/>
  <c r="V44" i="50"/>
  <c r="CS77" i="5"/>
  <c r="CS76" i="5"/>
  <c r="BT83" i="15" s="1"/>
  <c r="Q16" i="52"/>
  <c r="R16" i="52" l="1"/>
  <c r="BT84" i="15"/>
  <c r="BT86" i="15" s="1"/>
  <c r="AZ83" i="48"/>
  <c r="AZ84" i="48" s="1"/>
  <c r="AZ86" i="48" s="1"/>
  <c r="AN50" i="54"/>
  <c r="AN49" i="54" s="1"/>
  <c r="AN52" i="54" s="1"/>
  <c r="AN62" i="54" s="1"/>
  <c r="R54" i="34"/>
  <c r="R53" i="34" s="1"/>
  <c r="R56" i="34" s="1"/>
  <c r="R66" i="34" s="1"/>
  <c r="U191" i="45"/>
  <c r="S95" i="47"/>
  <c r="S94" i="47" s="1"/>
  <c r="S97" i="47" s="1"/>
  <c r="S107" i="47" s="1"/>
  <c r="AO78" i="46"/>
  <c r="AO79" i="46" s="1"/>
  <c r="AO81" i="46" s="1"/>
  <c r="AF44" i="30"/>
  <c r="AF45" i="30" s="1"/>
  <c r="AF47" i="30" s="1"/>
  <c r="S9" i="52"/>
  <c r="S11" i="52" s="1"/>
  <c r="S15" i="52" s="1"/>
  <c r="T10" i="52"/>
  <c r="CS135" i="5"/>
  <c r="CS145" i="5"/>
  <c r="CS80" i="5"/>
  <c r="CS146" i="5" s="1"/>
  <c r="CX232" i="5"/>
  <c r="CX235" i="5" s="1"/>
  <c r="CX234" i="5"/>
  <c r="CX236" i="5" s="1"/>
  <c r="CX75" i="5" s="1"/>
  <c r="W44" i="50" l="1"/>
  <c r="CX77" i="5"/>
  <c r="CX76" i="5"/>
  <c r="BU83" i="15" s="1"/>
  <c r="U10" i="52"/>
  <c r="U9" i="52" s="1"/>
  <c r="U11" i="52" s="1"/>
  <c r="U15" i="52" s="1"/>
  <c r="T9" i="52"/>
  <c r="T11" i="52" s="1"/>
  <c r="T15" i="52" s="1"/>
  <c r="S17" i="52"/>
  <c r="S16" i="52"/>
  <c r="U215" i="45"/>
  <c r="U214" i="45"/>
  <c r="U217" i="45" s="1"/>
  <c r="U225" i="45" s="1"/>
  <c r="U192" i="45"/>
  <c r="U194" i="45" s="1"/>
  <c r="T16" i="52" l="1"/>
  <c r="T17" i="52"/>
  <c r="U17" i="52"/>
  <c r="V15" i="52"/>
  <c r="U16" i="52"/>
  <c r="V191" i="45"/>
  <c r="AO50" i="54"/>
  <c r="AO49" i="54" s="1"/>
  <c r="AO52" i="54" s="1"/>
  <c r="S54" i="34"/>
  <c r="S53" i="34" s="1"/>
  <c r="S56" i="34" s="1"/>
  <c r="BA83" i="48"/>
  <c r="BA84" i="48" s="1"/>
  <c r="BA86" i="48" s="1"/>
  <c r="AP78" i="46"/>
  <c r="AP79" i="46" s="1"/>
  <c r="AP81" i="46" s="1"/>
  <c r="T95" i="47"/>
  <c r="T94" i="47" s="1"/>
  <c r="T97" i="47" s="1"/>
  <c r="BU84" i="15"/>
  <c r="BU86" i="15" s="1"/>
  <c r="AG44" i="30"/>
  <c r="AG45" i="30" s="1"/>
  <c r="AG47" i="30" s="1"/>
  <c r="CX145" i="5"/>
  <c r="CX135" i="5"/>
  <c r="CX80" i="5"/>
  <c r="CX146" i="5" s="1"/>
  <c r="AH47" i="30" l="1"/>
  <c r="T107" i="47"/>
  <c r="U97" i="47"/>
  <c r="U107" i="47" s="1"/>
  <c r="AO62" i="54"/>
  <c r="AP52" i="54"/>
  <c r="AP62" i="54" s="1"/>
  <c r="AQ81" i="46"/>
  <c r="V215" i="45"/>
  <c r="V192" i="45"/>
  <c r="V194" i="45" s="1"/>
  <c r="V214" i="45"/>
  <c r="V217" i="45" s="1"/>
  <c r="BB86" i="48"/>
  <c r="BV86" i="15"/>
  <c r="S66" i="34"/>
  <c r="T56" i="34"/>
  <c r="T66" i="34" s="1"/>
  <c r="V17" i="52"/>
  <c r="V16" i="52"/>
  <c r="I59" i="34" l="1"/>
  <c r="G16" i="59" s="1"/>
  <c r="J100" i="47"/>
  <c r="G17" i="59" s="1"/>
  <c r="W217" i="45"/>
  <c r="W225" i="45" s="1"/>
  <c r="V225" i="45"/>
  <c r="W194" i="45"/>
  <c r="AA55" i="54"/>
  <c r="G18" i="59" s="1"/>
  <c r="F228" i="45" l="1"/>
  <c r="G13" i="59" s="1"/>
  <c r="G19" i="59"/>
  <c r="F219" i="45" l="1"/>
  <c r="H13" i="59"/>
  <c r="G14" i="59"/>
  <c r="H14" i="59" l="1"/>
  <c r="AJ90" i="5" l="1"/>
  <c r="AJ93" i="5" l="1"/>
  <c r="AJ113" i="5"/>
  <c r="AK113" i="5" s="1"/>
  <c r="AK93" i="5" l="1"/>
  <c r="AP114" i="5"/>
  <c r="AP92" i="5" l="1"/>
  <c r="AP117" i="5"/>
  <c r="AP115" i="5"/>
  <c r="AP116" i="5" l="1"/>
  <c r="AO116" i="5" s="1"/>
  <c r="AO115" i="5"/>
  <c r="AP93" i="5"/>
  <c r="AO117" i="5"/>
  <c r="AU114" i="5"/>
  <c r="AU115" i="5" s="1"/>
  <c r="AO114" i="5" l="1"/>
  <c r="AO113" i="5" s="1"/>
  <c r="AU92" i="5"/>
  <c r="AU117" i="5"/>
  <c r="AU93" i="5" s="1"/>
  <c r="AU116" i="5"/>
  <c r="AZ114" i="5" l="1"/>
  <c r="AZ92" i="5" l="1"/>
  <c r="AZ117" i="5"/>
  <c r="AZ93" i="5" s="1"/>
  <c r="AZ115" i="5"/>
  <c r="BE114" i="5" l="1"/>
  <c r="BE115" i="5" s="1"/>
  <c r="AZ116" i="5"/>
  <c r="BE117" i="5" l="1"/>
  <c r="BE93" i="5" s="1"/>
  <c r="BE116" i="5"/>
  <c r="BE92" i="5"/>
  <c r="BJ114" i="5" l="1"/>
  <c r="BJ92" i="5" s="1"/>
  <c r="BJ115" i="5" l="1"/>
  <c r="BJ116" i="5" s="1"/>
  <c r="BJ117" i="5"/>
  <c r="BJ93" i="5" s="1"/>
  <c r="BO114" i="5" l="1"/>
  <c r="BO115" i="5" s="1"/>
  <c r="BO116" i="5" s="1"/>
  <c r="BO117" i="5" l="1"/>
  <c r="BO93" i="5" s="1"/>
  <c r="BO92" i="5"/>
  <c r="BT114" i="5" l="1"/>
  <c r="BT92" i="5" s="1"/>
  <c r="BT115" i="5" l="1"/>
  <c r="BT116" i="5" s="1"/>
  <c r="BT117" i="5"/>
  <c r="BT93" i="5" s="1"/>
  <c r="BY114" i="5" l="1"/>
  <c r="BY115" i="5" s="1"/>
  <c r="BY116" i="5" s="1"/>
  <c r="BY117" i="5" l="1"/>
  <c r="BY93" i="5" s="1"/>
  <c r="BY92" i="5"/>
  <c r="CD114" i="5" l="1"/>
  <c r="CD115" i="5" s="1"/>
  <c r="CD116" i="5" l="1"/>
  <c r="CD92" i="5"/>
  <c r="CD117" i="5"/>
  <c r="CD93" i="5" s="1"/>
  <c r="CI114" i="5" l="1"/>
  <c r="CI115" i="5" s="1"/>
  <c r="CI116" i="5" s="1"/>
  <c r="CI117" i="5" l="1"/>
  <c r="CI93" i="5" s="1"/>
  <c r="CI92" i="5"/>
  <c r="CN114" i="5" l="1"/>
  <c r="CN117" i="5" s="1"/>
  <c r="CN93" i="5" s="1"/>
  <c r="CN115" i="5" l="1"/>
  <c r="CN116" i="5" s="1"/>
  <c r="CN92" i="5"/>
  <c r="CS114" i="5"/>
  <c r="CS117" i="5" s="1"/>
  <c r="CS92" i="5" l="1"/>
  <c r="CS115" i="5"/>
  <c r="CS116" i="5" s="1"/>
  <c r="CS93" i="5"/>
  <c r="CX114" i="5"/>
  <c r="CX92" i="5" l="1"/>
  <c r="CX117" i="5"/>
  <c r="CX93" i="5" s="1"/>
  <c r="CX115" i="5"/>
  <c r="CX116" i="5" s="1"/>
  <c r="AJ99" i="5"/>
  <c r="AG90" i="5" l="1"/>
  <c r="AK109" i="5"/>
  <c r="AK90" i="5" l="1"/>
  <c r="AJ97" i="5"/>
  <c r="AJ123" i="5" l="1"/>
  <c r="AJ125" i="5" s="1"/>
  <c r="AJ98" i="5" l="1"/>
  <c r="AJ89" i="5"/>
  <c r="AJ94" i="5" s="1"/>
  <c r="AJ100" i="5" s="1"/>
  <c r="AG99" i="5" l="1"/>
  <c r="AK122" i="5"/>
  <c r="AK99" i="5" s="1"/>
  <c r="AM132" i="5" l="1"/>
  <c r="AN132" i="5"/>
  <c r="AO132" i="5"/>
  <c r="AM142" i="5"/>
  <c r="AN142" i="5"/>
  <c r="AO142" i="5"/>
  <c r="AR142" i="5"/>
  <c r="AS142" i="5"/>
  <c r="AT142" i="5"/>
  <c r="AQ142" i="5" l="1"/>
  <c r="AL142" i="5"/>
  <c r="AL132" i="5"/>
  <c r="AL69" i="5"/>
  <c r="AL133" i="5" s="1"/>
  <c r="AM69" i="5"/>
  <c r="AM74" i="5" s="1"/>
  <c r="AN69" i="5"/>
  <c r="AN74" i="5" s="1"/>
  <c r="AO69" i="5"/>
  <c r="AO74" i="5" s="1"/>
  <c r="AL131" i="5"/>
  <c r="AM131" i="5"/>
  <c r="AN131" i="5"/>
  <c r="AO131" i="5"/>
  <c r="AL141" i="5"/>
  <c r="AM141" i="5"/>
  <c r="AN141" i="5"/>
  <c r="AO141" i="5"/>
  <c r="AQ141" i="5"/>
  <c r="AR141" i="5"/>
  <c r="AS141" i="5"/>
  <c r="AT141" i="5"/>
  <c r="AL74" i="5" l="1"/>
  <c r="AL75" i="5" s="1"/>
  <c r="AQ143" i="5"/>
  <c r="AL143" i="5"/>
  <c r="AO134" i="5"/>
  <c r="AT144" i="5"/>
  <c r="AO75" i="5"/>
  <c r="AO77" i="5" s="1"/>
  <c r="AO144" i="5"/>
  <c r="AO143" i="5"/>
  <c r="AO133" i="5"/>
  <c r="AT143" i="5"/>
  <c r="AN143" i="5"/>
  <c r="AS143" i="5"/>
  <c r="AN133" i="5"/>
  <c r="AM75" i="5"/>
  <c r="AM77" i="5" s="1"/>
  <c r="AM134" i="5"/>
  <c r="AR144" i="5"/>
  <c r="AM144" i="5"/>
  <c r="AR143" i="5"/>
  <c r="AM143" i="5"/>
  <c r="AM133" i="5"/>
  <c r="AL77" i="5"/>
  <c r="AN134" i="5"/>
  <c r="AN144" i="5"/>
  <c r="AS144" i="5"/>
  <c r="AN75" i="5"/>
  <c r="AN77" i="5" s="1"/>
  <c r="AL144" i="5" l="1"/>
  <c r="AL134" i="5"/>
  <c r="AQ144" i="5"/>
  <c r="AO145" i="5"/>
  <c r="AO80" i="5"/>
  <c r="AO135" i="5"/>
  <c r="AT145" i="5"/>
  <c r="AM80" i="5"/>
  <c r="AM135" i="5"/>
  <c r="AR145" i="5"/>
  <c r="AM145" i="5"/>
  <c r="AL80" i="5"/>
  <c r="AL135" i="5"/>
  <c r="AQ145" i="5"/>
  <c r="AL145" i="5"/>
  <c r="AS145" i="5"/>
  <c r="AN80" i="5"/>
  <c r="AN135" i="5"/>
  <c r="AN145" i="5"/>
  <c r="AT146" i="5" l="1"/>
  <c r="AO146" i="5"/>
  <c r="AM146" i="5"/>
  <c r="AR146" i="5"/>
  <c r="AQ146" i="5"/>
  <c r="AL146" i="5"/>
  <c r="AN146" i="5"/>
  <c r="AS146" i="5"/>
  <c r="K17" i="52" l="1"/>
  <c r="J17" i="52"/>
  <c r="K5" i="52"/>
  <c r="K41" i="52" s="1"/>
  <c r="J41" i="52"/>
  <c r="AI82" i="46" s="1"/>
  <c r="AI83" i="46" s="1"/>
  <c r="Z48" i="30"/>
  <c r="Z49" i="30" s="1"/>
  <c r="P195" i="45" l="1"/>
  <c r="P196" i="45" s="1"/>
  <c r="AU87" i="48"/>
  <c r="AU88" i="48" s="1"/>
  <c r="BO87" i="15"/>
  <c r="BO88" i="15" s="1"/>
  <c r="AA48" i="30"/>
  <c r="AA49" i="30" s="1"/>
  <c r="AJ82" i="46"/>
  <c r="AJ83" i="46" s="1"/>
  <c r="L5" i="52"/>
  <c r="AT87" i="48"/>
  <c r="AT88" i="48" s="1"/>
  <c r="O195" i="45"/>
  <c r="BN87" i="15"/>
  <c r="BN88" i="15" l="1"/>
  <c r="O196" i="45"/>
  <c r="M5" i="52"/>
  <c r="L17" i="52"/>
  <c r="L41" i="52"/>
  <c r="BP87" i="15" l="1"/>
  <c r="AK82" i="46"/>
  <c r="AK83" i="46" s="1"/>
  <c r="Q195" i="45"/>
  <c r="AV87" i="48"/>
  <c r="AV88" i="48" s="1"/>
  <c r="AB48" i="30"/>
  <c r="AB49" i="30" s="1"/>
  <c r="N5" i="52"/>
  <c r="M17" i="52"/>
  <c r="M41" i="52"/>
  <c r="Q196" i="45" l="1"/>
  <c r="N41" i="52"/>
  <c r="N17" i="52"/>
  <c r="O5" i="52"/>
  <c r="R195" i="45"/>
  <c r="R196" i="45" s="1"/>
  <c r="AL82" i="46"/>
  <c r="AL83" i="46" s="1"/>
  <c r="AW87" i="48"/>
  <c r="AW88" i="48" s="1"/>
  <c r="AC48" i="30"/>
  <c r="AC49" i="30" s="1"/>
  <c r="BQ87" i="15"/>
  <c r="BQ88" i="15" s="1"/>
  <c r="BP88" i="15"/>
  <c r="AD48" i="30" l="1"/>
  <c r="AD49" i="30" s="1"/>
  <c r="S195" i="45"/>
  <c r="AX87" i="48"/>
  <c r="AX88" i="48" s="1"/>
  <c r="AM82" i="46"/>
  <c r="AM83" i="46" s="1"/>
  <c r="BR87" i="15"/>
  <c r="O17" i="52"/>
  <c r="O41" i="52"/>
  <c r="P5" i="52"/>
  <c r="P17" i="52" l="1"/>
  <c r="Q5" i="52"/>
  <c r="P41" i="52"/>
  <c r="T195" i="45"/>
  <c r="AN82" i="46"/>
  <c r="AN83" i="46" s="1"/>
  <c r="BS87" i="15"/>
  <c r="BS88" i="15" s="1"/>
  <c r="AY87" i="48"/>
  <c r="AY88" i="48" s="1"/>
  <c r="AE48" i="30"/>
  <c r="AE49" i="30" s="1"/>
  <c r="S196" i="45"/>
  <c r="BR88" i="15"/>
  <c r="T196" i="45" l="1"/>
  <c r="Q17" i="52"/>
  <c r="R5" i="52"/>
  <c r="Q41" i="52"/>
  <c r="BT87" i="15"/>
  <c r="AF48" i="30"/>
  <c r="AF49" i="30" s="1"/>
  <c r="AZ87" i="48"/>
  <c r="AZ88" i="48" s="1"/>
  <c r="AO82" i="46"/>
  <c r="AO83" i="46" s="1"/>
  <c r="U195" i="45"/>
  <c r="U196" i="45" l="1"/>
  <c r="R17" i="52"/>
  <c r="C19" i="52" s="1"/>
  <c r="R41" i="52"/>
  <c r="BT88" i="15"/>
  <c r="X195" i="45"/>
  <c r="F227" i="45" s="1"/>
  <c r="V195" i="45"/>
  <c r="AP82" i="46"/>
  <c r="AP83" i="46" s="1"/>
  <c r="AG48" i="30"/>
  <c r="AG49" i="30" s="1"/>
  <c r="BU87" i="15"/>
  <c r="BU88" i="15" s="1"/>
  <c r="BA87" i="48"/>
  <c r="BA88" i="48" s="1"/>
  <c r="F220" i="45" l="1"/>
  <c r="E13" i="59"/>
  <c r="AA66" i="54"/>
  <c r="J109" i="47"/>
  <c r="V196" i="45"/>
  <c r="F197" i="45" s="1"/>
  <c r="G8" i="59" s="1"/>
  <c r="I68" i="34"/>
  <c r="BV87" i="15"/>
  <c r="BV88" i="15" s="1"/>
  <c r="BE89" i="15" s="1"/>
  <c r="G6" i="59" s="1"/>
  <c r="W195" i="45"/>
  <c r="BB87" i="48"/>
  <c r="BB88" i="48" s="1"/>
  <c r="AK89" i="48" s="1"/>
  <c r="G7" i="59" s="1"/>
  <c r="AH48" i="30"/>
  <c r="AH49" i="30" s="1"/>
  <c r="S51" i="30" s="1"/>
  <c r="G10" i="59" s="1"/>
  <c r="AQ82" i="46"/>
  <c r="AQ83" i="46" s="1"/>
  <c r="Z84" i="46" s="1"/>
  <c r="G9" i="59" s="1"/>
  <c r="H9" i="59" l="1"/>
  <c r="H6" i="59"/>
  <c r="G11" i="59"/>
  <c r="AA56" i="54"/>
  <c r="E18" i="59"/>
  <c r="H10" i="59"/>
  <c r="E16" i="59"/>
  <c r="I60" i="34"/>
  <c r="H7" i="59"/>
  <c r="H8" i="59"/>
  <c r="E17" i="59"/>
  <c r="J101" i="47"/>
  <c r="C33" i="52" l="1"/>
  <c r="H11" i="59"/>
  <c r="AG97" i="5" l="1"/>
  <c r="AH97" i="5"/>
  <c r="AI97" i="5"/>
  <c r="AK120" i="5"/>
  <c r="AK97" i="5" s="1"/>
  <c r="AI98" i="5"/>
  <c r="AI123" i="5"/>
  <c r="AI125" i="5" l="1"/>
  <c r="AI89" i="5"/>
  <c r="AI94" i="5" s="1"/>
  <c r="AI100" i="5" s="1"/>
  <c r="AH98" i="5"/>
  <c r="AH123" i="5"/>
  <c r="AH89" i="5" s="1"/>
  <c r="AH94" i="5" s="1"/>
  <c r="AH100" i="5" s="1"/>
  <c r="AH125" i="5" l="1"/>
  <c r="AG98" i="5"/>
  <c r="AG123" i="5"/>
  <c r="AG125" i="5" s="1"/>
  <c r="AK121" i="5"/>
  <c r="AK98" i="5" s="1"/>
  <c r="AK123" i="5"/>
  <c r="J45" i="50" s="1"/>
  <c r="J19" i="51"/>
  <c r="AG89" i="5" l="1"/>
  <c r="AG94" i="5" s="1"/>
  <c r="AG100" i="5" s="1"/>
  <c r="J46" i="50"/>
  <c r="J39" i="51"/>
  <c r="J42" i="51" s="1"/>
  <c r="J32" i="50"/>
  <c r="J34" i="50" s="1"/>
  <c r="AK125" i="5"/>
  <c r="AK89" i="5"/>
  <c r="AK94" i="5" s="1"/>
  <c r="AK100" i="5" s="1"/>
  <c r="K40" i="51" l="1"/>
  <c r="J44" i="51"/>
  <c r="J10" i="50" l="1"/>
  <c r="J15" i="50" s="1"/>
  <c r="J36" i="50" s="1"/>
  <c r="AP154" i="5"/>
  <c r="AP156" i="5" s="1"/>
  <c r="AP110" i="5" s="1"/>
  <c r="AL110" i="5" l="1"/>
  <c r="AL109" i="5" s="1"/>
  <c r="AL123" i="5" s="1"/>
  <c r="AL125" i="5" s="1"/>
  <c r="AM110" i="5"/>
  <c r="AM109" i="5" s="1"/>
  <c r="AM123" i="5" s="1"/>
  <c r="AM125" i="5" s="1"/>
  <c r="AN110" i="5"/>
  <c r="AN109" i="5" s="1"/>
  <c r="AN123" i="5" s="1"/>
  <c r="AN125" i="5" s="1"/>
  <c r="AP109" i="5"/>
  <c r="AP90" i="5" l="1"/>
  <c r="AP123" i="5"/>
  <c r="AO110" i="5"/>
  <c r="AO109" i="5" s="1"/>
  <c r="AO123" i="5" s="1"/>
  <c r="AO125" i="5" s="1"/>
  <c r="AP89" i="5" l="1"/>
  <c r="AP94" i="5" s="1"/>
  <c r="AP100" i="5" s="1"/>
  <c r="AP125" i="5"/>
  <c r="K45" i="50"/>
  <c r="K30" i="50" s="1"/>
  <c r="K6" i="51" l="1"/>
  <c r="K19" i="51" s="1"/>
  <c r="K32" i="50" l="1"/>
  <c r="K34" i="50" s="1"/>
  <c r="K46" i="50"/>
  <c r="K39" i="51"/>
  <c r="K42" i="51" s="1"/>
  <c r="K44" i="51" l="1"/>
  <c r="K5" i="50"/>
  <c r="L40" i="51"/>
  <c r="C20" i="52" l="1"/>
  <c r="C21" i="52" s="1"/>
  <c r="C22" i="52" s="1"/>
  <c r="K10" i="50"/>
  <c r="K15" i="50" s="1"/>
  <c r="K36" i="50" s="1"/>
  <c r="AU154" i="5"/>
  <c r="AU156" i="5" s="1"/>
  <c r="AU110" i="5" s="1"/>
  <c r="AU109" i="5" s="1"/>
  <c r="W3" i="30" l="1"/>
  <c r="AE3" i="54"/>
  <c r="M3" i="47"/>
  <c r="G23" i="59"/>
  <c r="L3" i="34"/>
  <c r="AU123" i="5"/>
  <c r="AU90" i="5"/>
  <c r="AU125" i="5" l="1"/>
  <c r="L45" i="50"/>
  <c r="L30" i="50" s="1"/>
  <c r="AU89" i="5"/>
  <c r="AU94" i="5" s="1"/>
  <c r="AU100" i="5" s="1"/>
  <c r="F14" i="59"/>
  <c r="F19" i="59"/>
  <c r="F16" i="59"/>
  <c r="G21" i="59"/>
  <c r="F21" i="59" s="1"/>
  <c r="F10" i="59"/>
  <c r="F6" i="59"/>
  <c r="F8" i="59"/>
  <c r="F17" i="59"/>
  <c r="F9" i="59"/>
  <c r="F7" i="59"/>
  <c r="F18" i="59"/>
  <c r="F13" i="59"/>
  <c r="F11" i="59"/>
  <c r="L6" i="51" l="1"/>
  <c r="L19" i="51" s="1"/>
  <c r="L32" i="50" l="1"/>
  <c r="L34" i="50" s="1"/>
  <c r="L46" i="50"/>
  <c r="L39" i="51"/>
  <c r="L42" i="51" s="1"/>
  <c r="L44" i="51" l="1"/>
  <c r="M40" i="51"/>
  <c r="L5" i="50"/>
  <c r="AZ154" i="5" l="1"/>
  <c r="AZ156" i="5" s="1"/>
  <c r="AZ110" i="5" s="1"/>
  <c r="AZ109" i="5" s="1"/>
  <c r="L10" i="50"/>
  <c r="L15" i="50" s="1"/>
  <c r="L36" i="50" s="1"/>
  <c r="AZ90" i="5" l="1"/>
  <c r="AZ123" i="5"/>
  <c r="AZ125" i="5" l="1"/>
  <c r="AZ89" i="5"/>
  <c r="AZ94" i="5" s="1"/>
  <c r="AZ100" i="5" s="1"/>
  <c r="M45" i="50"/>
  <c r="M30" i="50" s="1"/>
  <c r="M6" i="51" l="1"/>
  <c r="M19" i="51" s="1"/>
  <c r="M46" i="50" l="1"/>
  <c r="M39" i="51"/>
  <c r="M42" i="51" s="1"/>
  <c r="M32" i="50"/>
  <c r="M34" i="50" s="1"/>
  <c r="M44" i="51" l="1"/>
  <c r="N40" i="51"/>
  <c r="M5" i="50"/>
  <c r="M10" i="50" l="1"/>
  <c r="M15" i="50" s="1"/>
  <c r="M36" i="50" s="1"/>
  <c r="BE154" i="5"/>
  <c r="BE156" i="5" s="1"/>
  <c r="BE110" i="5" s="1"/>
  <c r="BE109" i="5" s="1"/>
  <c r="BE90" i="5" l="1"/>
  <c r="BE123" i="5"/>
  <c r="BE125" i="5" l="1"/>
  <c r="BE89" i="5"/>
  <c r="BE94" i="5" s="1"/>
  <c r="BE100" i="5" s="1"/>
  <c r="N45" i="50"/>
  <c r="N30" i="50" s="1"/>
  <c r="N6" i="51" l="1"/>
  <c r="N19" i="51" s="1"/>
  <c r="N46" i="50" l="1"/>
  <c r="N39" i="51"/>
  <c r="N42" i="51" s="1"/>
  <c r="N32" i="50"/>
  <c r="N34" i="50" s="1"/>
  <c r="O40" i="51" l="1"/>
  <c r="N44" i="51"/>
  <c r="N5" i="50"/>
  <c r="N10" i="50" l="1"/>
  <c r="N15" i="50" s="1"/>
  <c r="N36" i="50" s="1"/>
  <c r="BJ154" i="5"/>
  <c r="BJ156" i="5" s="1"/>
  <c r="BJ110" i="5" s="1"/>
  <c r="BJ109" i="5" s="1"/>
  <c r="BJ123" i="5" l="1"/>
  <c r="BJ90" i="5"/>
  <c r="O45" i="50" l="1"/>
  <c r="O30" i="50" s="1"/>
  <c r="BJ89" i="5"/>
  <c r="BJ94" i="5" s="1"/>
  <c r="BJ100" i="5" s="1"/>
  <c r="BJ125" i="5"/>
  <c r="O6" i="51" l="1"/>
  <c r="O19" i="51" s="1"/>
  <c r="O32" i="50" l="1"/>
  <c r="O34" i="50" s="1"/>
  <c r="O46" i="50"/>
  <c r="O39" i="51"/>
  <c r="O42" i="51" s="1"/>
  <c r="O44" i="51" l="1"/>
  <c r="P40" i="51"/>
  <c r="O5" i="50"/>
  <c r="O10" i="50" l="1"/>
  <c r="O15" i="50" s="1"/>
  <c r="O36" i="50" s="1"/>
  <c r="BO154" i="5"/>
  <c r="BO156" i="5" s="1"/>
  <c r="BO110" i="5" s="1"/>
  <c r="BO109" i="5" s="1"/>
  <c r="BO123" i="5" l="1"/>
  <c r="BO90" i="5"/>
  <c r="BO89" i="5" l="1"/>
  <c r="BO94" i="5" s="1"/>
  <c r="BO100" i="5" s="1"/>
  <c r="BO125" i="5"/>
  <c r="P45" i="50"/>
  <c r="P30" i="50" s="1"/>
  <c r="P6" i="51" l="1"/>
  <c r="P19" i="51" s="1"/>
  <c r="P32" i="50" l="1"/>
  <c r="P34" i="50" s="1"/>
  <c r="P46" i="50"/>
  <c r="P39" i="51"/>
  <c r="P42" i="51" s="1"/>
  <c r="P44" i="51" l="1"/>
  <c r="P5" i="50"/>
  <c r="Q40" i="51"/>
  <c r="P10" i="50" l="1"/>
  <c r="P15" i="50" s="1"/>
  <c r="P36" i="50" s="1"/>
  <c r="BT154" i="5"/>
  <c r="BT156" i="5" s="1"/>
  <c r="BT110" i="5" s="1"/>
  <c r="BT109" i="5" s="1"/>
  <c r="BT90" i="5" l="1"/>
  <c r="BT123" i="5"/>
  <c r="BT125" i="5" l="1"/>
  <c r="BT89" i="5"/>
  <c r="BT94" i="5" s="1"/>
  <c r="BT100" i="5" s="1"/>
  <c r="Q45" i="50"/>
  <c r="Q30" i="50" s="1"/>
  <c r="Q6" i="51" l="1"/>
  <c r="Q19" i="51" s="1"/>
  <c r="Q32" i="50" l="1"/>
  <c r="Q34" i="50" s="1"/>
  <c r="Q39" i="51"/>
  <c r="Q42" i="51" s="1"/>
  <c r="Q46" i="50"/>
  <c r="R40" i="51" l="1"/>
  <c r="Q5" i="50"/>
  <c r="Q44" i="51"/>
  <c r="BY154" i="5" l="1"/>
  <c r="BY156" i="5" s="1"/>
  <c r="BY110" i="5" s="1"/>
  <c r="BY109" i="5" s="1"/>
  <c r="Q10" i="50"/>
  <c r="Q15" i="50" s="1"/>
  <c r="Q36" i="50" s="1"/>
  <c r="BY123" i="5" l="1"/>
  <c r="BY90" i="5"/>
  <c r="R45" i="50" l="1"/>
  <c r="R30" i="50" s="1"/>
  <c r="BY125" i="5"/>
  <c r="BY89" i="5"/>
  <c r="BY94" i="5" s="1"/>
  <c r="BY100" i="5" s="1"/>
  <c r="R6" i="51" l="1"/>
  <c r="R19" i="51" s="1"/>
  <c r="R39" i="51" l="1"/>
  <c r="R42" i="51" s="1"/>
  <c r="R46" i="50"/>
  <c r="R32" i="50"/>
  <c r="R34" i="50" s="1"/>
  <c r="R44" i="51" l="1"/>
  <c r="S40" i="51"/>
  <c r="R5" i="50"/>
  <c r="R10" i="50" l="1"/>
  <c r="R15" i="50" s="1"/>
  <c r="R36" i="50" s="1"/>
  <c r="CD154" i="5"/>
  <c r="CD156" i="5" s="1"/>
  <c r="CD110" i="5" s="1"/>
  <c r="CD109" i="5" s="1"/>
  <c r="CD90" i="5" l="1"/>
  <c r="CD123" i="5"/>
  <c r="CD125" i="5" l="1"/>
  <c r="CD89" i="5"/>
  <c r="CD94" i="5" s="1"/>
  <c r="CD100" i="5" s="1"/>
  <c r="S45" i="50"/>
  <c r="S30" i="50" s="1"/>
  <c r="S6" i="51" l="1"/>
  <c r="S19" i="51" s="1"/>
  <c r="S32" i="50" l="1"/>
  <c r="S34" i="50" s="1"/>
  <c r="S39" i="51"/>
  <c r="S42" i="51" s="1"/>
  <c r="S46" i="50"/>
  <c r="S44" i="51" l="1"/>
  <c r="S5" i="50"/>
  <c r="T40" i="51"/>
  <c r="S10" i="50" l="1"/>
  <c r="S15" i="50" s="1"/>
  <c r="S36" i="50" s="1"/>
  <c r="CI154" i="5"/>
  <c r="CI156" i="5" s="1"/>
  <c r="CI110" i="5" s="1"/>
  <c r="CI109" i="5" s="1"/>
  <c r="CI123" i="5" l="1"/>
  <c r="CI90" i="5"/>
  <c r="CI89" i="5" l="1"/>
  <c r="CI94" i="5" s="1"/>
  <c r="CI100" i="5" s="1"/>
  <c r="T45" i="50"/>
  <c r="T30" i="50" s="1"/>
  <c r="CI125" i="5"/>
  <c r="T6" i="51" l="1"/>
  <c r="T19" i="51" s="1"/>
  <c r="T46" i="50" l="1"/>
  <c r="T39" i="51"/>
  <c r="T42" i="51" s="1"/>
  <c r="T32" i="50"/>
  <c r="T34" i="50" s="1"/>
  <c r="T44" i="51" l="1"/>
  <c r="U40" i="51"/>
  <c r="T5" i="50"/>
  <c r="T10" i="50" l="1"/>
  <c r="T15" i="50" s="1"/>
  <c r="T36" i="50" s="1"/>
  <c r="CN154" i="5"/>
  <c r="CN156" i="5" s="1"/>
  <c r="CN110" i="5" s="1"/>
  <c r="CN109" i="5" s="1"/>
  <c r="CN90" i="5" l="1"/>
  <c r="CN123" i="5"/>
  <c r="CN125" i="5" l="1"/>
  <c r="CN89" i="5"/>
  <c r="CN94" i="5" s="1"/>
  <c r="CN100" i="5" s="1"/>
  <c r="U45" i="50"/>
  <c r="U30" i="50" s="1"/>
  <c r="U6" i="51" l="1"/>
  <c r="U19" i="51" s="1"/>
  <c r="U39" i="51" l="1"/>
  <c r="U42" i="51" s="1"/>
  <c r="U46" i="50"/>
  <c r="U32" i="50"/>
  <c r="U34" i="50" s="1"/>
  <c r="V40" i="51" l="1"/>
  <c r="U44" i="51"/>
  <c r="U5" i="50"/>
  <c r="CS154" i="5" l="1"/>
  <c r="CS156" i="5" s="1"/>
  <c r="CS110" i="5" s="1"/>
  <c r="CS109" i="5" s="1"/>
  <c r="U10" i="50"/>
  <c r="U15" i="50" s="1"/>
  <c r="U36" i="50" s="1"/>
  <c r="CS90" i="5" l="1"/>
  <c r="CS123" i="5"/>
  <c r="CS125" i="5" l="1"/>
  <c r="V45" i="50"/>
  <c r="V30" i="50" s="1"/>
  <c r="CS89" i="5"/>
  <c r="CS94" i="5" s="1"/>
  <c r="CS100" i="5" s="1"/>
  <c r="V6" i="51" l="1"/>
  <c r="V19" i="51" s="1"/>
  <c r="V32" i="50" l="1"/>
  <c r="V34" i="50" s="1"/>
  <c r="V39" i="51"/>
  <c r="V42" i="51" s="1"/>
  <c r="V46" i="50"/>
  <c r="V44" i="51" l="1"/>
  <c r="W40" i="51"/>
  <c r="V5" i="50"/>
  <c r="V10" i="50" l="1"/>
  <c r="V15" i="50" s="1"/>
  <c r="V36" i="50" s="1"/>
  <c r="CX154" i="5"/>
  <c r="CX156" i="5" s="1"/>
  <c r="CX110" i="5" s="1"/>
  <c r="CX109" i="5" s="1"/>
  <c r="CX123" i="5" l="1"/>
  <c r="CX90" i="5"/>
  <c r="W45" i="50" l="1"/>
  <c r="W30" i="50" s="1"/>
  <c r="CX125" i="5"/>
  <c r="CX89" i="5"/>
  <c r="CX94" i="5" s="1"/>
  <c r="CX100" i="5" s="1"/>
  <c r="W6" i="51" l="1"/>
  <c r="W19" i="51" s="1"/>
  <c r="W32" i="50"/>
  <c r="W34" i="50" s="1"/>
  <c r="W39" i="51" l="1"/>
  <c r="W42" i="51" s="1"/>
  <c r="W46" i="50"/>
  <c r="W5" i="50" l="1"/>
  <c r="W10" i="50" s="1"/>
  <c r="W15" i="50" s="1"/>
  <c r="W36" i="50" s="1"/>
  <c r="W44" i="51"/>
  <c r="J74" i="50" l="1"/>
  <c r="K70" i="50"/>
  <c r="K75" i="50"/>
  <c r="L70" i="50" s="1"/>
  <c r="L75" i="50" s="1"/>
  <c r="M70" i="50" s="1"/>
  <c r="M75" i="50" s="1"/>
  <c r="N70" i="50" s="1"/>
  <c r="N75" i="50" s="1"/>
  <c r="O70" i="50" s="1"/>
  <c r="O75" i="50" s="1"/>
  <c r="P70" i="50" s="1"/>
  <c r="P75" i="50" s="1"/>
  <c r="Q70" i="50" s="1"/>
  <c r="Q75" i="50" s="1"/>
  <c r="R70" i="50" s="1"/>
  <c r="R75" i="50" s="1"/>
  <c r="S70" i="50" s="1"/>
  <c r="S75" i="50" s="1"/>
  <c r="T70" i="50" s="1"/>
  <c r="T75" i="50" s="1"/>
  <c r="U70" i="50" s="1"/>
  <c r="U75" i="50" s="1"/>
  <c r="V70" i="50" s="1"/>
  <c r="V75" i="50" s="1"/>
  <c r="W70" i="50" s="1"/>
  <c r="W75" i="50" s="1"/>
</calcChain>
</file>

<file path=xl/comments1.xml><?xml version="1.0" encoding="utf-8"?>
<comments xmlns="http://schemas.openxmlformats.org/spreadsheetml/2006/main">
  <authors>
    <author>Jacob, Abey (Research)</author>
    <author>Mendiratta, Divya (Research)</author>
  </authors>
  <commentList>
    <comment ref="R66" authorId="0">
      <text>
        <r>
          <rPr>
            <sz val="9"/>
            <color indexed="81"/>
            <rFont val="Tahoma"/>
            <family val="2"/>
          </rPr>
          <t xml:space="preserve">Adjusted for:
-$2.7 million gain on early lease termination of our SRCC lease resulting from the recognition of the remaining deferred rent and asset retirement liabilities upon acquisition of the SRCC, which is where our corporate headquarters are located
</t>
        </r>
      </text>
    </comment>
    <comment ref="M68" authorId="1">
      <text>
        <r>
          <rPr>
            <sz val="9"/>
            <color indexed="81"/>
            <rFont val="Tahoma"/>
            <family val="2"/>
          </rPr>
          <t xml:space="preserve">Adjusted for Contingent consideration expense: $4.8mn
</t>
        </r>
      </text>
    </comment>
    <comment ref="N68" authorId="1">
      <text>
        <r>
          <rPr>
            <sz val="9"/>
            <color indexed="81"/>
            <rFont val="Tahoma"/>
            <family val="2"/>
          </rPr>
          <t xml:space="preserve">Adjusted for Contingent consideration expense: $3.8mn
</t>
        </r>
      </text>
    </comment>
    <comment ref="O68" authorId="1">
      <text>
        <r>
          <rPr>
            <sz val="9"/>
            <color indexed="81"/>
            <rFont val="Tahoma"/>
            <family val="2"/>
          </rPr>
          <t xml:space="preserve">Adjusted for Contingent consideration expense: $8.8mn
</t>
        </r>
      </text>
    </comment>
    <comment ref="P68" authorId="1">
      <text>
        <r>
          <rPr>
            <sz val="9"/>
            <color indexed="81"/>
            <rFont val="Tahoma"/>
            <family val="2"/>
          </rPr>
          <t xml:space="preserve">Adjusted for Contingent consideration expense: $4.6mn
</t>
        </r>
      </text>
    </comment>
    <comment ref="R68" authorId="0">
      <text>
        <r>
          <rPr>
            <sz val="9"/>
            <color indexed="81"/>
            <rFont val="Tahoma"/>
            <family val="2"/>
          </rPr>
          <t xml:space="preserve">Adjusted for Contingent consideration: $8.1mn
</t>
        </r>
      </text>
    </comment>
    <comment ref="M122" authorId="1">
      <text>
        <r>
          <rPr>
            <sz val="9"/>
            <color indexed="81"/>
            <rFont val="Tahoma"/>
            <family val="2"/>
          </rPr>
          <t xml:space="preserve">Debt conversion expense 
</t>
        </r>
      </text>
    </comment>
    <comment ref="O122" authorId="1">
      <text>
        <r>
          <rPr>
            <sz val="9"/>
            <color indexed="81"/>
            <rFont val="Tahoma"/>
            <family val="2"/>
          </rPr>
          <t xml:space="preserve">Debt conversion expense 
</t>
        </r>
      </text>
    </comment>
    <comment ref="P122" authorId="1">
      <text>
        <r>
          <rPr>
            <sz val="9"/>
            <color indexed="81"/>
            <rFont val="Tahoma"/>
            <family val="2"/>
          </rPr>
          <t xml:space="preserve">Debt conversion expense 
</t>
        </r>
      </text>
    </comment>
    <comment ref="T122" authorId="1">
      <text>
        <r>
          <rPr>
            <sz val="9"/>
            <color indexed="81"/>
            <rFont val="Tahoma"/>
            <family val="2"/>
          </rPr>
          <t>Gain on Sale of Intangible asset</t>
        </r>
      </text>
    </comment>
    <comment ref="W122" authorId="1">
      <text>
        <r>
          <rPr>
            <sz val="9"/>
            <color indexed="81"/>
            <rFont val="Tahoma"/>
            <family val="2"/>
          </rPr>
          <t xml:space="preserve">Acquisition expenses
</t>
        </r>
      </text>
    </comment>
    <comment ref="Z122" authorId="1">
      <text>
        <r>
          <rPr>
            <sz val="9"/>
            <color indexed="81"/>
            <rFont val="Tahoma"/>
            <family val="2"/>
          </rPr>
          <t>Gain on Sale of Intangible asset</t>
        </r>
      </text>
    </comment>
  </commentList>
</comments>
</file>

<file path=xl/comments2.xml><?xml version="1.0" encoding="utf-8"?>
<comments xmlns="http://schemas.openxmlformats.org/spreadsheetml/2006/main">
  <authors>
    <author>Lebowitz, David (Research)</author>
  </authors>
  <commentList>
    <comment ref="M130" authorId="0">
      <text>
        <r>
          <rPr>
            <b/>
            <sz val="9"/>
            <color indexed="81"/>
            <rFont val="Tahoma"/>
            <family val="2"/>
          </rPr>
          <t xml:space="preserve">Implied by published numbers
</t>
        </r>
      </text>
    </comment>
    <comment ref="O130" authorId="0">
      <text>
        <r>
          <rPr>
            <b/>
            <sz val="9"/>
            <color indexed="81"/>
            <rFont val="Tahoma"/>
            <family val="2"/>
          </rPr>
          <t xml:space="preserve">Guestimate
</t>
        </r>
      </text>
    </comment>
    <comment ref="P130" authorId="0">
      <text>
        <r>
          <rPr>
            <b/>
            <sz val="9"/>
            <color indexed="81"/>
            <rFont val="Tahoma"/>
            <family val="2"/>
          </rPr>
          <t xml:space="preserve">Guestimate
</t>
        </r>
      </text>
    </comment>
    <comment ref="R130" authorId="0">
      <text>
        <r>
          <rPr>
            <b/>
            <sz val="9"/>
            <color indexed="81"/>
            <rFont val="Tahoma"/>
            <family val="2"/>
          </rPr>
          <t xml:space="preserve">Implied by published numbers
</t>
        </r>
      </text>
    </comment>
    <comment ref="M138" authorId="0">
      <text>
        <r>
          <rPr>
            <b/>
            <sz val="9"/>
            <color indexed="81"/>
            <rFont val="Tahoma"/>
            <family val="2"/>
          </rPr>
          <t xml:space="preserve">Implied by published numbers
</t>
        </r>
      </text>
    </comment>
    <comment ref="O138" authorId="0">
      <text>
        <r>
          <rPr>
            <b/>
            <sz val="9"/>
            <color indexed="81"/>
            <rFont val="Tahoma"/>
            <family val="2"/>
          </rPr>
          <t xml:space="preserve">Guestimate
</t>
        </r>
      </text>
    </comment>
    <comment ref="P138" authorId="0">
      <text>
        <r>
          <rPr>
            <b/>
            <sz val="9"/>
            <color indexed="81"/>
            <rFont val="Tahoma"/>
            <family val="2"/>
          </rPr>
          <t xml:space="preserve">Guestimate
</t>
        </r>
      </text>
    </comment>
    <comment ref="R138" authorId="0">
      <text>
        <r>
          <rPr>
            <b/>
            <sz val="9"/>
            <color indexed="81"/>
            <rFont val="Tahoma"/>
            <family val="2"/>
          </rPr>
          <t xml:space="preserve">Implied by published numbers
</t>
        </r>
      </text>
    </comment>
    <comment ref="M146" authorId="0">
      <text>
        <r>
          <rPr>
            <b/>
            <sz val="9"/>
            <color indexed="81"/>
            <rFont val="Tahoma"/>
            <family val="2"/>
          </rPr>
          <t xml:space="preserve">Implied by published numbers
</t>
        </r>
      </text>
    </comment>
    <comment ref="O146" authorId="0">
      <text>
        <r>
          <rPr>
            <b/>
            <sz val="9"/>
            <color indexed="81"/>
            <rFont val="Tahoma"/>
            <family val="2"/>
          </rPr>
          <t xml:space="preserve">Guestimate
</t>
        </r>
      </text>
    </comment>
    <comment ref="P146" authorId="0">
      <text>
        <r>
          <rPr>
            <b/>
            <sz val="9"/>
            <color indexed="81"/>
            <rFont val="Tahoma"/>
            <family val="2"/>
          </rPr>
          <t xml:space="preserve">Guestimate
</t>
        </r>
      </text>
    </comment>
    <comment ref="R146" authorId="0">
      <text>
        <r>
          <rPr>
            <b/>
            <sz val="9"/>
            <color indexed="81"/>
            <rFont val="Tahoma"/>
            <family val="2"/>
          </rPr>
          <t xml:space="preserve">Implied by published numbers
</t>
        </r>
      </text>
    </comment>
    <comment ref="T146" authorId="0">
      <text>
        <r>
          <rPr>
            <b/>
            <sz val="9"/>
            <color indexed="81"/>
            <rFont val="Tahoma"/>
            <family val="2"/>
          </rPr>
          <t xml:space="preserve">Guestimate
</t>
        </r>
      </text>
    </comment>
    <comment ref="U146" authorId="0">
      <text>
        <r>
          <rPr>
            <b/>
            <sz val="9"/>
            <color indexed="81"/>
            <rFont val="Tahoma"/>
            <family val="2"/>
          </rPr>
          <t xml:space="preserve">Guestimate
</t>
        </r>
      </text>
    </comment>
    <comment ref="M152" authorId="0">
      <text>
        <r>
          <rPr>
            <b/>
            <sz val="9"/>
            <color indexed="81"/>
            <rFont val="Tahoma"/>
            <family val="2"/>
          </rPr>
          <t xml:space="preserve">Implied by published numbers
</t>
        </r>
      </text>
    </comment>
    <comment ref="O152" authorId="0">
      <text>
        <r>
          <rPr>
            <b/>
            <sz val="9"/>
            <color indexed="81"/>
            <rFont val="Tahoma"/>
            <family val="2"/>
          </rPr>
          <t xml:space="preserve">Guestimate
</t>
        </r>
      </text>
    </comment>
    <comment ref="P152" authorId="0">
      <text>
        <r>
          <rPr>
            <b/>
            <sz val="9"/>
            <color indexed="81"/>
            <rFont val="Tahoma"/>
            <family val="2"/>
          </rPr>
          <t xml:space="preserve">Guestimate
</t>
        </r>
      </text>
    </comment>
    <comment ref="R152" authorId="0">
      <text>
        <r>
          <rPr>
            <b/>
            <sz val="9"/>
            <color indexed="81"/>
            <rFont val="Tahoma"/>
            <family val="2"/>
          </rPr>
          <t xml:space="preserve">Implied by published numbers
</t>
        </r>
      </text>
    </comment>
    <comment ref="T152" authorId="0">
      <text>
        <r>
          <rPr>
            <b/>
            <sz val="9"/>
            <color indexed="81"/>
            <rFont val="Tahoma"/>
            <family val="2"/>
          </rPr>
          <t xml:space="preserve">Guestimate
</t>
        </r>
      </text>
    </comment>
    <comment ref="H156" authorId="0">
      <text>
        <r>
          <rPr>
            <b/>
            <sz val="9"/>
            <color indexed="81"/>
            <rFont val="Tahoma"/>
            <family val="2"/>
          </rPr>
          <t>Calculated</t>
        </r>
      </text>
    </comment>
    <comment ref="W156" authorId="0">
      <text>
        <r>
          <rPr>
            <sz val="9"/>
            <color indexed="81"/>
            <rFont val="Tahoma"/>
            <family val="2"/>
          </rPr>
          <t xml:space="preserve">
Approved products</t>
        </r>
      </text>
    </comment>
    <comment ref="M160" authorId="0">
      <text>
        <r>
          <rPr>
            <b/>
            <sz val="9"/>
            <color indexed="81"/>
            <rFont val="Tahoma"/>
            <family val="2"/>
          </rPr>
          <t>Adjusted 
- less Naglazyme, Kuvan, Aldurazyme &amp; Firdapse</t>
        </r>
      </text>
    </comment>
    <comment ref="R160" authorId="0">
      <text>
        <r>
          <rPr>
            <b/>
            <sz val="9"/>
            <color indexed="81"/>
            <rFont val="Tahoma"/>
            <family val="2"/>
          </rPr>
          <t>Adjusted 
- less Naglazyme, Kuvan, Aldurazyme &amp; Firdapse</t>
        </r>
      </text>
    </comment>
    <comment ref="M174" authorId="0">
      <text>
        <r>
          <rPr>
            <b/>
            <sz val="9"/>
            <color indexed="81"/>
            <rFont val="Tahoma"/>
            <family val="2"/>
          </rPr>
          <t xml:space="preserve">Implied by published numbers
</t>
        </r>
      </text>
    </comment>
    <comment ref="P174" authorId="0">
      <text>
        <r>
          <rPr>
            <b/>
            <sz val="9"/>
            <color indexed="81"/>
            <rFont val="Tahoma"/>
            <family val="2"/>
          </rPr>
          <t>Guestimate</t>
        </r>
      </text>
    </comment>
    <comment ref="R174" authorId="0">
      <text>
        <r>
          <rPr>
            <b/>
            <sz val="9"/>
            <color indexed="81"/>
            <rFont val="Tahoma"/>
            <family val="2"/>
          </rPr>
          <t xml:space="preserve">Implied by published numbers
</t>
        </r>
      </text>
    </comment>
    <comment ref="P192" authorId="0">
      <text>
        <r>
          <rPr>
            <b/>
            <sz val="9"/>
            <color indexed="81"/>
            <rFont val="Tahoma"/>
            <family val="2"/>
          </rPr>
          <t>Guestimate</t>
        </r>
      </text>
    </comment>
    <comment ref="M216" authorId="0">
      <text>
        <r>
          <rPr>
            <b/>
            <sz val="9"/>
            <color indexed="81"/>
            <rFont val="Tahoma"/>
            <family val="2"/>
          </rPr>
          <t>Adjusted 
-less BMN 270</t>
        </r>
      </text>
    </comment>
    <comment ref="P216" authorId="0">
      <text>
        <r>
          <rPr>
            <b/>
            <sz val="9"/>
            <color indexed="81"/>
            <rFont val="Tahoma"/>
            <family val="2"/>
          </rPr>
          <t>Guestimate</t>
        </r>
      </text>
    </comment>
    <comment ref="Q216" authorId="0">
      <text>
        <r>
          <rPr>
            <b/>
            <sz val="9"/>
            <color indexed="81"/>
            <rFont val="Tahoma"/>
            <family val="2"/>
          </rPr>
          <t>Adjusted</t>
        </r>
      </text>
    </comment>
    <comment ref="R216" authorId="0">
      <text>
        <r>
          <rPr>
            <b/>
            <sz val="9"/>
            <color indexed="81"/>
            <rFont val="Tahoma"/>
            <family val="2"/>
          </rPr>
          <t>Adjusted 
-less BMN 270</t>
        </r>
      </text>
    </comment>
  </commentList>
</comments>
</file>

<file path=xl/comments3.xml><?xml version="1.0" encoding="utf-8"?>
<comments xmlns="http://schemas.openxmlformats.org/spreadsheetml/2006/main">
  <authors>
    <author>Jacob, Abey (Research)</author>
  </authors>
  <commentList>
    <comment ref="D12" authorId="0">
      <text>
        <r>
          <rPr>
            <sz val="9"/>
            <color indexed="81"/>
            <rFont val="Tahoma"/>
            <family val="2"/>
          </rPr>
          <t>Investments in BioMarin/Genzyme LLC</t>
        </r>
      </text>
    </comment>
    <comment ref="E12" authorId="0">
      <text>
        <r>
          <rPr>
            <sz val="9"/>
            <color indexed="81"/>
            <rFont val="Tahoma"/>
            <family val="2"/>
          </rPr>
          <t>Investments in BioMarin/Genzyme LLC</t>
        </r>
      </text>
    </comment>
    <comment ref="F12" authorId="0">
      <text>
        <r>
          <rPr>
            <sz val="9"/>
            <color indexed="81"/>
            <rFont val="Tahoma"/>
            <family val="2"/>
          </rPr>
          <t>Investments in BioMarin/Genzyme LLC</t>
        </r>
      </text>
    </comment>
  </commentList>
</comments>
</file>

<file path=xl/comments4.xml><?xml version="1.0" encoding="utf-8"?>
<comments xmlns="http://schemas.openxmlformats.org/spreadsheetml/2006/main">
  <authors>
    <author>Jacob, Abey (Research)</author>
  </authors>
  <commentList>
    <comment ref="F26" authorId="0">
      <text>
        <r>
          <rPr>
            <sz val="9"/>
            <color indexed="81"/>
            <rFont val="Tahoma"/>
            <family val="2"/>
          </rPr>
          <t>-$116.500M : Restricted funds held in escrow for the purchase of San Rafael Corporate Center (the SRCC)</t>
        </r>
      </text>
    </comment>
  </commentList>
</comments>
</file>

<file path=xl/comments5.xml><?xml version="1.0" encoding="utf-8"?>
<comments xmlns="http://schemas.openxmlformats.org/spreadsheetml/2006/main">
  <authors>
    <author>Lebowitz, David (Research)</author>
  </authors>
  <commentList>
    <comment ref="BB12" authorId="0">
      <text>
        <r>
          <rPr>
            <b/>
            <sz val="9"/>
            <color indexed="81"/>
            <rFont val="Tahoma"/>
            <family val="2"/>
          </rPr>
          <t>https://en.wikipedia.org/wiki/Morquio_syndrome</t>
        </r>
      </text>
    </comment>
  </commentList>
</comments>
</file>

<file path=xl/comments6.xml><?xml version="1.0" encoding="utf-8"?>
<comments xmlns="http://schemas.openxmlformats.org/spreadsheetml/2006/main">
  <authors>
    <author>Lebowitz, David (Research)</author>
  </authors>
  <commentList>
    <comment ref="C12" authorId="0">
      <text>
        <r>
          <rPr>
            <b/>
            <sz val="9"/>
            <color indexed="81"/>
            <rFont val="Tahoma"/>
            <family val="2"/>
          </rPr>
          <t>1/215K</t>
        </r>
      </text>
    </comment>
  </commentList>
</comments>
</file>

<file path=xl/comments7.xml><?xml version="1.0" encoding="utf-8"?>
<comments xmlns="http://schemas.openxmlformats.org/spreadsheetml/2006/main">
  <authors>
    <author>Jeff</author>
    <author>Lebowitz, David (Research)</author>
  </authors>
  <commentList>
    <comment ref="B14" authorId="0">
      <text>
        <r>
          <rPr>
            <sz val="8"/>
            <color indexed="81"/>
            <rFont val="Tahoma"/>
            <family val="2"/>
          </rPr>
          <t xml:space="preserve">
assume 1:15,000 - published data</t>
        </r>
      </text>
    </comment>
    <comment ref="B15" authorId="0">
      <text>
        <r>
          <rPr>
            <sz val="8"/>
            <color indexed="81"/>
            <rFont val="Tahoma"/>
            <family val="2"/>
          </rPr>
          <t xml:space="preserve">
assume 1:15,000 - published data</t>
        </r>
      </text>
    </comment>
    <comment ref="B17" authorId="1">
      <text>
        <r>
          <rPr>
            <b/>
            <sz val="9"/>
            <color indexed="81"/>
            <rFont val="Tahoma"/>
            <family val="2"/>
          </rPr>
          <t>Based on BMRN historical data</t>
        </r>
      </text>
    </comment>
    <comment ref="B27" authorId="0">
      <text>
        <r>
          <rPr>
            <sz val="8"/>
            <color indexed="81"/>
            <rFont val="Tahoma"/>
            <family val="2"/>
          </rPr>
          <t>- historical studies have shown that ~50-60% of patients have responded to treatment (if over 600) - however heavily skewed toward lower)
- in BMRN Phase 2 screening study - only 15% of patients with Phe over 600 responded = 24% for 600-900, 10%  for 900-1200
in Phase 3 only 44% of patients had response (over 30% decrease) - all should have responded
in Phase 3 only 73% had greater than 10% decrease</t>
        </r>
      </text>
    </comment>
    <comment ref="B39" authorId="1">
      <text>
        <r>
          <rPr>
            <b/>
            <sz val="9"/>
            <color indexed="81"/>
            <rFont val="Tahoma"/>
            <family val="2"/>
          </rPr>
          <t>Based on BMRN historical data</t>
        </r>
      </text>
    </comment>
    <comment ref="B113" authorId="1">
      <text>
        <r>
          <rPr>
            <b/>
            <sz val="9"/>
            <color indexed="81"/>
            <rFont val="Tahoma"/>
            <family val="2"/>
          </rPr>
          <t>Based on BMRN historical data</t>
        </r>
      </text>
    </comment>
  </commentList>
</comments>
</file>

<file path=xl/comments8.xml><?xml version="1.0" encoding="utf-8"?>
<comments xmlns="http://schemas.openxmlformats.org/spreadsheetml/2006/main">
  <authors>
    <author>Lebowitz, David (Research)</author>
  </authors>
  <commentList>
    <comment ref="B49" authorId="0">
      <text>
        <r>
          <rPr>
            <b/>
            <sz val="9"/>
            <color indexed="81"/>
            <rFont val="Tahoma"/>
            <family val="2"/>
          </rPr>
          <t>39.5% to 50% of net sales per 10K</t>
        </r>
      </text>
    </comment>
  </commentList>
</comments>
</file>

<file path=xl/comments9.xml><?xml version="1.0" encoding="utf-8"?>
<comments xmlns="http://schemas.openxmlformats.org/spreadsheetml/2006/main">
  <authors>
    <author>Le, Amy M (Research)</author>
  </authors>
  <commentList>
    <comment ref="B9" authorId="0">
      <text>
        <r>
          <rPr>
            <b/>
            <sz val="9"/>
            <color indexed="81"/>
            <rFont val="Tahoma"/>
            <family val="2"/>
          </rPr>
          <t>1/17500 commonly cited</t>
        </r>
      </text>
    </comment>
    <comment ref="B11" authorId="0">
      <text>
        <r>
          <rPr>
            <sz val="9"/>
            <color indexed="81"/>
            <rFont val="Tahoma"/>
            <family val="2"/>
          </rPr>
          <t xml:space="preserve">
~10,000 pts in the U.S. 
Assume normal life expectancy: death rate 821.5/100,000 people (CDC) </t>
        </r>
      </text>
    </comment>
    <comment ref="B26" authorId="0">
      <text>
        <r>
          <rPr>
            <b/>
            <sz val="9"/>
            <color indexed="81"/>
            <rFont val="Tahoma"/>
            <family val="2"/>
          </rPr>
          <t>Le, Amy M (Research):</t>
        </r>
        <r>
          <rPr>
            <sz val="9"/>
            <color indexed="81"/>
            <rFont val="Tahoma"/>
            <family val="2"/>
          </rPr>
          <t xml:space="preserve">
WW ~18,000-24,000 Pts</t>
        </r>
      </text>
    </comment>
  </commentList>
</comments>
</file>

<file path=xl/comments10.xml><?xml version="1.0" encoding="utf-8"?>
<comments xmlns="http://schemas.openxmlformats.org/spreadsheetml/2006/main">
  <authors>
    <author>Lebowitz, David (Research)</author>
    <author>Brienne Kugler</author>
  </authors>
  <commentList>
    <comment ref="C33" authorId="0">
      <text>
        <r>
          <rPr>
            <b/>
            <sz val="9"/>
            <color indexed="81"/>
            <rFont val="Tahoma"/>
            <family val="2"/>
          </rPr>
          <t xml:space="preserve">National Hemophilia Foundation
https://www.hemophilia.org/Bleeding-Disorders/Types-of-Bleeding-Disorders/Hemophilia-A
</t>
        </r>
      </text>
    </comment>
    <comment ref="C56" authorId="1">
      <text>
        <r>
          <rPr>
            <sz val="8"/>
            <color indexed="81"/>
            <rFont val="Tahoma"/>
            <family val="2"/>
          </rPr>
          <t>Extrapolated from this report. Estimates that 6/100000 will get Hemo A or B
        Impact Factor for 2014 is 1.396   Click here to view optimized website for mobile devices       Journal is indexed with MEDLINE/Index Medicus, PubMed and Science Citation Index Expanded
   Table of Contents      
REVIEW ARTICLE
Year : 2014  |  Volume : 140  |  Issue : 1  |  Page : 19-31
Epidemiology &amp; social costs of haemophilia in India
Anita Kar, Supriya Phadnis, Sumedha Dharmarajan, Juhi Nakade
Interdisciplinary School of Health Sciences, University of Pune, Pune, India</t>
        </r>
      </text>
    </comment>
    <comment ref="C60" authorId="0">
      <text>
        <r>
          <rPr>
            <b/>
            <sz val="9"/>
            <color indexed="81"/>
            <rFont val="Tahoma"/>
            <family val="2"/>
          </rPr>
          <t xml:space="preserve">National Hemophilia Foundation
https://www.hemophilia.org/Bleeding-Disorders/Types-of-Bleeding-Disorders/Hemophilia-A
</t>
        </r>
      </text>
    </comment>
  </commentList>
</comments>
</file>

<file path=xl/sharedStrings.xml><?xml version="1.0" encoding="utf-8"?>
<sst xmlns="http://schemas.openxmlformats.org/spreadsheetml/2006/main" count="1720" uniqueCount="987">
  <si>
    <t>2Q12</t>
  </si>
  <si>
    <t>2Q13</t>
  </si>
  <si>
    <t>Vimizim</t>
  </si>
  <si>
    <t>2022E</t>
  </si>
  <si>
    <t>2023E</t>
  </si>
  <si>
    <t>2024E</t>
  </si>
  <si>
    <t>2025E</t>
  </si>
  <si>
    <t>4Q12</t>
  </si>
  <si>
    <t>2021E</t>
  </si>
  <si>
    <t>Terminal</t>
  </si>
  <si>
    <t>3Q12</t>
  </si>
  <si>
    <t>1Q13</t>
  </si>
  <si>
    <t>Margin Analysis</t>
  </si>
  <si>
    <t>Operating Margin</t>
  </si>
  <si>
    <t>Pretax Margin</t>
  </si>
  <si>
    <t>Net Margin</t>
  </si>
  <si>
    <t>Aldurazyme</t>
  </si>
  <si>
    <t>1Q11</t>
  </si>
  <si>
    <t>2Q11</t>
  </si>
  <si>
    <t>3Q11</t>
  </si>
  <si>
    <t>4Q11</t>
  </si>
  <si>
    <t>Naglazyme</t>
  </si>
  <si>
    <t>Kuvan</t>
  </si>
  <si>
    <t>Firdapse</t>
  </si>
  <si>
    <t>US</t>
  </si>
  <si>
    <t>Europe</t>
  </si>
  <si>
    <t>ROW</t>
  </si>
  <si>
    <t>Growth</t>
  </si>
  <si>
    <t>Revenue</t>
  </si>
  <si>
    <t>Gross Profit</t>
  </si>
  <si>
    <t>Operating expenses</t>
  </si>
  <si>
    <t>Check</t>
  </si>
  <si>
    <t>Total revenue</t>
  </si>
  <si>
    <t>COGS</t>
  </si>
  <si>
    <t>R&amp;D</t>
  </si>
  <si>
    <t>SG&amp;A</t>
  </si>
  <si>
    <t>Amortization</t>
  </si>
  <si>
    <t>Operating Income</t>
  </si>
  <si>
    <t>Pretax Income</t>
  </si>
  <si>
    <t>Income Taxes</t>
  </si>
  <si>
    <t>Tax rate</t>
  </si>
  <si>
    <t>Diluted EPS</t>
  </si>
  <si>
    <t>Diluted shares outstanding</t>
  </si>
  <si>
    <t>Interest expense</t>
  </si>
  <si>
    <t>Net income</t>
  </si>
  <si>
    <t>Depreciation</t>
  </si>
  <si>
    <t>EBITDA</t>
  </si>
  <si>
    <t>Income taxes</t>
  </si>
  <si>
    <t>Stock compensation</t>
  </si>
  <si>
    <t>Contingent consideration</t>
  </si>
  <si>
    <t>Adjusted-EBITDA Calculation</t>
  </si>
  <si>
    <t>1Q12</t>
  </si>
  <si>
    <t>4Q16E</t>
  </si>
  <si>
    <t>1Q18E</t>
  </si>
  <si>
    <t>2Q18E</t>
  </si>
  <si>
    <t>3Q18E</t>
  </si>
  <si>
    <t>4Q18E</t>
  </si>
  <si>
    <t>2018E</t>
  </si>
  <si>
    <t>1Q19E</t>
  </si>
  <si>
    <t>2Q19E</t>
  </si>
  <si>
    <t>3Q19E</t>
  </si>
  <si>
    <t>4Q19E</t>
  </si>
  <si>
    <t>2019E</t>
  </si>
  <si>
    <t>1Q20E</t>
  </si>
  <si>
    <t>2Q20E</t>
  </si>
  <si>
    <t>3Q20E</t>
  </si>
  <si>
    <t>4Q20E</t>
  </si>
  <si>
    <t>2020E</t>
  </si>
  <si>
    <t>Japan</t>
  </si>
  <si>
    <t>Incidence</t>
  </si>
  <si>
    <t>Prevalence</t>
  </si>
  <si>
    <t>Compliance/survival</t>
  </si>
  <si>
    <t>Total</t>
  </si>
  <si>
    <t>Average cost ($ '000)</t>
  </si>
  <si>
    <t>% growth</t>
  </si>
  <si>
    <t>adult (&gt;14)</t>
  </si>
  <si>
    <t>HPA</t>
  </si>
  <si>
    <t>from BMRN screening study only 17.5% of patients in 600-1200 respond</t>
  </si>
  <si>
    <t xml:space="preserve">in Phase 3 only 44% had &gt;30% response, 73% had &gt;10% response (therefore total responders = 8 - 13%) </t>
  </si>
  <si>
    <t>in PKU-006 was more like 50%</t>
  </si>
  <si>
    <t>assuming lack of response was anomaly, will use 50% for HPA (historical and PKU-006), 25% for mild-to-moderate (above what they have seen), 10% for classic (historical)</t>
  </si>
  <si>
    <t>Penetration</t>
  </si>
  <si>
    <t>Sales</t>
  </si>
  <si>
    <t>Interest rate</t>
  </si>
  <si>
    <t>EPS</t>
  </si>
  <si>
    <t>Net Income</t>
  </si>
  <si>
    <t>Inventory</t>
  </si>
  <si>
    <t>Total current assets</t>
  </si>
  <si>
    <t>Total assets</t>
  </si>
  <si>
    <t>Assets</t>
  </si>
  <si>
    <t>Total current liabilities</t>
  </si>
  <si>
    <t>Total liabilities</t>
  </si>
  <si>
    <t>Other liabilities</t>
  </si>
  <si>
    <t>PEG-PAL</t>
  </si>
  <si>
    <t>YoY Growth</t>
  </si>
  <si>
    <t>1Q14</t>
  </si>
  <si>
    <t>4Q14</t>
  </si>
  <si>
    <t>2Q14</t>
  </si>
  <si>
    <t>1Q15</t>
  </si>
  <si>
    <t>2Q15</t>
  </si>
  <si>
    <t>4Q15</t>
  </si>
  <si>
    <t>1Q16</t>
  </si>
  <si>
    <t>3Q13</t>
  </si>
  <si>
    <t>Year-Over-Year Growth</t>
  </si>
  <si>
    <t>4Q13</t>
  </si>
  <si>
    <t>Other</t>
  </si>
  <si>
    <t>3Q14</t>
  </si>
  <si>
    <t>Price increase Y/Y</t>
  </si>
  <si>
    <t>Bull</t>
  </si>
  <si>
    <t>Base</t>
  </si>
  <si>
    <t>Bear</t>
  </si>
  <si>
    <t>New Cases</t>
  </si>
  <si>
    <t>BMN 111 Annual Price ($000s)</t>
  </si>
  <si>
    <t>Compliance (%)</t>
  </si>
  <si>
    <t>COGS (% of product revs)</t>
  </si>
  <si>
    <t>COGS (% of total revs)</t>
  </si>
  <si>
    <t>Sum of Discounted CF</t>
  </si>
  <si>
    <t>Net Cash</t>
  </si>
  <si>
    <t>Equity Value</t>
  </si>
  <si>
    <t>Discount Rate</t>
  </si>
  <si>
    <t>Terminal Growth Rate</t>
  </si>
  <si>
    <t>Time of Valuation</t>
  </si>
  <si>
    <t>Shares Outstanding</t>
  </si>
  <si>
    <t>Selector ---&gt;</t>
  </si>
  <si>
    <t>Pipeline Scenarios</t>
  </si>
  <si>
    <t>No pipeline value</t>
  </si>
  <si>
    <t>Pipeline value included</t>
  </si>
  <si>
    <t>1Q21E</t>
  </si>
  <si>
    <t>2Q21E</t>
  </si>
  <si>
    <t>3Q21E</t>
  </si>
  <si>
    <t>4Q21E</t>
  </si>
  <si>
    <t>1Q22E</t>
  </si>
  <si>
    <t>2Q22E</t>
  </si>
  <si>
    <t>3Q22E</t>
  </si>
  <si>
    <t>4Q22E</t>
  </si>
  <si>
    <t>1Q23E</t>
  </si>
  <si>
    <t>2Q23E</t>
  </si>
  <si>
    <t>3Q23E</t>
  </si>
  <si>
    <t>4Q23E</t>
  </si>
  <si>
    <t>1Q24E</t>
  </si>
  <si>
    <t>2Q24E</t>
  </si>
  <si>
    <t>3Q24E</t>
  </si>
  <si>
    <t>4Q24E</t>
  </si>
  <si>
    <t>1Q25E</t>
  </si>
  <si>
    <t>2Q25E</t>
  </si>
  <si>
    <t>3Q25E</t>
  </si>
  <si>
    <t>4Q25E</t>
  </si>
  <si>
    <t>Liabilities</t>
  </si>
  <si>
    <t>3Q15</t>
  </si>
  <si>
    <t>USD</t>
  </si>
  <si>
    <t>BMRN.O</t>
  </si>
  <si>
    <t>Biomarin Pharmaceutical Inc</t>
  </si>
  <si>
    <t>Period end shares</t>
  </si>
  <si>
    <t>Statutory tax rate</t>
  </si>
  <si>
    <t>BMRN.O,mscalc:sedolCodeCalc</t>
  </si>
  <si>
    <t>BMRN.O,mscalc:closePriceCurrencyCalc</t>
  </si>
  <si>
    <t>BMRN.O,mscalc:targetPrice,,,,USD</t>
  </si>
  <si>
    <t>$F$2</t>
  </si>
  <si>
    <t>2Q16</t>
  </si>
  <si>
    <t>3Q16</t>
  </si>
  <si>
    <t>Non-GAAP Loss</t>
  </si>
  <si>
    <t>U.S. Population</t>
  </si>
  <si>
    <t>Classic</t>
  </si>
  <si>
    <t>PENETRATION</t>
  </si>
  <si>
    <t>Total U.S. Sales ($M)</t>
  </si>
  <si>
    <t>Total ROW Sales ($M)</t>
  </si>
  <si>
    <t>Beat</t>
  </si>
  <si>
    <t>Scenario</t>
  </si>
  <si>
    <t>Total Kuvan Sales ($M)</t>
  </si>
  <si>
    <t>Total MPS IVA</t>
  </si>
  <si>
    <t>Total MPS I</t>
  </si>
  <si>
    <t xml:space="preserve">Select Scenario (1-3) </t>
  </si>
  <si>
    <t>PT Output</t>
  </si>
  <si>
    <t>Prevalence YoY Growth</t>
  </si>
  <si>
    <t>% or Prevalence</t>
  </si>
  <si>
    <t>Price Change %</t>
  </si>
  <si>
    <t>Severe Hemophila A</t>
  </si>
  <si>
    <t>Prevalence Hemophila A, U.S.</t>
  </si>
  <si>
    <t>% penetration</t>
  </si>
  <si>
    <t>Hemophilia A U.S. Market</t>
  </si>
  <si>
    <t>WW Sales ($M)</t>
  </si>
  <si>
    <t>U.S. Sales ($M)</t>
  </si>
  <si>
    <t>Assumes PhIIb strial starts 2017</t>
  </si>
  <si>
    <t>BMN 270 Naïve Patients</t>
  </si>
  <si>
    <t>Previously Treated BMN 270 Patients</t>
  </si>
  <si>
    <t>Naive Patients administered BMN 270</t>
  </si>
  <si>
    <t>Previously Treated BMN 270 Patients receiving booster</t>
  </si>
  <si>
    <t>Hemophilia A Europe Market</t>
  </si>
  <si>
    <t>Prevalence Hemophila A, Europe</t>
  </si>
  <si>
    <t>Europe Sales ($M)</t>
  </si>
  <si>
    <t>Pipeline Scenarion (1-2)</t>
  </si>
  <si>
    <t>Total U.S. Patients</t>
  </si>
  <si>
    <t>U.S. Live Births</t>
  </si>
  <si>
    <t>Total U.S. Cost</t>
  </si>
  <si>
    <t>`</t>
  </si>
  <si>
    <t>Live Berths</t>
  </si>
  <si>
    <t>Average cost ($000)</t>
  </si>
  <si>
    <t>Live Births</t>
  </si>
  <si>
    <t>Compliance</t>
  </si>
  <si>
    <t>Total MPS VI</t>
  </si>
  <si>
    <t>Fx Impact</t>
  </si>
  <si>
    <t>Responders</t>
  </si>
  <si>
    <t>Penetration - Kuvan</t>
  </si>
  <si>
    <t>Penetration - pegvaliase</t>
  </si>
  <si>
    <t>Total PKU Franchise Sales ($M)</t>
  </si>
  <si>
    <t>Incidence - CLN2 Disorder</t>
  </si>
  <si>
    <t>Total WW Brineura Sales</t>
  </si>
  <si>
    <t>Total ex-U.S. Brineura Sales ($M)</t>
  </si>
  <si>
    <t>Total U.S. Brineura Sales ($M)</t>
  </si>
  <si>
    <t>WW Vosoritide Sales ($M)</t>
  </si>
  <si>
    <t>Ex-US Vosoritide Sales ($M)</t>
  </si>
  <si>
    <t>US Vosoritide Sales ($M)</t>
  </si>
  <si>
    <t>Estimated Prevelance - CLN2 Disorder</t>
  </si>
  <si>
    <t>Total ex-U.S. CLN2 Disorder Patients</t>
  </si>
  <si>
    <t>Total ex-U.S. Patients On Treatment</t>
  </si>
  <si>
    <t>Total ex-U.S. Cost</t>
  </si>
  <si>
    <t xml:space="preserve">US Live Births </t>
  </si>
  <si>
    <t xml:space="preserve">Achondroplasia Incidence </t>
  </si>
  <si>
    <t xml:space="preserve">Est. Achondroplasia Prevalence </t>
  </si>
  <si>
    <t>Market Penetration (%)</t>
  </si>
  <si>
    <t>Gross-To-Net Discount (%)</t>
  </si>
  <si>
    <t>Achondroplasia Prevalence ex-US</t>
  </si>
  <si>
    <t>Non- Responders</t>
  </si>
  <si>
    <t>Attenuated Disease</t>
  </si>
  <si>
    <t>Average Cost</t>
  </si>
  <si>
    <t>Pediatric (&lt;14)</t>
  </si>
  <si>
    <t>% of Population</t>
  </si>
  <si>
    <t>PKU Adult (&gt;14)</t>
  </si>
  <si>
    <t>PKU Pediatric (&lt;14)</t>
  </si>
  <si>
    <t>Moderate-To-Severe</t>
  </si>
  <si>
    <t>Kuvan - PKU Pediatric (&lt;14)</t>
  </si>
  <si>
    <t>Total PKU Adult (&gt;14)</t>
  </si>
  <si>
    <t>Total PKU Pediatric (&lt;14)</t>
  </si>
  <si>
    <t>Beginning Year PKU Adult (&gt;14)</t>
  </si>
  <si>
    <t>Beginning Year PKU Pediatric (&lt;14)</t>
  </si>
  <si>
    <t>New PKU Adult (&gt;14)</t>
  </si>
  <si>
    <t>New PKU Pediatric (&lt;14)</t>
  </si>
  <si>
    <t>% PKU Adult (&gt;14) Compliant</t>
  </si>
  <si>
    <t>% PKU Pediatric (&lt;14) Compliant</t>
  </si>
  <si>
    <t>Sales - Kuvan</t>
  </si>
  <si>
    <t>Sales - pegvaliase</t>
  </si>
  <si>
    <t>% Royalty</t>
  </si>
  <si>
    <t>Actual</t>
  </si>
  <si>
    <t>Net Product Revenues</t>
  </si>
  <si>
    <t>Aldurazyme Net Product Revenues</t>
  </si>
  <si>
    <t>Net Product Revenue</t>
  </si>
  <si>
    <t>Net Sales By Genzyme</t>
  </si>
  <si>
    <t>Net Product transefer Revenue</t>
  </si>
  <si>
    <t>Net Aldurazyme Sales To Genzyme</t>
  </si>
  <si>
    <t>Net Product Transfer Revenue</t>
  </si>
  <si>
    <t>Aldurazyme Net Product Revenue</t>
  </si>
  <si>
    <t>Implied Royalty Rate</t>
  </si>
  <si>
    <t>Gross Margin</t>
  </si>
  <si>
    <t>WW</t>
  </si>
  <si>
    <t>Royalties Earned From Genzyme</t>
  </si>
  <si>
    <t>Incremental (Previously Recognized) Aldurazyme Product Transfer Revenue</t>
  </si>
  <si>
    <t>Aldurazyme Revenue Reported By Genzyme</t>
  </si>
  <si>
    <t>Total Aldurazyme Net Product Revenues ($M)</t>
  </si>
  <si>
    <t>Total Vimizim Sales, Pre-Fx ($M)</t>
  </si>
  <si>
    <t>Total Naglazyme Sales, Pre-Fx ($M)</t>
  </si>
  <si>
    <t>MPS IVA</t>
  </si>
  <si>
    <t>MPS VI</t>
  </si>
  <si>
    <t>PKU - Kuvan</t>
  </si>
  <si>
    <t>PKU - Pegvaliase</t>
  </si>
  <si>
    <t>MPS I</t>
  </si>
  <si>
    <t>Hemophilia</t>
  </si>
  <si>
    <t>U.S.</t>
  </si>
  <si>
    <t>Total BMN 270</t>
  </si>
  <si>
    <t>Achondroplasia</t>
  </si>
  <si>
    <t>Total Vosortide</t>
  </si>
  <si>
    <t>CLN2 Disorder</t>
  </si>
  <si>
    <t>Total Brineura</t>
  </si>
  <si>
    <t>Total Biomarin Revenue</t>
  </si>
  <si>
    <t>% Growth</t>
  </si>
  <si>
    <t>Kyndrisa</t>
  </si>
  <si>
    <t>Pegvaliase</t>
  </si>
  <si>
    <t>Vosoritide</t>
  </si>
  <si>
    <t>Cerliponase alfa</t>
  </si>
  <si>
    <t>Reveglucosidase alfa</t>
  </si>
  <si>
    <t>% Gross Margin</t>
  </si>
  <si>
    <t>LEMS</t>
  </si>
  <si>
    <t>Total Europe Firdapse Sales ($M)</t>
  </si>
  <si>
    <t>% of Revenue</t>
  </si>
  <si>
    <t>COGS (by line item)</t>
  </si>
  <si>
    <t>(in $ millions or per share basis when indicated)</t>
  </si>
  <si>
    <t xml:space="preserve">Cash and Cash Equivalents </t>
  </si>
  <si>
    <t>Inventories</t>
  </si>
  <si>
    <t>Property and Equipment, Net</t>
  </si>
  <si>
    <t>Other Assets</t>
  </si>
  <si>
    <t>Long-Term Debt</t>
  </si>
  <si>
    <t>Other Long-Term Liabilities</t>
  </si>
  <si>
    <t>Shareholder's Equity</t>
  </si>
  <si>
    <t xml:space="preserve">Common Stock </t>
  </si>
  <si>
    <t>Additional Paid-In Capital</t>
  </si>
  <si>
    <t>Accumulated Other Comprehensive Income</t>
  </si>
  <si>
    <t>Retained Earnings (Acumulated Deficit)</t>
  </si>
  <si>
    <t>Total Shareholder's Equity</t>
  </si>
  <si>
    <t>Total Liabilities and Shareholder's Equity</t>
  </si>
  <si>
    <t>Source: Company data and Morgan Stanley Research</t>
  </si>
  <si>
    <t>Key Numbers</t>
  </si>
  <si>
    <t>Revenues</t>
  </si>
  <si>
    <t>Taxes</t>
  </si>
  <si>
    <t>NI</t>
  </si>
  <si>
    <t>Operating CF</t>
  </si>
  <si>
    <t>Capex</t>
  </si>
  <si>
    <t>Operating Activity</t>
  </si>
  <si>
    <t>AR Turnover (Total Sales / AR)</t>
  </si>
  <si>
    <t>Inventory Turnover (COGS / Inv)</t>
  </si>
  <si>
    <t>AP &amp; Accrued Liabilities Turnover (COGS / AP &amp; Accrued Liabilities)</t>
  </si>
  <si>
    <t>Days Sales Outstanding</t>
  </si>
  <si>
    <t>Days inventory outstanding</t>
  </si>
  <si>
    <t>Days payable outstanding</t>
  </si>
  <si>
    <t>Accounts receivable</t>
  </si>
  <si>
    <t>Other non-current assets</t>
  </si>
  <si>
    <t>Accounts payable</t>
  </si>
  <si>
    <t>Beginning balance</t>
  </si>
  <si>
    <t>Ending Balance</t>
  </si>
  <si>
    <t>Depreciation &amp; Amortization</t>
  </si>
  <si>
    <t>Existing PP&amp;E</t>
  </si>
  <si>
    <t xml:space="preserve"> Total depreciation</t>
  </si>
  <si>
    <t>Cash Flows From Operating Activities</t>
  </si>
  <si>
    <t>Net loss</t>
  </si>
  <si>
    <t>Adjustments to reconcile net loss to net cash used in operating activities:</t>
  </si>
  <si>
    <t>Changes in operating assets and liabilities:</t>
  </si>
  <si>
    <t>Cash Flows From Investing Activities</t>
  </si>
  <si>
    <t>Cash Flows From Financing Activities</t>
  </si>
  <si>
    <t>Change in cash and cash equivalents</t>
  </si>
  <si>
    <t>Cash and cash equivalents at beginning of Year</t>
  </si>
  <si>
    <t>Cash and cash equivalents at end of year</t>
  </si>
  <si>
    <t>Marketable securities</t>
  </si>
  <si>
    <t>Cash and marketable securities at end of year</t>
  </si>
  <si>
    <t>Stock Options and Share Count</t>
  </si>
  <si>
    <t xml:space="preserve">Stock Price (average) </t>
  </si>
  <si>
    <t>Option Balance (Beginning Year)</t>
  </si>
  <si>
    <t>Average Options Exercisable</t>
  </si>
  <si>
    <t>Weighted Average Exercise Price of exercisable</t>
  </si>
  <si>
    <t>Options Cancelled</t>
  </si>
  <si>
    <t>Options Exercised</t>
  </si>
  <si>
    <t>Weighted Average Exercise Price</t>
  </si>
  <si>
    <t>Proceeds from option</t>
  </si>
  <si>
    <t>Tax Benefit from Options</t>
  </si>
  <si>
    <t>Options Granted</t>
  </si>
  <si>
    <t>Stock Price</t>
  </si>
  <si>
    <t>Shares Issued</t>
  </si>
  <si>
    <t>Proceeds from share issuance</t>
  </si>
  <si>
    <t>Stock option exercises</t>
  </si>
  <si>
    <t>Warrant exercise</t>
  </si>
  <si>
    <t>Shares Repurchased (mm)</t>
  </si>
  <si>
    <t>Share Repurchase Cost</t>
  </si>
  <si>
    <t>Stock options expense</t>
  </si>
  <si>
    <t>Tax benefit from equity compensation</t>
  </si>
  <si>
    <t>Others</t>
  </si>
  <si>
    <t>Total Change in APIC</t>
  </si>
  <si>
    <t>Beginning Period Shares</t>
  </si>
  <si>
    <t>End of Period Shares</t>
  </si>
  <si>
    <t xml:space="preserve">Average Shares Outstanding-basic </t>
  </si>
  <si>
    <t>Average Shares Outstanding-diluted</t>
  </si>
  <si>
    <t>BIOMARIN PHARMACEUTICAL INC. (NSDQ: BMRN)</t>
  </si>
  <si>
    <t>Short-Term Investments</t>
  </si>
  <si>
    <t>Accounts Receivable, Net</t>
  </si>
  <si>
    <t>Other Current Assets</t>
  </si>
  <si>
    <t>Long-Term Investments</t>
  </si>
  <si>
    <t>Property, Plant and Equipment, Net</t>
  </si>
  <si>
    <t>Accounts Payable and Accrued Liabilities</t>
  </si>
  <si>
    <t>Other Current Liabilities</t>
  </si>
  <si>
    <t>Other Shareholder's Equity</t>
  </si>
  <si>
    <t>Depreciation and Amortization Expense</t>
  </si>
  <si>
    <t>Stock-Based Compensation Expense</t>
  </si>
  <si>
    <t>Other Non-Cash Items, Net</t>
  </si>
  <si>
    <t>Purchases of Property, Plant and Equipment</t>
  </si>
  <si>
    <t>Purchases of Available-For-Sale Investments</t>
  </si>
  <si>
    <t>Sale and Maturities of Investments</t>
  </si>
  <si>
    <t>Proceeds From Exercise of Stock Options + Other Equity</t>
  </si>
  <si>
    <t>Proceeds From Issuance of Common Stock</t>
  </si>
  <si>
    <t>Proceeds From the Issuance or Retirment of Debt</t>
  </si>
  <si>
    <t>Net Cash Provided by (Used In) Operating Activities</t>
  </si>
  <si>
    <t>Net Cash Provided by (Used In) Financing Activities</t>
  </si>
  <si>
    <t>Net Cash Provided by (Used In) Investing Activities</t>
  </si>
  <si>
    <t>Effect of Exchange Rate Changes on Cash</t>
  </si>
  <si>
    <t>Collaborative Revenue</t>
  </si>
  <si>
    <t>Royalty and License Revenue</t>
  </si>
  <si>
    <t>Equity Loss in BioMarin/Genzyme LLC</t>
  </si>
  <si>
    <t>Debt Conversion Expense</t>
  </si>
  <si>
    <t>Other Income, Net</t>
  </si>
  <si>
    <t>Tax Rate</t>
  </si>
  <si>
    <t>Basic Shares Outstanding</t>
  </si>
  <si>
    <t>Diluted Shares Outstanding</t>
  </si>
  <si>
    <t>Shares Outstanding for EPS</t>
  </si>
  <si>
    <t>Stock-based compensation expense</t>
  </si>
  <si>
    <t>Cost of sales</t>
  </si>
  <si>
    <t>Total SBC</t>
  </si>
  <si>
    <t>Depreciation expense</t>
  </si>
  <si>
    <t>Amortization expense</t>
  </si>
  <si>
    <t xml:space="preserve">Contingent consideration expense </t>
  </si>
  <si>
    <t>Benefit from income taxes</t>
  </si>
  <si>
    <t>GAAP Net Income</t>
  </si>
  <si>
    <t>Non-GAAP Net Income (Loss)</t>
  </si>
  <si>
    <t>Impairment Charges</t>
  </si>
  <si>
    <t>Gain on termination of leases</t>
  </si>
  <si>
    <t>Other current assets</t>
  </si>
  <si>
    <t>Gain on common stock held by the NQDC</t>
  </si>
  <si>
    <t>GAAP EPS, Diluted</t>
  </si>
  <si>
    <t>Ending NOL</t>
  </si>
  <si>
    <t>Taxable Income</t>
  </si>
  <si>
    <t>Income taxes owed</t>
  </si>
  <si>
    <t>Income taxes paid</t>
  </si>
  <si>
    <t>NOL carryforwards + Tax credit carry forwards</t>
  </si>
  <si>
    <t>Brineura</t>
  </si>
  <si>
    <t>Vosortide</t>
  </si>
  <si>
    <t>BMN 270</t>
  </si>
  <si>
    <t>Debt</t>
  </si>
  <si>
    <t>Available principal</t>
  </si>
  <si>
    <t>Beginning of year debt</t>
  </si>
  <si>
    <t>Repyaments</t>
  </si>
  <si>
    <t>End of year debt</t>
  </si>
  <si>
    <t>2018 Convertible Notes</t>
  </si>
  <si>
    <t>2020 Convertible Notes</t>
  </si>
  <si>
    <t>Conversion Rate</t>
  </si>
  <si>
    <t>Interest income</t>
  </si>
  <si>
    <t>2017 Convertible Notes</t>
  </si>
  <si>
    <t>Interest Income</t>
  </si>
  <si>
    <t>Average cash &amp; investments</t>
  </si>
  <si>
    <t>Unamortized discount</t>
  </si>
  <si>
    <t>Unamortized deferred offering costs</t>
  </si>
  <si>
    <t>End of year debt, net</t>
  </si>
  <si>
    <t>Coupon Interest</t>
  </si>
  <si>
    <t>Accretion discount on convertible notes</t>
  </si>
  <si>
    <t>Amortization of debt issuance costs</t>
  </si>
  <si>
    <t>Interest expense (income), net</t>
  </si>
  <si>
    <t>Depreciation &amp; amortization</t>
  </si>
  <si>
    <t>R&amp;D depreciation</t>
  </si>
  <si>
    <t>SG&amp;A depreciation</t>
  </si>
  <si>
    <t>LT-Debt</t>
  </si>
  <si>
    <t>($ in millions)</t>
  </si>
  <si>
    <t>Non-GAAP EBIT</t>
  </si>
  <si>
    <t>Non-GAAP EBIT, after tax</t>
  </si>
  <si>
    <t>Plus: D&amp;A</t>
  </si>
  <si>
    <t>Plus/Less: Change in non-Cash WC</t>
  </si>
  <si>
    <t>Less: Capital expenditures</t>
  </si>
  <si>
    <t>Free Cash Flow to Firm (FCFF)</t>
  </si>
  <si>
    <t>Present Value of FCFF</t>
  </si>
  <si>
    <t>Equity Value Per Share</t>
  </si>
  <si>
    <t>Other/non-allocated</t>
  </si>
  <si>
    <t>Total S&amp;M</t>
  </si>
  <si>
    <t>Total G&amp;A</t>
  </si>
  <si>
    <t>Talazoparib</t>
  </si>
  <si>
    <t>Revegulcosidase alfa</t>
  </si>
  <si>
    <t>Cerloponase alfa</t>
  </si>
  <si>
    <t>Other approved products</t>
  </si>
  <si>
    <t>Early stage programs</t>
  </si>
  <si>
    <t>Interest, Taxes, D&amp;A</t>
  </si>
  <si>
    <t>SBC/Other</t>
  </si>
  <si>
    <t>Total non-gaap adjustments</t>
  </si>
  <si>
    <t>Total GAAP R&amp;D</t>
  </si>
  <si>
    <t>Geographic Split</t>
  </si>
  <si>
    <t>United States</t>
  </si>
  <si>
    <t>Latin America</t>
  </si>
  <si>
    <t>Rest of world</t>
  </si>
  <si>
    <t>Total Product Sales</t>
  </si>
  <si>
    <t>Aldurazyme net revenues</t>
  </si>
  <si>
    <t>Total net product sales</t>
  </si>
  <si>
    <t>Other and non-allocated</t>
  </si>
  <si>
    <t>S&amp;M</t>
  </si>
  <si>
    <t>General and Administrative (G&amp;A) Expense</t>
  </si>
  <si>
    <t>Total Sales and Marketing (S&amp;M) Expense</t>
  </si>
  <si>
    <t>Total SG&amp;A Expense</t>
  </si>
  <si>
    <t>BMN 250</t>
  </si>
  <si>
    <t>.</t>
  </si>
  <si>
    <t>Total GAAP SG&amp;A</t>
  </si>
  <si>
    <t>Total Vimizim Sales, ($M)</t>
  </si>
  <si>
    <t>Total Naglazyme Sales, ($M)</t>
  </si>
  <si>
    <t>Difference</t>
  </si>
  <si>
    <t>Actual COGS</t>
  </si>
  <si>
    <t>Actual GAAP R&amp;D</t>
  </si>
  <si>
    <t>Actual GAAP SG&amp;A</t>
  </si>
  <si>
    <t>Actual Product Sales</t>
  </si>
  <si>
    <t>1Q17</t>
  </si>
  <si>
    <t>2Q17</t>
  </si>
  <si>
    <t>3Q17</t>
  </si>
  <si>
    <t>4Q17</t>
  </si>
  <si>
    <t>Gross-to-net discount (%)</t>
  </si>
  <si>
    <t>Actual (local)</t>
  </si>
  <si>
    <t>Test</t>
  </si>
  <si>
    <t>1Q26E</t>
  </si>
  <si>
    <t>2Q26E</t>
  </si>
  <si>
    <t>3Q26E</t>
  </si>
  <si>
    <t>4Q26E</t>
  </si>
  <si>
    <t>2026E</t>
  </si>
  <si>
    <t>1Q27E</t>
  </si>
  <si>
    <t>2Q27E</t>
  </si>
  <si>
    <t>3Q27E</t>
  </si>
  <si>
    <t>4Q27E</t>
  </si>
  <si>
    <t>2027E</t>
  </si>
  <si>
    <t>1Q28E</t>
  </si>
  <si>
    <t>2Q28E</t>
  </si>
  <si>
    <t>3Q28E</t>
  </si>
  <si>
    <t>4Q28E</t>
  </si>
  <si>
    <t>2028E</t>
  </si>
  <si>
    <t>1Q29E</t>
  </si>
  <si>
    <t>2Q29E</t>
  </si>
  <si>
    <t>3Q29E</t>
  </si>
  <si>
    <t>4Q29E</t>
  </si>
  <si>
    <t>2029E</t>
  </si>
  <si>
    <t>1Q30E</t>
  </si>
  <si>
    <t>2Q30E</t>
  </si>
  <si>
    <t>3Q30E</t>
  </si>
  <si>
    <t>4Q30E</t>
  </si>
  <si>
    <t>2030E</t>
  </si>
  <si>
    <t>FDA &amp; EMA submissions 2018</t>
  </si>
  <si>
    <t>Approval 2019</t>
  </si>
  <si>
    <t>Total GAAP COGS</t>
  </si>
  <si>
    <t>Incidence - MPS IIIB Disorder</t>
  </si>
  <si>
    <t>Estimated Prevelance - MPS IIIB Disorder</t>
  </si>
  <si>
    <t>Total U.S. BMN 250 Sales ($M)</t>
  </si>
  <si>
    <t>Total WW BMN 250 Sales</t>
  </si>
  <si>
    <t>MPS IIIB</t>
  </si>
  <si>
    <t>Total BMN 250</t>
  </si>
  <si>
    <t>Total Europe BMN 250 Sales ($M)</t>
  </si>
  <si>
    <t>Total Europe MPS IIIB Disorder Patients</t>
  </si>
  <si>
    <t>Total Europe. Patients On Treatment</t>
  </si>
  <si>
    <t>Total Europe Cost</t>
  </si>
  <si>
    <t>Total ROW MPS IIIB Disorder Patients</t>
  </si>
  <si>
    <t>Total ROW Patients On Treatment</t>
  </si>
  <si>
    <t>Total ROW Cost</t>
  </si>
  <si>
    <t>Total ROW BMN 250 Sales ($M)</t>
  </si>
  <si>
    <t>% generic penetration</t>
  </si>
  <si>
    <t>Net Realized Price Per Existing Patient ($)</t>
  </si>
  <si>
    <t>Net Realized Price Per New Patient ($)</t>
  </si>
  <si>
    <t>% Risk Adjustment</t>
  </si>
  <si>
    <t>Required Tags</t>
  </si>
  <si>
    <t>Unrecorded goodwill</t>
  </si>
  <si>
    <t>Currency</t>
  </si>
  <si>
    <t>Current Stock Price</t>
  </si>
  <si>
    <t>Count</t>
  </si>
  <si>
    <t>Net issuance and repurchase</t>
  </si>
  <si>
    <t>SOP Calculations</t>
  </si>
  <si>
    <t>SG&amp;A + R&amp;D</t>
  </si>
  <si>
    <t>% of sales</t>
  </si>
  <si>
    <t>PV of NI</t>
  </si>
  <si>
    <t>DCF Factors</t>
  </si>
  <si>
    <t>Product</t>
  </si>
  <si>
    <t>Probability of Success</t>
  </si>
  <si>
    <t>NPV Value</t>
  </si>
  <si>
    <t>Total Marketed Products</t>
  </si>
  <si>
    <t>Total Phase III products</t>
  </si>
  <si>
    <t>N/A</t>
  </si>
  <si>
    <t>Corp/Other/NOLs</t>
  </si>
  <si>
    <t xml:space="preserve">DCF </t>
  </si>
  <si>
    <t>Implied POS</t>
  </si>
  <si>
    <t>Total Other Pipeline</t>
  </si>
  <si>
    <t>T</t>
  </si>
  <si>
    <t>Stage of Development</t>
  </si>
  <si>
    <t>Approved</t>
  </si>
  <si>
    <t>Total NPV Value/Share</t>
  </si>
  <si>
    <t>% of Price Target</t>
  </si>
  <si>
    <t xml:space="preserve">Implied Probability of Success </t>
  </si>
  <si>
    <t>Present Value of Net Income</t>
  </si>
  <si>
    <t>Implied Probability of Success</t>
  </si>
  <si>
    <t>Price</t>
  </si>
  <si>
    <t>Pipeline</t>
  </si>
  <si>
    <t>PT</t>
  </si>
  <si>
    <t>d</t>
  </si>
  <si>
    <t>Bull / Base Scenarios</t>
  </si>
  <si>
    <t>Pipeline Scenario</t>
  </si>
  <si>
    <t>&lt;-- Sum of parts</t>
  </si>
  <si>
    <t>2437071</t>
  </si>
  <si>
    <t>Company</t>
  </si>
  <si>
    <t>4Q16</t>
  </si>
  <si>
    <t>Co. Guidance</t>
  </si>
  <si>
    <t>Discontinued Programs</t>
  </si>
  <si>
    <t>Approved Products</t>
  </si>
  <si>
    <t>Discontinued programs</t>
  </si>
  <si>
    <t>Bear Case Approved Products</t>
  </si>
  <si>
    <t>Consensus Revenues</t>
  </si>
  <si>
    <t>2024 Convertible Notes</t>
  </si>
  <si>
    <t>RIC</t>
  </si>
  <si>
    <t>SG&amp;A(% total revs)</t>
  </si>
  <si>
    <t>R&amp;D(% total revs)</t>
  </si>
  <si>
    <t>TotalPegvaliase Sales ($M)</t>
  </si>
  <si>
    <t>% of revenue</t>
  </si>
  <si>
    <t xml:space="preserve"> % of revenue</t>
  </si>
  <si>
    <t>% operating expenses</t>
  </si>
  <si>
    <t>Capital expenditures, net</t>
  </si>
  <si>
    <t>2014 capital expenditures</t>
  </si>
  <si>
    <t>2015 capital expenditures</t>
  </si>
  <si>
    <t>2016 capital expenditures</t>
  </si>
  <si>
    <t>2017 capital expenditures</t>
  </si>
  <si>
    <t>2018 capital expenditures</t>
  </si>
  <si>
    <t>2019 capital expenditures</t>
  </si>
  <si>
    <t>2020 capital expenditures</t>
  </si>
  <si>
    <t>2021 capital expenditures</t>
  </si>
  <si>
    <t>2022 capital expenditures</t>
  </si>
  <si>
    <t>2023 capital expenditures</t>
  </si>
  <si>
    <t>2024 capital expenditures</t>
  </si>
  <si>
    <t>2025 capital expenditures</t>
  </si>
  <si>
    <t>2026 capital expenditures</t>
  </si>
  <si>
    <t>2027 capital expenditures</t>
  </si>
  <si>
    <t>2028 capital expenditures</t>
  </si>
  <si>
    <t>2029 capital expenditures</t>
  </si>
  <si>
    <t>2030 capital expenditures</t>
  </si>
  <si>
    <t xml:space="preserve"> % Exercisable</t>
  </si>
  <si>
    <t xml:space="preserve"> % Cancelled </t>
  </si>
  <si>
    <t xml:space="preserve"> % of Outstanding Options</t>
  </si>
  <si>
    <t xml:space="preserve"> Statutory Tax rate</t>
  </si>
  <si>
    <t>U.S. Severe Hemophilia A- % of Addressable Naive Mkt</t>
  </si>
  <si>
    <t>U.S. Severe Hemophilia A- % of Addressable Booster Mkt</t>
  </si>
  <si>
    <t>E.U. Severe Hemophilia A- % of Addressable Naive Mkt</t>
  </si>
  <si>
    <t>E.U. Severe Hemophilia A- % of Addressable Booster Mkt</t>
  </si>
  <si>
    <t>1Q18</t>
  </si>
  <si>
    <t>2Q18</t>
  </si>
  <si>
    <t>3Q18</t>
  </si>
  <si>
    <t>4Q18</t>
  </si>
  <si>
    <t>$460-500M</t>
  </si>
  <si>
    <t>$325-355M</t>
  </si>
  <si>
    <t>$440-480M</t>
  </si>
  <si>
    <t>$1,470-1,530M</t>
  </si>
  <si>
    <t>$35-55M</t>
  </si>
  <si>
    <t>$645-685M</t>
  </si>
  <si>
    <t>$575-615M</t>
  </si>
  <si>
    <t>$100-140M</t>
  </si>
  <si>
    <t>112</t>
  </si>
  <si>
    <t>In PhIII trials</t>
  </si>
  <si>
    <t>Awaiting approval</t>
  </si>
  <si>
    <t>Consensus EPS</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</si>
  <si>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</si>
  <si>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</si>
  <si>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</si>
  <si>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</si>
  <si>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</si>
  <si>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</si>
  <si>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</si>
  <si>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Matthew Harrison, David Lebowitz</t>
  </si>
  <si>
    <t>Date: 13 Apr 2018</t>
  </si>
  <si>
    <t>Ticker: BMRN.O</t>
  </si>
  <si>
    <t>Stock Rating: Overweight</t>
  </si>
  <si>
    <t>Industry: Biotechnology</t>
  </si>
  <si>
    <t>Industry View: In-Line</t>
  </si>
  <si>
    <t>Price as of 13 Apr 2018: 83.58</t>
  </si>
  <si>
    <t>Target Price: 112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</si>
  <si>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</si>
  <si>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</si>
  <si>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</si>
  <si>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</si>
  <si>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Biomarin Pharmaceutical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</si>
  <si>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</si>
  <si>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</si>
  <si>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</si>
  <si>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</si>
  <si>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</si>
  <si>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</si>
  <si>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</si>
  <si>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</si>
  <si>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</si>
  <si>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</si>
  <si>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</si>
  <si>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</si>
  <si>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</si>
  <si>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</si>
  <si>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</si>
  <si>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</si>
  <si>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</si>
  <si>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</si>
  <si>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</si>
  <si>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</si>
  <si>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</si>
  <si>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</si>
  <si>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</si>
  <si>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</si>
  <si>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</si>
  <si>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</si>
  <si>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</si>
  <si>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</si>
  <si>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</si>
  <si>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</si>
  <si>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</si>
  <si>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</si>
  <si>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</si>
  <si>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</si>
  <si>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</si>
  <si>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</si>
  <si>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</si>
  <si>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</si>
  <si>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</si>
  <si>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</si>
  <si>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</si>
  <si>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</si>
  <si>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</si>
  <si>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</si>
  <si>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</si>
  <si>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</si>
  <si>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</si>
  <si>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</si>
  <si>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</si>
  <si>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</si>
  <si>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</si>
  <si>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</si>
  <si>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</si>
  <si>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</si>
  <si>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</si>
  <si>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</si>
  <si>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</si>
  <si>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</si>
  <si>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</si>
  <si>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</si>
  <si>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</si>
  <si>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</si>
  <si>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</si>
  <si>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</si>
  <si>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</si>
  <si>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</si>
  <si>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</si>
  <si>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</si>
  <si>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</si>
  <si>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</si>
  <si>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</si>
  <si>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</si>
  <si>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</si>
  <si>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</si>
  <si>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</si>
  <si>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</si>
  <si>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</si>
  <si>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</si>
  <si>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</si>
  <si>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</si>
  <si>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</si>
  <si>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</si>
  <si>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</si>
  <si>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</si>
  <si>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</si>
  <si>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</si>
  <si>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</si>
  <si>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</si>
  <si>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</si>
  <si>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</si>
  <si>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</si>
  <si>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</si>
  <si>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</si>
  <si>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</si>
  <si>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</si>
  <si>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</si>
  <si>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</si>
  <si>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</si>
  <si>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</si>
  <si>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</si>
  <si>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</si>
  <si>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</si>
  <si>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</si>
  <si>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</si>
  <si>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</si>
  <si>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</si>
  <si>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</si>
  <si>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</si>
  <si>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</si>
  <si>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</si>
  <si>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</si>
  <si>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</si>
  <si>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</si>
  <si>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</si>
  <si>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</si>
  <si>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</si>
  <si>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</si>
  <si>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</si>
  <si>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</si>
  <si>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</si>
  <si>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</si>
  <si>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</si>
  <si>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</si>
  <si>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</si>
  <si>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</si>
  <si>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</si>
  <si>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</si>
  <si>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</si>
  <si>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</si>
  <si>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</si>
  <si>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</si>
  <si>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</si>
  <si>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</si>
  <si>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</si>
  <si>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</si>
  <si>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</si>
  <si>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</si>
  <si>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</si>
  <si>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</si>
  <si>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</si>
  <si>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</si>
  <si>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</si>
  <si>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</si>
  <si>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</si>
  <si>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</si>
  <si>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</si>
  <si>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</si>
  <si>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</si>
  <si>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</si>
  <si>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</si>
  <si>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</si>
  <si>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</si>
  <si>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</si>
  <si>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</si>
  <si>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</si>
  <si>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</si>
  <si>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</si>
  <si>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</si>
  <si>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</si>
  <si>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</si>
  <si>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</si>
  <si>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</si>
  <si>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</si>
  <si>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</si>
  <si>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</si>
  <si>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</si>
  <si>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</si>
  <si>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</si>
  <si>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</si>
  <si>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</si>
  <si>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</si>
  <si>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</si>
  <si>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</si>
  <si>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</si>
  <si>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</si>
  <si>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Biomarin Pharmaceutical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</si>
  <si>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</si>
  <si>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</si>
  <si>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</si>
  <si>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</si>
  <si>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</si>
  <si>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</si>
  <si>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</si>
  <si>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</si>
  <si>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</si>
  <si>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</si>
  <si>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</si>
  <si>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</si>
  <si>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</si>
  <si>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</si>
  <si>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</si>
  <si>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</si>
  <si>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</si>
  <si>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</si>
  <si>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</si>
  <si>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</si>
  <si>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</si>
  <si>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</si>
  <si>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</si>
  <si>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</si>
  <si>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</si>
  <si>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</si>
  <si>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</si>
  <si>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</si>
  <si>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</si>
  <si>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</si>
  <si>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</si>
  <si>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</si>
  <si>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</si>
  <si>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</si>
  <si>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</si>
  <si>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</si>
  <si>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</si>
  <si>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</si>
  <si>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</si>
  <si>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</si>
  <si>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</si>
  <si>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</si>
  <si>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</si>
  <si>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</si>
  <si>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</si>
  <si>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</si>
  <si>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</si>
  <si>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</si>
  <si>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</si>
  <si>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</si>
  <si>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</si>
  <si>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</si>
  <si>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</si>
  <si>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</si>
  <si>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</si>
  <si>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</si>
  <si>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</si>
  <si>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</si>
  <si>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</si>
  <si>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</si>
  <si>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</si>
  <si>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</si>
  <si>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</si>
  <si>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</si>
  <si>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</si>
  <si>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</si>
  <si>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</si>
  <si>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</si>
  <si>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Biomarin Pharmaceutical Inc.</t>
  </si>
  <si>
    <t>Within the last 12 months, Morgan Stanley has provided or is providing investment banking services to,</t>
  </si>
  <si>
    <t>or has an investment banking client relationship with, the following company: Biomarin Pharmaceutical</t>
  </si>
  <si>
    <t>Inc.</t>
  </si>
  <si>
    <t>In the next 3 months, Morgan Stanley expects to receive or intends to seek compensation for investment</t>
  </si>
  <si>
    <t>banking services from Biomarin Pharmaceutical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</si>
  <si>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</si>
  <si>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</si>
  <si>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</si>
  <si>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</si>
  <si>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</si>
  <si>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Harrison.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</si>
  <si>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</si>
  <si>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</si>
  <si>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</si>
  <si>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</si>
  <si>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</si>
  <si>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</si>
  <si>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</si>
  <si>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</si>
  <si>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</si>
  <si>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</si>
  <si>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</si>
  <si>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</si>
  <si>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</si>
  <si>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</si>
  <si>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</si>
  <si>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</si>
  <si>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</si>
  <si>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</si>
  <si>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</si>
  <si>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</si>
  <si>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</si>
  <si>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</si>
  <si>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</si>
  <si>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</si>
  <si>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</si>
  <si>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</si>
  <si>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</si>
  <si>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</si>
  <si>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</si>
  <si>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</si>
  <si>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</si>
  <si>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</si>
  <si>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</si>
  <si>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</si>
  <si>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</si>
  <si>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</si>
  <si>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</si>
  <si>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</si>
  <si>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</si>
  <si>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</si>
  <si>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</si>
  <si>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</si>
  <si>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</si>
  <si>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</si>
  <si>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</si>
  <si>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</si>
  <si>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</si>
  <si>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</si>
  <si>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</si>
  <si>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</si>
  <si>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</si>
  <si>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</si>
  <si>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</si>
  <si>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</si>
  <si>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</si>
  <si>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</si>
  <si>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</si>
  <si>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</si>
  <si>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</si>
  <si>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</si>
  <si>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</si>
  <si>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</si>
  <si>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</si>
  <si>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</si>
  <si>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</si>
  <si>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</si>
  <si>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</si>
  <si>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</si>
  <si>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</si>
  <si>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</si>
  <si>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asante</t>
  </si>
  <si>
    <t>MSA72HLP, MSA23MLF</t>
  </si>
  <si>
    <t>09061G101</t>
  </si>
  <si>
    <t>L:\HEALTH\Biotech\Harrison\Models\BMRN_MH.xlsm</t>
  </si>
  <si>
    <t>[BRO MSA]</t>
  </si>
  <si>
    <t>[PRODUCT MODEL]</t>
  </si>
  <si>
    <t>[EMAIL_ALERT YES]</t>
  </si>
  <si>
    <t>[DISCIPLINE Company]</t>
  </si>
  <si>
    <t>[SUPPRESSED NO]</t>
  </si>
  <si>
    <t>[DOCDAT 2018-04-13]</t>
  </si>
  <si>
    <t>[DOCTIME 10:39]</t>
  </si>
  <si>
    <t>[PSYM BMRN.O(S&amp;P) (None)]</t>
  </si>
  <si>
    <t>[COU 1]</t>
  </si>
  <si>
    <t>[ANA MSA23MLF]</t>
  </si>
  <si>
    <t>[HL BMRN.O Model]</t>
  </si>
  <si>
    <t>[IND BIOTEC]</t>
  </si>
  <si>
    <t>[PANA MSA72HLP]</t>
  </si>
</sst>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0.0"/>
    <numFmt numFmtId="167" formatCode="_(* #,##0.0_);_(* \(#,##0.0\);_(* &quot;-&quot;??_);_(@_)"/>
    <numFmt numFmtId="168" formatCode="#,##0.0_);\(#,##0.0\)"/>
    <numFmt numFmtId="169" formatCode="0.000%"/>
    <numFmt numFmtId="170" formatCode="0.0000%"/>
    <numFmt numFmtId="171" formatCode="&quot;$&quot;#,##0.0_);[Red]\(&quot;$&quot;#,##0.0\)"/>
    <numFmt numFmtId="172" formatCode="&quot;$&quot;#,##0.00"/>
    <numFmt numFmtId="173" formatCode="&quot;$&quot;#,##0"/>
    <numFmt numFmtId="174" formatCode="_(* #,##0_);_(* \(#,##0\);_(* &quot;-&quot;??_);_(@_)"/>
    <numFmt numFmtId="175" formatCode="&quot;$&quot;#,##0.0_);\(&quot;$&quot;#,##0.0\)"/>
    <numFmt numFmtId="176" formatCode="0_);\(0\)"/>
    <numFmt numFmtId="177" formatCode="0.0_);\(0.0\);0.0_)"/>
    <numFmt numFmtId="178" formatCode="#,##0.000000_);\(#,##0.000000\)"/>
    <numFmt numFmtId="179" formatCode="_(* #,##0.000_);_(* \(#,##0.000\);_(* &quot;-&quot;??_);_(@_)"/>
    <numFmt numFmtId="180" formatCode="0_);[Red]\(0\)"/>
    <numFmt numFmtId="181" formatCode="0.0_);[Red]\(0.0\)"/>
    <numFmt numFmtId="182" formatCode="#,##0.00000000000000"/>
    <numFmt numFmtId="183" formatCode="#,##0.0"/>
    <numFmt numFmtId="184" formatCode="0.000_);\(0.000\);0.000_)"/>
    <numFmt numFmtId="190" formatCode="&quot;$&quot;#,##0.0"/>
    <numFmt numFmtId="191" formatCode="&quot;$&quot;#,##0.000_);\(&quot;$&quot;#,##0.000\)"/>
    <numFmt numFmtId="192" formatCode="#,##0.000_);\(#,##0.000\)"/>
    <numFmt numFmtId="198" formatCode="mm/dd/yy\ hh:mm"/>
  </numFmts>
  <fonts count="79">
    <font>
      <sz val="10.5"/>
      <name val="Frutiger 45 Light"/>
    </font>
    <font>
      <sz val="11"/>
      <color theme="1"/>
      <name val="Calibri"/>
      <family val="2"/>
      <scheme val="minor"/>
    </font>
    <font>
      <sz val="11"/>
      <color theme="1"/>
      <name val="Calibri"/>
      <family val="2"/>
      <scheme val="minor"/>
    </font>
    <font>
      <sz val="10.5"/>
      <name val="Frutiger 45 Light"/>
    </font>
    <font>
      <sz val="8"/>
      <name val="Frutiger 45 Light"/>
      <family val="2"/>
    </font>
    <font>
      <sz val="8"/>
      <color indexed="81"/>
      <name val="Tahoma"/>
      <family val="2"/>
    </font>
    <font>
      <sz val="10"/>
      <name val="Arial"/>
      <family val="2"/>
    </font>
    <font>
      <sz val="10"/>
      <name val="MS Sans Serif"/>
      <family val="2"/>
    </font>
    <font>
      <sz val="10"/>
      <color indexed="24"/>
      <name val="Arial"/>
      <family val="2"/>
    </font>
    <font>
      <sz val="8"/>
      <name val="Arial"/>
      <family val="2"/>
    </font>
    <font>
      <b/>
      <sz val="18"/>
      <color indexed="24"/>
      <name val="Arial"/>
      <family val="2"/>
    </font>
    <font>
      <b/>
      <sz val="12"/>
      <color indexed="24"/>
      <name val="Arial"/>
      <family val="2"/>
    </font>
    <font>
      <b/>
      <sz val="10"/>
      <name val="Arial"/>
      <family val="2"/>
    </font>
    <font>
      <b/>
      <sz val="24"/>
      <name val="Sabon"/>
      <family val="2"/>
    </font>
    <font>
      <i/>
      <sz val="8"/>
      <name val="Times New Roman"/>
      <family val="1"/>
    </font>
    <font>
      <sz val="10"/>
      <name val="Frutiger 45 Light"/>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1"/>
      <color indexed="62"/>
      <name val="Calibri"/>
      <family val="2"/>
    </font>
    <font>
      <sz val="11"/>
      <color indexed="10"/>
      <name val="Calibri"/>
      <family val="2"/>
    </font>
    <font>
      <sz val="11"/>
      <color indexed="19"/>
      <name val="Calibri"/>
      <family val="2"/>
    </font>
    <font>
      <b/>
      <sz val="11"/>
      <color indexed="63"/>
      <name val="Calibri"/>
      <family val="2"/>
    </font>
    <font>
      <b/>
      <sz val="9"/>
      <color indexed="81"/>
      <name val="Tahoma"/>
      <family val="2"/>
    </font>
    <font>
      <sz val="9"/>
      <color indexed="81"/>
      <name val="Tahoma"/>
      <family val="2"/>
    </font>
    <font>
      <b/>
      <sz val="10"/>
      <color indexed="8"/>
      <name val="Times New Roman"/>
      <family val="1"/>
    </font>
    <font>
      <sz val="9"/>
      <name val="Times New Roman"/>
      <family val="1"/>
    </font>
    <font>
      <sz val="10"/>
      <color indexed="8"/>
      <name val="Times New Roman"/>
      <family val="1"/>
    </font>
    <font>
      <sz val="10"/>
      <name val="Arial"/>
      <family val="2"/>
    </font>
    <font>
      <sz val="11"/>
      <color theme="1"/>
      <name val="Calibri"/>
      <family val="2"/>
      <scheme val="minor"/>
    </font>
    <font>
      <sz val="8"/>
      <color indexed="22"/>
      <name val="Arial"/>
      <family val="2"/>
    </font>
    <font>
      <i/>
      <sz val="8"/>
      <name val="Arial"/>
      <family val="2"/>
    </font>
    <font>
      <sz val="10"/>
      <color theme="1"/>
      <name val="Arial"/>
      <family val="2"/>
    </font>
    <font>
      <b/>
      <sz val="10"/>
      <color theme="1"/>
      <name val="Arial"/>
      <family val="2"/>
    </font>
    <font>
      <i/>
      <sz val="10"/>
      <color rgb="FFFF0000"/>
      <name val="Arial"/>
      <family val="2"/>
    </font>
    <font>
      <sz val="10"/>
      <color rgb="FFFF0000"/>
      <name val="Arial"/>
      <family val="2"/>
    </font>
    <font>
      <i/>
      <sz val="10"/>
      <name val="Arial"/>
      <family val="2"/>
    </font>
    <font>
      <sz val="10"/>
      <color rgb="FF0070C0"/>
      <name val="Arial"/>
      <family val="2"/>
    </font>
    <font>
      <sz val="10"/>
      <color indexed="12"/>
      <name val="Arial"/>
      <family val="2"/>
    </font>
    <font>
      <i/>
      <sz val="10"/>
      <color indexed="53"/>
      <name val="Arial"/>
      <family val="2"/>
    </font>
    <font>
      <i/>
      <sz val="10"/>
      <color indexed="10"/>
      <name val="Arial"/>
      <family val="2"/>
    </font>
    <font>
      <sz val="10"/>
      <color rgb="FF0000FF"/>
      <name val="Arial"/>
      <family val="2"/>
    </font>
    <font>
      <b/>
      <sz val="10"/>
      <color indexed="8"/>
      <name val="Arial"/>
      <family val="2"/>
    </font>
    <font>
      <sz val="10"/>
      <color indexed="8"/>
      <name val="Arial"/>
      <family val="2"/>
    </font>
    <font>
      <sz val="10"/>
      <color indexed="9"/>
      <name val="Arial"/>
      <family val="2"/>
    </font>
    <font>
      <b/>
      <i/>
      <sz val="10"/>
      <color rgb="FF0000FF"/>
      <name val="Arial"/>
      <family val="2"/>
    </font>
    <font>
      <b/>
      <sz val="10"/>
      <color rgb="FF0000FF"/>
      <name val="Arial"/>
      <family val="2"/>
    </font>
    <font>
      <i/>
      <sz val="10"/>
      <color rgb="FF0000FF"/>
      <name val="Arial"/>
      <family val="2"/>
    </font>
    <font>
      <i/>
      <sz val="10"/>
      <color rgb="FF0070C0"/>
      <name val="Arial"/>
      <family val="2"/>
    </font>
    <font>
      <i/>
      <sz val="10"/>
      <color indexed="8"/>
      <name val="Arial"/>
      <family val="2"/>
    </font>
    <font>
      <sz val="10"/>
      <color indexed="10"/>
      <name val="Arial"/>
      <family val="2"/>
    </font>
    <font>
      <sz val="10.5"/>
      <name val="Arial"/>
      <family val="2"/>
    </font>
    <font>
      <u/>
      <sz val="10"/>
      <name val="Arial"/>
      <family val="2"/>
    </font>
    <font>
      <b/>
      <u/>
      <sz val="10"/>
      <name val="Arial"/>
      <family val="2"/>
    </font>
    <font>
      <i/>
      <sz val="10"/>
      <color indexed="12"/>
      <name val="Arial"/>
      <family val="2"/>
    </font>
    <font>
      <i/>
      <sz val="10"/>
      <color theme="1"/>
      <name val="Arial"/>
      <family val="2"/>
    </font>
    <font>
      <b/>
      <sz val="10.5"/>
      <name val="Arial"/>
      <family val="2"/>
    </font>
    <font>
      <sz val="11"/>
      <color theme="1"/>
      <name val="Arial"/>
      <family val="2"/>
    </font>
    <font>
      <sz val="10"/>
      <color indexed="23"/>
      <name val="Arial"/>
      <family val="2"/>
    </font>
    <font>
      <b/>
      <i/>
      <sz val="11"/>
      <color theme="0"/>
      <name val="Calibri"/>
      <family val="2"/>
      <scheme val="minor"/>
    </font>
    <font>
      <sz val="10"/>
      <color theme="0"/>
      <name val="Arial"/>
      <family val="2"/>
    </font>
    <font>
      <b/>
      <sz val="10"/>
      <color theme="0"/>
      <name val="Arial"/>
      <family val="2"/>
    </font>
    <font>
      <sz val="10"/>
      <name val="Helv"/>
    </font>
    <font>
      <sz val="12"/>
      <color theme="1"/>
      <name val="Calibri"/>
      <family val="2"/>
      <scheme val="minor"/>
    </font>
    <font>
      <sz val="12"/>
      <name val="바탕체"/>
      <family val="3"/>
      <charset val="129"/>
    </font>
    <font>
      <sz val="12"/>
      <name val="바탕체"/>
      <family val="3"/>
    </font>
    <font>
      <sz val="10"/>
      <color theme="6" tint="0.79998168889431442"/>
      <name val="Arial"/>
      <family val="2"/>
    </font>
    <font>
      <sz val="10"/>
      <name val="Arial"/>
      <family val="2"/>
    </font>
    <font>
      <b/>
      <sz val="10"/>
      <color rgb="FFFFFFCC"/>
      <name val="Arial"/>
      <family val="2"/>
    </font>
    <font>
      <b/>
      <i/>
      <sz val="10"/>
      <color rgb="FFFF0000"/>
      <name val="Arial"/>
      <family val="2"/>
    </font>
    <font>
      <u/>
      <sz val="10"/>
      <color theme="10"/>
      <name val="Arial"/>
      <family val="2"/>
    </font>
    <font>
      <sz val="10"/>
      <name val="Courier"/>
      <family val="3"/>
    </font>
    <font>
      <sz val="11"/>
      <name val="Arial"/>
      <family val="2"/>
    </font>
    <font>
      <sz val="10"/>
      <color rgb="FF000000"/>
      <name val="Arial"/>
      <family val="2"/>
    </font>
    <font>
      <b/>
      <sz val="12"/>
      <color rgb="FF000080"/>
      <name val="Arial"/>
      <family val="2"/>
    </font>
  </fonts>
  <fills count="37">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22"/>
      </patternFill>
    </fill>
    <fill>
      <patternFill patternType="solid">
        <fgColor indexed="43"/>
        <bgColor indexed="64"/>
      </patternFill>
    </fill>
    <fill>
      <patternFill patternType="solid">
        <fgColor indexed="9"/>
        <bgColor indexed="64"/>
      </patternFill>
    </fill>
    <fill>
      <patternFill patternType="solid">
        <fgColor indexed="6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79998168889431442"/>
        <bgColor indexed="64"/>
      </patternFill>
    </fill>
    <fill>
      <patternFill patternType="solid">
        <fgColor rgb="FFFFFFCC"/>
        <bgColor indexed="64"/>
      </patternFill>
    </fill>
    <fill>
      <patternFill patternType="solid">
        <fgColor theme="3" tint="0.79998168889431442"/>
        <bgColor indexed="64"/>
      </patternFill>
    </fill>
    <fill>
      <patternFill patternType="solid">
        <fgColor rgb="FFFFFF99"/>
        <bgColor indexed="64"/>
      </patternFill>
    </fill>
    <fill>
      <patternFill patternType="solid">
        <fgColor rgb="FF006393"/>
        <bgColor indexed="64"/>
      </patternFill>
    </fill>
    <fill>
      <patternFill patternType="solid">
        <fgColor rgb="FF00B050"/>
        <bgColor indexed="64"/>
      </patternFill>
    </fill>
    <fill>
      <patternFill patternType="solid">
        <fgColor rgb="FFFFFFFF"/>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rgb="FFFFC000"/>
        <bgColor indexed="64"/>
      </patternFill>
    </fill>
    <fill>
      <patternFill patternType="solid">
        <fgColor rgb="FF3366FF"/>
        <bgColor indexed="64"/>
      </patternFill>
    </fill>
  </fills>
  <borders count="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double">
        <color indexed="64"/>
      </top>
      <bottom/>
      <diagonal/>
    </border>
    <border>
      <left/>
      <right/>
      <top style="thin">
        <color indexed="64"/>
      </top>
      <bottom style="thin">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thin">
        <color indexed="64"/>
      </left>
      <right style="thin">
        <color auto="1"/>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05">
    <xf numFmtId="0" fontId="0" fillId="0" borderId="0"/>
    <xf numFmtId="0" fontId="6" fillId="0" borderId="0"/>
    <xf numFmtId="0" fontId="7" fillId="0" borderId="0"/>
    <xf numFmtId="0" fontId="7"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4" borderId="0" applyNumberFormat="0" applyBorder="0" applyAlignment="0" applyProtection="0"/>
    <xf numFmtId="0" fontId="16" fillId="6" borderId="0" applyNumberFormat="0" applyBorder="0" applyAlignment="0" applyProtection="0"/>
    <xf numFmtId="0" fontId="16" fillId="3"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6" borderId="0" applyNumberFormat="0" applyBorder="0" applyAlignment="0" applyProtection="0"/>
    <xf numFmtId="0" fontId="16" fillId="4" borderId="0" applyNumberFormat="0" applyBorder="0" applyAlignment="0" applyProtection="0"/>
    <xf numFmtId="0" fontId="17" fillId="6"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8" borderId="0" applyNumberFormat="0" applyBorder="0" applyAlignment="0" applyProtection="0"/>
    <xf numFmtId="0" fontId="17" fillId="6" borderId="0" applyNumberFormat="0" applyBorder="0" applyAlignment="0" applyProtection="0"/>
    <xf numFmtId="0" fontId="17" fillId="3" borderId="0" applyNumberFormat="0" applyBorder="0" applyAlignment="0" applyProtection="0"/>
    <xf numFmtId="0" fontId="17" fillId="11"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8" fillId="15" borderId="0" applyNumberFormat="0" applyBorder="0" applyAlignment="0" applyProtection="0"/>
    <xf numFmtId="0" fontId="29" fillId="0" borderId="0"/>
    <xf numFmtId="0" fontId="19" fillId="16" borderId="1" applyNumberFormat="0" applyAlignment="0" applyProtection="0"/>
    <xf numFmtId="0" fontId="20" fillId="17" borderId="2" applyNumberFormat="0" applyAlignment="0" applyProtection="0"/>
    <xf numFmtId="43" fontId="3" fillId="0" borderId="0" applyFont="0" applyFill="0" applyBorder="0" applyAlignment="0" applyProtection="0"/>
    <xf numFmtId="43" fontId="33" fillId="0" borderId="0" applyFont="0" applyFill="0" applyBorder="0" applyAlignment="0" applyProtection="0"/>
    <xf numFmtId="44" fontId="33" fillId="0" borderId="0" applyFont="0" applyFill="0" applyBorder="0" applyAlignment="0" applyProtection="0"/>
    <xf numFmtId="44" fontId="32" fillId="0" borderId="0" applyFont="0" applyFill="0" applyBorder="0" applyAlignment="0" applyProtection="0"/>
    <xf numFmtId="0" fontId="21" fillId="0" borderId="0" applyNumberFormat="0" applyFill="0" applyBorder="0" applyAlignment="0" applyProtection="0"/>
    <xf numFmtId="0" fontId="22" fillId="6"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23" fillId="0" borderId="3" applyNumberFormat="0" applyFill="0" applyAlignment="0" applyProtection="0"/>
    <xf numFmtId="0" fontId="23" fillId="0" borderId="0" applyNumberFormat="0" applyFill="0" applyBorder="0" applyAlignment="0" applyProtection="0"/>
    <xf numFmtId="168" fontId="9" fillId="18" borderId="0"/>
    <xf numFmtId="0" fontId="24" fillId="0" borderId="4" applyNumberFormat="0" applyFill="0" applyAlignment="0" applyProtection="0"/>
    <xf numFmtId="0" fontId="25" fillId="7" borderId="0" applyNumberFormat="0" applyBorder="0" applyAlignment="0" applyProtection="0"/>
    <xf numFmtId="0" fontId="33" fillId="0" borderId="0"/>
    <xf numFmtId="0" fontId="33" fillId="0" borderId="0"/>
    <xf numFmtId="0" fontId="6" fillId="0" borderId="0"/>
    <xf numFmtId="0" fontId="6" fillId="4" borderId="5" applyNumberFormat="0" applyFont="0" applyAlignment="0" applyProtection="0"/>
    <xf numFmtId="0" fontId="26" fillId="16" borderId="6" applyNumberFormat="0" applyAlignment="0" applyProtection="0"/>
    <xf numFmtId="0" fontId="30" fillId="0" borderId="0">
      <alignment vertical="center"/>
    </xf>
    <xf numFmtId="9" fontId="3" fillId="0" borderId="0" applyFont="0" applyFill="0" applyBorder="0" applyAlignment="0" applyProtection="0"/>
    <xf numFmtId="9" fontId="33" fillId="0" borderId="0" applyFont="0" applyFill="0" applyBorder="0" applyAlignment="0" applyProtection="0"/>
    <xf numFmtId="0" fontId="6" fillId="19" borderId="0" applyNumberFormat="0" applyFont="0" applyBorder="0" applyAlignment="0" applyProtection="0"/>
    <xf numFmtId="0" fontId="31" fillId="0" borderId="0"/>
    <xf numFmtId="0" fontId="31" fillId="0" borderId="7">
      <alignment horizontal="centerContinuous"/>
    </xf>
    <xf numFmtId="0" fontId="14" fillId="0" borderId="7"/>
    <xf numFmtId="0" fontId="13" fillId="0" borderId="0" applyNumberFormat="0" applyFill="0" applyBorder="0" applyProtection="0">
      <alignment vertical="center"/>
    </xf>
    <xf numFmtId="0" fontId="8" fillId="0" borderId="8" applyNumberFormat="0" applyFont="0" applyFill="0" applyAlignment="0" applyProtection="0"/>
    <xf numFmtId="0" fontId="24" fillId="0" borderId="0" applyNumberFormat="0" applyFill="0" applyBorder="0" applyAlignment="0" applyProtection="0"/>
    <xf numFmtId="0" fontId="6" fillId="0" borderId="0"/>
    <xf numFmtId="0" fontId="6" fillId="0" borderId="0"/>
    <xf numFmtId="0" fontId="9" fillId="0" borderId="0" applyNumberFormat="0" applyFont="0" applyFill="0" applyBorder="0" applyAlignment="0" applyProtection="0"/>
    <xf numFmtId="0" fontId="6" fillId="0" borderId="0"/>
    <xf numFmtId="9" fontId="34" fillId="0" borderId="0" applyFont="0" applyFill="0" applyBorder="0" applyAlignment="0" applyProtection="0"/>
    <xf numFmtId="0" fontId="61" fillId="0" borderId="0"/>
    <xf numFmtId="0" fontId="6" fillId="0" borderId="0"/>
    <xf numFmtId="0" fontId="6" fillId="0" borderId="0"/>
    <xf numFmtId="9" fontId="1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0" fontId="6" fillId="0" borderId="0">
      <alignment vertical="top"/>
    </xf>
    <xf numFmtId="0" fontId="6" fillId="0" borderId="0">
      <alignment vertical="top"/>
    </xf>
    <xf numFmtId="0" fontId="6" fillId="0" borderId="0" applyNumberFormat="0" applyFill="0" applyBorder="0" applyAlignment="0" applyProtection="0"/>
    <xf numFmtId="0" fontId="66" fillId="0" borderId="0"/>
    <xf numFmtId="0" fontId="7" fillId="0" borderId="0"/>
    <xf numFmtId="0" fontId="7" fillId="0" borderId="0"/>
    <xf numFmtId="0" fontId="7" fillId="0" borderId="0"/>
    <xf numFmtId="0" fontId="7" fillId="0" borderId="0"/>
    <xf numFmtId="0" fontId="7" fillId="0" borderId="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xf numFmtId="0" fontId="6" fillId="0" borderId="0"/>
    <xf numFmtId="0" fontId="67" fillId="0" borderId="0"/>
    <xf numFmtId="0" fontId="6" fillId="0" borderId="0" applyFont="0" applyFill="0" applyBorder="0" applyAlignment="0" applyProtection="0"/>
    <xf numFmtId="0" fontId="68" fillId="0" borderId="0" applyFont="0" applyFill="0" applyBorder="0" applyAlignment="0" applyProtection="0"/>
    <xf numFmtId="0" fontId="69" fillId="0" borderId="0"/>
    <xf numFmtId="9" fontId="2" fillId="0" borderId="0" applyFont="0" applyFill="0" applyBorder="0" applyAlignment="0" applyProtection="0"/>
    <xf numFmtId="0" fontId="34" fillId="0" borderId="0"/>
    <xf numFmtId="0" fontId="67" fillId="0" borderId="0"/>
    <xf numFmtId="0" fontId="6" fillId="0" borderId="0"/>
    <xf numFmtId="0" fontId="67" fillId="0" borderId="0"/>
    <xf numFmtId="0" fontId="71" fillId="0" borderId="0"/>
    <xf numFmtId="4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applyNumberFormat="0" applyFill="0" applyBorder="0" applyAlignment="0" applyProtection="0"/>
    <xf numFmtId="0" fontId="74" fillId="0" borderId="0" applyNumberFormat="0" applyFill="0" applyBorder="0" applyAlignment="0" applyProtection="0">
      <alignment vertical="top"/>
      <protection locked="0"/>
    </xf>
    <xf numFmtId="0" fontId="1" fillId="0" borderId="0"/>
    <xf numFmtId="0" fontId="75" fillId="0" borderId="0"/>
  </cellStyleXfs>
  <cellXfs count="769">
    <xf numFmtId="0" fontId="0" fillId="0" borderId="0" xfId="0"/>
    <xf numFmtId="0" fontId="6" fillId="0" borderId="0" xfId="61"/>
    <xf numFmtId="49" fontId="0" fillId="0" borderId="0" xfId="0" applyNumberFormat="1"/>
    <xf numFmtId="0" fontId="12" fillId="26" borderId="24" xfId="0" applyFont="1" applyFill="1" applyBorder="1" applyAlignment="1">
      <alignment horizontal="center" vertical="center"/>
    </xf>
    <xf numFmtId="0" fontId="6" fillId="20" borderId="0" xfId="60" applyFont="1" applyFill="1"/>
    <xf numFmtId="167" fontId="6" fillId="24" borderId="0" xfId="33" applyNumberFormat="1" applyFont="1" applyFill="1" applyBorder="1"/>
    <xf numFmtId="0" fontId="6" fillId="20" borderId="0" xfId="60" applyFont="1" applyFill="1" applyBorder="1" applyAlignment="1"/>
    <xf numFmtId="0" fontId="6" fillId="20" borderId="0" xfId="60" applyFont="1" applyFill="1" applyBorder="1"/>
    <xf numFmtId="0" fontId="6" fillId="0" borderId="0" xfId="0" applyFont="1"/>
    <xf numFmtId="0" fontId="12" fillId="24" borderId="0" xfId="0" applyFont="1" applyFill="1" applyBorder="1" applyAlignment="1">
      <alignment horizontal="right"/>
    </xf>
    <xf numFmtId="0" fontId="6" fillId="20" borderId="0" xfId="60" applyFont="1" applyFill="1" applyBorder="1" applyAlignment="1">
      <alignment wrapText="1"/>
    </xf>
    <xf numFmtId="0" fontId="38" fillId="28" borderId="0" xfId="0" applyFont="1" applyFill="1" applyBorder="1"/>
    <xf numFmtId="43" fontId="39" fillId="28" borderId="0" xfId="33" applyNumberFormat="1" applyFont="1" applyFill="1"/>
    <xf numFmtId="0" fontId="40" fillId="20" borderId="0" xfId="60" applyFont="1" applyFill="1" applyBorder="1"/>
    <xf numFmtId="179" fontId="6" fillId="20" borderId="0" xfId="60" applyNumberFormat="1" applyFont="1" applyFill="1" applyBorder="1" applyAlignment="1"/>
    <xf numFmtId="174" fontId="6" fillId="20" borderId="0" xfId="32" applyNumberFormat="1" applyFont="1" applyFill="1" applyAlignment="1"/>
    <xf numFmtId="0" fontId="12" fillId="24" borderId="0" xfId="0" applyNumberFormat="1" applyFont="1" applyFill="1" applyBorder="1"/>
    <xf numFmtId="43" fontId="6" fillId="20" borderId="0" xfId="60" applyNumberFormat="1" applyFont="1" applyFill="1" applyBorder="1" applyAlignment="1"/>
    <xf numFmtId="175" fontId="6" fillId="24" borderId="29" xfId="0" applyNumberFormat="1" applyFont="1" applyFill="1" applyBorder="1"/>
    <xf numFmtId="168" fontId="6" fillId="20" borderId="22" xfId="60" applyNumberFormat="1" applyFont="1" applyFill="1" applyBorder="1" applyAlignment="1"/>
    <xf numFmtId="168" fontId="6" fillId="20" borderId="30" xfId="60" applyNumberFormat="1" applyFont="1" applyFill="1" applyBorder="1" applyAlignment="1"/>
    <xf numFmtId="175" fontId="6" fillId="24" borderId="31" xfId="0" applyNumberFormat="1" applyFont="1" applyFill="1" applyBorder="1"/>
    <xf numFmtId="168" fontId="6" fillId="20" borderId="0" xfId="60" applyNumberFormat="1" applyFont="1" applyFill="1" applyBorder="1" applyAlignment="1"/>
    <xf numFmtId="168" fontId="6" fillId="20" borderId="32" xfId="60" applyNumberFormat="1" applyFont="1" applyFill="1" applyBorder="1" applyAlignment="1"/>
    <xf numFmtId="168" fontId="6" fillId="24" borderId="31" xfId="0" applyNumberFormat="1" applyFont="1" applyFill="1" applyBorder="1"/>
    <xf numFmtId="168" fontId="6" fillId="24" borderId="33" xfId="0" applyNumberFormat="1" applyFont="1" applyFill="1" applyBorder="1"/>
    <xf numFmtId="168" fontId="6" fillId="20" borderId="14" xfId="60" applyNumberFormat="1" applyFont="1" applyFill="1" applyBorder="1" applyAlignment="1"/>
    <xf numFmtId="168" fontId="6" fillId="20" borderId="34" xfId="60" applyNumberFormat="1" applyFont="1" applyFill="1" applyBorder="1" applyAlignment="1"/>
    <xf numFmtId="180" fontId="12" fillId="0" borderId="0" xfId="60" applyNumberFormat="1" applyFont="1" applyFill="1" applyBorder="1" applyAlignment="1">
      <alignment horizontal="left" wrapText="1"/>
    </xf>
    <xf numFmtId="180" fontId="12" fillId="20" borderId="0" xfId="60" applyNumberFormat="1" applyFont="1" applyFill="1" applyBorder="1" applyAlignment="1"/>
    <xf numFmtId="0" fontId="12" fillId="24" borderId="0" xfId="0" applyFont="1" applyFill="1" applyBorder="1"/>
    <xf numFmtId="168" fontId="6" fillId="24" borderId="29" xfId="0" applyNumberFormat="1" applyFont="1" applyFill="1" applyBorder="1"/>
    <xf numFmtId="165" fontId="6" fillId="24" borderId="22" xfId="0" applyNumberFormat="1" applyFont="1" applyFill="1" applyBorder="1" applyAlignment="1">
      <alignment horizontal="right"/>
    </xf>
    <xf numFmtId="165" fontId="6" fillId="24" borderId="0" xfId="0" applyNumberFormat="1" applyFont="1" applyFill="1" applyBorder="1" applyAlignment="1">
      <alignment horizontal="right"/>
    </xf>
    <xf numFmtId="165" fontId="6" fillId="24" borderId="32" xfId="0" applyNumberFormat="1" applyFont="1" applyFill="1" applyBorder="1" applyAlignment="1">
      <alignment horizontal="right"/>
    </xf>
    <xf numFmtId="37" fontId="6" fillId="24" borderId="31" xfId="0" applyNumberFormat="1" applyFont="1" applyFill="1" applyBorder="1" applyAlignment="1"/>
    <xf numFmtId="0" fontId="6" fillId="24" borderId="31" xfId="0" applyFont="1" applyFill="1" applyBorder="1" applyAlignment="1">
      <alignment horizontal="left"/>
    </xf>
    <xf numFmtId="164" fontId="6" fillId="24" borderId="31" xfId="0" applyNumberFormat="1" applyFont="1" applyFill="1" applyBorder="1"/>
    <xf numFmtId="164" fontId="6" fillId="24" borderId="0" xfId="0" applyNumberFormat="1" applyFont="1" applyFill="1" applyBorder="1" applyAlignment="1">
      <alignment horizontal="right"/>
    </xf>
    <xf numFmtId="164" fontId="41" fillId="24" borderId="0" xfId="0" applyNumberFormat="1" applyFont="1" applyFill="1" applyBorder="1" applyAlignment="1">
      <alignment horizontal="right"/>
    </xf>
    <xf numFmtId="164" fontId="41" fillId="24" borderId="32" xfId="0" applyNumberFormat="1" applyFont="1" applyFill="1" applyBorder="1" applyAlignment="1">
      <alignment horizontal="right"/>
    </xf>
    <xf numFmtId="164" fontId="6" fillId="24" borderId="0" xfId="0" applyNumberFormat="1" applyFont="1" applyFill="1" applyBorder="1"/>
    <xf numFmtId="164" fontId="6" fillId="24" borderId="33" xfId="0" applyNumberFormat="1" applyFont="1" applyFill="1" applyBorder="1"/>
    <xf numFmtId="164" fontId="6" fillId="24" borderId="14" xfId="0" applyNumberFormat="1" applyFont="1" applyFill="1" applyBorder="1" applyAlignment="1">
      <alignment horizontal="right"/>
    </xf>
    <xf numFmtId="164" fontId="41" fillId="24" borderId="14" xfId="0" applyNumberFormat="1" applyFont="1" applyFill="1" applyBorder="1" applyAlignment="1">
      <alignment horizontal="right"/>
    </xf>
    <xf numFmtId="164" fontId="41" fillId="24" borderId="34" xfId="0" applyNumberFormat="1" applyFont="1" applyFill="1" applyBorder="1" applyAlignment="1">
      <alignment horizontal="right"/>
    </xf>
    <xf numFmtId="175" fontId="12" fillId="24" borderId="29" xfId="0" applyNumberFormat="1" applyFont="1" applyFill="1" applyBorder="1"/>
    <xf numFmtId="180" fontId="12" fillId="20" borderId="22" xfId="60" applyNumberFormat="1" applyFont="1" applyFill="1" applyBorder="1" applyAlignment="1"/>
    <xf numFmtId="165" fontId="12" fillId="24" borderId="22" xfId="0" applyNumberFormat="1" applyFont="1" applyFill="1" applyBorder="1" applyAlignment="1">
      <alignment horizontal="right"/>
    </xf>
    <xf numFmtId="165" fontId="12" fillId="24" borderId="30" xfId="0" applyNumberFormat="1" applyFont="1" applyFill="1" applyBorder="1" applyAlignment="1">
      <alignment horizontal="right"/>
    </xf>
    <xf numFmtId="165" fontId="41" fillId="24" borderId="0" xfId="0" applyNumberFormat="1" applyFont="1" applyFill="1" applyBorder="1" applyAlignment="1">
      <alignment horizontal="right"/>
    </xf>
    <xf numFmtId="165" fontId="41" fillId="24" borderId="32" xfId="0" applyNumberFormat="1" applyFont="1" applyFill="1" applyBorder="1" applyAlignment="1">
      <alignment horizontal="right"/>
    </xf>
    <xf numFmtId="175" fontId="12" fillId="24" borderId="33" xfId="0" applyNumberFormat="1" applyFont="1" applyFill="1" applyBorder="1"/>
    <xf numFmtId="180" fontId="12" fillId="20" borderId="14" xfId="60" applyNumberFormat="1" applyFont="1" applyFill="1" applyBorder="1" applyAlignment="1"/>
    <xf numFmtId="181" fontId="12" fillId="20" borderId="14" xfId="60" applyNumberFormat="1" applyFont="1" applyFill="1" applyBorder="1" applyAlignment="1"/>
    <xf numFmtId="165" fontId="12" fillId="24" borderId="14" xfId="0" applyNumberFormat="1" applyFont="1" applyFill="1" applyBorder="1" applyAlignment="1">
      <alignment horizontal="right"/>
    </xf>
    <xf numFmtId="165" fontId="12" fillId="24" borderId="34" xfId="0" applyNumberFormat="1" applyFont="1" applyFill="1" applyBorder="1" applyAlignment="1">
      <alignment horizontal="right"/>
    </xf>
    <xf numFmtId="180" fontId="41" fillId="20" borderId="0" xfId="60" applyNumberFormat="1" applyFont="1" applyFill="1" applyBorder="1" applyAlignment="1"/>
    <xf numFmtId="0" fontId="12" fillId="24" borderId="29" xfId="0" applyFont="1" applyFill="1" applyBorder="1"/>
    <xf numFmtId="181" fontId="12" fillId="20" borderId="0" xfId="60" applyNumberFormat="1" applyFont="1" applyFill="1" applyBorder="1" applyAlignment="1"/>
    <xf numFmtId="168" fontId="12" fillId="24" borderId="33" xfId="0" applyNumberFormat="1" applyFont="1" applyFill="1" applyBorder="1"/>
    <xf numFmtId="0" fontId="6" fillId="24" borderId="0" xfId="60" applyFont="1" applyFill="1"/>
    <xf numFmtId="0" fontId="6" fillId="24" borderId="0" xfId="60" applyFont="1" applyFill="1" applyBorder="1" applyAlignment="1"/>
    <xf numFmtId="0" fontId="6" fillId="24" borderId="0" xfId="60" applyFont="1" applyFill="1" applyBorder="1"/>
    <xf numFmtId="0" fontId="6" fillId="24" borderId="0" xfId="0" applyFont="1" applyFill="1"/>
    <xf numFmtId="0" fontId="12" fillId="24" borderId="14" xfId="60" applyFont="1" applyFill="1" applyBorder="1"/>
    <xf numFmtId="0" fontId="12" fillId="24" borderId="9" xfId="0" applyFont="1" applyFill="1" applyBorder="1" applyAlignment="1">
      <alignment horizontal="left"/>
    </xf>
    <xf numFmtId="0" fontId="6" fillId="24" borderId="14" xfId="0" applyFont="1" applyFill="1" applyBorder="1"/>
    <xf numFmtId="0" fontId="12" fillId="24" borderId="0" xfId="60" applyFont="1" applyFill="1" applyBorder="1"/>
    <xf numFmtId="0" fontId="35" fillId="24" borderId="0" xfId="61" applyFont="1" applyFill="1" applyBorder="1" applyAlignment="1">
      <alignment horizontal="left" vertical="center"/>
    </xf>
    <xf numFmtId="0" fontId="6" fillId="24" borderId="0" xfId="0" applyFont="1" applyFill="1" applyBorder="1"/>
    <xf numFmtId="0" fontId="12" fillId="24" borderId="0" xfId="60" applyFont="1" applyFill="1" applyBorder="1" applyAlignment="1">
      <alignment horizontal="left" wrapText="1"/>
    </xf>
    <xf numFmtId="174" fontId="6" fillId="24" borderId="0" xfId="60" applyNumberFormat="1" applyFont="1" applyFill="1" applyBorder="1" applyAlignment="1"/>
    <xf numFmtId="0" fontId="6" fillId="24" borderId="0" xfId="60" applyFont="1" applyFill="1" applyBorder="1" applyAlignment="1">
      <alignment horizontal="left" wrapText="1" indent="1"/>
    </xf>
    <xf numFmtId="167" fontId="6" fillId="24" borderId="0" xfId="32" applyNumberFormat="1" applyFont="1" applyFill="1" applyBorder="1" applyAlignment="1"/>
    <xf numFmtId="168" fontId="36" fillId="24" borderId="0" xfId="32" applyNumberFormat="1" applyFont="1" applyFill="1" applyBorder="1" applyAlignment="1"/>
    <xf numFmtId="0" fontId="6" fillId="24" borderId="14" xfId="60" applyFont="1" applyFill="1" applyBorder="1" applyAlignment="1">
      <alignment horizontal="left" wrapText="1" indent="1"/>
    </xf>
    <xf numFmtId="168" fontId="36" fillId="24" borderId="14" xfId="32" applyNumberFormat="1" applyFont="1" applyFill="1" applyBorder="1" applyAlignment="1"/>
    <xf numFmtId="167" fontId="12" fillId="24" borderId="0" xfId="32" applyNumberFormat="1" applyFont="1" applyFill="1" applyBorder="1" applyAlignment="1"/>
    <xf numFmtId="175" fontId="37" fillId="24" borderId="0" xfId="32" applyNumberFormat="1" applyFont="1" applyFill="1" applyBorder="1" applyAlignment="1"/>
    <xf numFmtId="0" fontId="12" fillId="24" borderId="25" xfId="60" applyFont="1" applyFill="1" applyBorder="1" applyAlignment="1">
      <alignment horizontal="left" vertical="center" wrapText="1"/>
    </xf>
    <xf numFmtId="175" fontId="37" fillId="24" borderId="9" xfId="32" applyNumberFormat="1" applyFont="1" applyFill="1" applyBorder="1" applyAlignment="1"/>
    <xf numFmtId="0" fontId="12" fillId="24" borderId="0" xfId="60" applyFont="1" applyFill="1" applyBorder="1" applyAlignment="1">
      <alignment wrapText="1"/>
    </xf>
    <xf numFmtId="0" fontId="12" fillId="24" borderId="0" xfId="60" applyFont="1" applyFill="1"/>
    <xf numFmtId="167" fontId="36" fillId="24" borderId="0" xfId="32" applyNumberFormat="1" applyFont="1" applyFill="1" applyBorder="1" applyAlignment="1"/>
    <xf numFmtId="167" fontId="36" fillId="24" borderId="14" xfId="32" applyNumberFormat="1" applyFont="1" applyFill="1" applyBorder="1" applyAlignment="1"/>
    <xf numFmtId="164" fontId="6" fillId="24" borderId="0" xfId="0" applyNumberFormat="1" applyFont="1" applyFill="1"/>
    <xf numFmtId="167" fontId="36" fillId="24" borderId="0" xfId="0" applyNumberFormat="1" applyFont="1" applyFill="1" applyBorder="1" applyAlignment="1"/>
    <xf numFmtId="0" fontId="12" fillId="24" borderId="27" xfId="60" applyFont="1" applyFill="1" applyBorder="1" applyAlignment="1">
      <alignment horizontal="left" vertical="center" wrapText="1"/>
    </xf>
    <xf numFmtId="175" fontId="37" fillId="24" borderId="23" xfId="32" applyNumberFormat="1" applyFont="1" applyFill="1" applyBorder="1" applyAlignment="1"/>
    <xf numFmtId="0" fontId="6" fillId="24" borderId="0" xfId="60" applyFont="1" applyFill="1" applyBorder="1" applyAlignment="1">
      <alignment wrapText="1"/>
    </xf>
    <xf numFmtId="0" fontId="37" fillId="24" borderId="0" xfId="0" applyFont="1" applyFill="1" applyBorder="1" applyAlignment="1">
      <alignment horizontal="right"/>
    </xf>
    <xf numFmtId="180" fontId="6" fillId="20" borderId="0" xfId="60" applyNumberFormat="1" applyFont="1" applyFill="1" applyBorder="1"/>
    <xf numFmtId="0" fontId="37" fillId="24" borderId="0" xfId="0" applyNumberFormat="1" applyFont="1" applyFill="1" applyBorder="1"/>
    <xf numFmtId="180" fontId="6" fillId="20" borderId="0" xfId="60" applyNumberFormat="1" applyFont="1" applyFill="1"/>
    <xf numFmtId="0" fontId="37" fillId="24" borderId="0" xfId="0" applyFont="1" applyFill="1" applyBorder="1"/>
    <xf numFmtId="0" fontId="36" fillId="24" borderId="0" xfId="0" applyFont="1" applyFill="1" applyBorder="1" applyAlignment="1">
      <alignment horizontal="left" indent="1"/>
    </xf>
    <xf numFmtId="168" fontId="36" fillId="24" borderId="0" xfId="32" applyNumberFormat="1" applyFont="1" applyFill="1" applyAlignment="1">
      <alignment horizontal="right"/>
    </xf>
    <xf numFmtId="176" fontId="6" fillId="20" borderId="0" xfId="32" applyNumberFormat="1" applyFont="1" applyFill="1" applyBorder="1" applyAlignment="1">
      <alignment horizontal="center"/>
    </xf>
    <xf numFmtId="180" fontId="40" fillId="20" borderId="0" xfId="60" applyNumberFormat="1" applyFont="1" applyFill="1" applyBorder="1"/>
    <xf numFmtId="0" fontId="12" fillId="24" borderId="0" xfId="63" applyFont="1" applyFill="1" applyBorder="1" applyAlignment="1">
      <alignment horizontal="left"/>
    </xf>
    <xf numFmtId="168" fontId="6" fillId="24" borderId="29" xfId="33" applyNumberFormat="1" applyFont="1" applyFill="1" applyBorder="1"/>
    <xf numFmtId="7" fontId="6" fillId="24" borderId="22" xfId="35" applyNumberFormat="1" applyFont="1" applyFill="1" applyBorder="1"/>
    <xf numFmtId="168" fontId="6" fillId="24" borderId="31" xfId="33" applyNumberFormat="1" applyFont="1" applyFill="1" applyBorder="1"/>
    <xf numFmtId="174" fontId="6" fillId="24" borderId="0" xfId="0" applyNumberFormat="1" applyFont="1" applyFill="1" applyBorder="1"/>
    <xf numFmtId="164" fontId="6" fillId="24" borderId="31" xfId="63" applyNumberFormat="1" applyFont="1" applyFill="1" applyBorder="1"/>
    <xf numFmtId="164" fontId="41" fillId="24" borderId="0" xfId="51" applyNumberFormat="1" applyFont="1" applyFill="1" applyBorder="1" applyAlignment="1"/>
    <xf numFmtId="164" fontId="41" fillId="24" borderId="32" xfId="51" applyNumberFormat="1" applyFont="1" applyFill="1" applyBorder="1" applyAlignment="1"/>
    <xf numFmtId="7" fontId="6" fillId="24" borderId="31" xfId="63" applyNumberFormat="1" applyFont="1" applyFill="1" applyBorder="1"/>
    <xf numFmtId="7" fontId="6" fillId="24" borderId="0" xfId="35" applyNumberFormat="1" applyFont="1" applyFill="1" applyBorder="1"/>
    <xf numFmtId="7" fontId="6" fillId="24" borderId="32" xfId="35" applyNumberFormat="1" applyFont="1" applyFill="1" applyBorder="1"/>
    <xf numFmtId="168" fontId="6" fillId="24" borderId="31" xfId="63" applyNumberFormat="1" applyFont="1" applyFill="1" applyBorder="1"/>
    <xf numFmtId="174" fontId="41" fillId="24" borderId="0" xfId="33" applyNumberFormat="1" applyFont="1" applyFill="1" applyBorder="1"/>
    <xf numFmtId="174" fontId="6" fillId="24" borderId="0" xfId="33" applyNumberFormat="1" applyFont="1" applyFill="1" applyBorder="1"/>
    <xf numFmtId="164" fontId="6" fillId="24" borderId="32" xfId="0" applyNumberFormat="1" applyFont="1" applyFill="1" applyBorder="1" applyAlignment="1">
      <alignment horizontal="right"/>
    </xf>
    <xf numFmtId="164" fontId="6" fillId="24" borderId="33" xfId="63" applyNumberFormat="1" applyFont="1" applyFill="1" applyBorder="1"/>
    <xf numFmtId="164" fontId="41" fillId="24" borderId="14" xfId="51" applyNumberFormat="1" applyFont="1" applyFill="1" applyBorder="1" applyAlignment="1"/>
    <xf numFmtId="164" fontId="41" fillId="24" borderId="34" xfId="51" applyNumberFormat="1" applyFont="1" applyFill="1" applyBorder="1" applyAlignment="1"/>
    <xf numFmtId="164" fontId="6" fillId="24" borderId="0" xfId="63" applyNumberFormat="1" applyFont="1" applyFill="1" applyBorder="1"/>
    <xf numFmtId="164" fontId="6" fillId="24" borderId="0" xfId="0" applyNumberFormat="1" applyFont="1" applyFill="1" applyBorder="1" applyAlignment="1"/>
    <xf numFmtId="168" fontId="40" fillId="24" borderId="0" xfId="63" applyNumberFormat="1" applyFont="1" applyFill="1" applyBorder="1"/>
    <xf numFmtId="167" fontId="40" fillId="24" borderId="0" xfId="33" applyNumberFormat="1" applyFont="1" applyFill="1"/>
    <xf numFmtId="167" fontId="41" fillId="24" borderId="22" xfId="33" applyNumberFormat="1" applyFont="1" applyFill="1" applyBorder="1"/>
    <xf numFmtId="174" fontId="41" fillId="24" borderId="32" xfId="33" applyNumberFormat="1" applyFont="1" applyFill="1" applyBorder="1"/>
    <xf numFmtId="167" fontId="41" fillId="24" borderId="0" xfId="33" applyNumberFormat="1" applyFont="1" applyFill="1" applyBorder="1"/>
    <xf numFmtId="167" fontId="36" fillId="24" borderId="0" xfId="33" applyNumberFormat="1" applyFont="1" applyFill="1" applyBorder="1"/>
    <xf numFmtId="167" fontId="6" fillId="24" borderId="32" xfId="33" applyNumberFormat="1" applyFont="1" applyFill="1" applyBorder="1"/>
    <xf numFmtId="175" fontId="12" fillId="24" borderId="33" xfId="63" applyNumberFormat="1" applyFont="1" applyFill="1" applyBorder="1"/>
    <xf numFmtId="174" fontId="12" fillId="22" borderId="14" xfId="0" applyNumberFormat="1" applyFont="1" applyFill="1" applyBorder="1"/>
    <xf numFmtId="175" fontId="12" fillId="24" borderId="0" xfId="63" applyNumberFormat="1" applyFont="1" applyFill="1" applyBorder="1"/>
    <xf numFmtId="167" fontId="12" fillId="24" borderId="0" xfId="0" applyNumberFormat="1" applyFont="1" applyFill="1"/>
    <xf numFmtId="0" fontId="43" fillId="24" borderId="0" xfId="0" applyFont="1" applyFill="1" applyBorder="1"/>
    <xf numFmtId="167" fontId="44" fillId="24" borderId="0" xfId="0" applyNumberFormat="1" applyFont="1" applyFill="1"/>
    <xf numFmtId="168" fontId="6" fillId="24" borderId="0" xfId="33" applyNumberFormat="1" applyFont="1" applyFill="1" applyBorder="1"/>
    <xf numFmtId="165" fontId="6" fillId="24" borderId="0" xfId="0" applyNumberFormat="1" applyFont="1" applyFill="1"/>
    <xf numFmtId="168" fontId="6" fillId="24" borderId="0" xfId="63" applyNumberFormat="1" applyFont="1" applyFill="1" applyBorder="1"/>
    <xf numFmtId="180" fontId="6" fillId="20" borderId="0" xfId="32" applyNumberFormat="1" applyFont="1" applyFill="1" applyBorder="1" applyAlignment="1">
      <alignment horizontal="center"/>
    </xf>
    <xf numFmtId="180" fontId="6" fillId="20" borderId="0" xfId="60" applyNumberFormat="1" applyFont="1" applyFill="1" applyBorder="1" applyAlignment="1">
      <alignment horizontal="center"/>
    </xf>
    <xf numFmtId="180" fontId="6" fillId="24" borderId="0" xfId="60" applyNumberFormat="1" applyFont="1" applyFill="1" applyBorder="1"/>
    <xf numFmtId="180" fontId="6" fillId="24" borderId="0" xfId="60" applyNumberFormat="1" applyFont="1" applyFill="1" applyBorder="1" applyAlignment="1">
      <alignment horizontal="center"/>
    </xf>
    <xf numFmtId="180" fontId="6" fillId="24" borderId="0" xfId="60" applyNumberFormat="1" applyFont="1" applyFill="1"/>
    <xf numFmtId="180" fontId="36" fillId="24" borderId="0" xfId="60" applyNumberFormat="1" applyFont="1" applyFill="1" applyAlignment="1">
      <alignment horizontal="right"/>
    </xf>
    <xf numFmtId="168" fontId="6" fillId="24" borderId="0" xfId="60" applyNumberFormat="1" applyFont="1" applyFill="1" applyBorder="1"/>
    <xf numFmtId="168" fontId="6" fillId="24" borderId="0" xfId="60" applyNumberFormat="1" applyFont="1" applyFill="1"/>
    <xf numFmtId="168" fontId="36" fillId="24" borderId="0" xfId="60" applyNumberFormat="1" applyFont="1" applyFill="1"/>
    <xf numFmtId="168" fontId="36" fillId="24" borderId="0" xfId="60" applyNumberFormat="1" applyFont="1" applyFill="1" applyBorder="1" applyAlignment="1">
      <alignment horizontal="left" wrapText="1" indent="2"/>
    </xf>
    <xf numFmtId="168" fontId="37" fillId="24" borderId="25" xfId="60" applyNumberFormat="1" applyFont="1" applyFill="1" applyBorder="1" applyAlignment="1">
      <alignment wrapText="1"/>
    </xf>
    <xf numFmtId="175" fontId="37" fillId="24" borderId="9" xfId="32" applyNumberFormat="1" applyFont="1" applyFill="1" applyBorder="1" applyAlignment="1">
      <alignment horizontal="right"/>
    </xf>
    <xf numFmtId="168" fontId="6" fillId="24" borderId="35" xfId="60" applyNumberFormat="1" applyFont="1" applyFill="1" applyBorder="1"/>
    <xf numFmtId="168" fontId="37" fillId="24" borderId="0" xfId="60" applyNumberFormat="1" applyFont="1" applyFill="1" applyBorder="1" applyAlignment="1">
      <alignment wrapText="1"/>
    </xf>
    <xf numFmtId="168" fontId="36" fillId="24" borderId="0" xfId="60" applyNumberFormat="1" applyFont="1" applyFill="1" applyBorder="1" applyAlignment="1">
      <alignment horizontal="left" wrapText="1" indent="1"/>
    </xf>
    <xf numFmtId="168" fontId="36" fillId="24" borderId="0" xfId="32" applyNumberFormat="1" applyFont="1" applyFill="1" applyBorder="1" applyAlignment="1">
      <alignment horizontal="right"/>
    </xf>
    <xf numFmtId="168" fontId="36" fillId="24" borderId="0" xfId="60" applyNumberFormat="1" applyFont="1" applyFill="1" applyAlignment="1">
      <alignment horizontal="right"/>
    </xf>
    <xf numFmtId="168" fontId="37" fillId="24" borderId="0" xfId="32" applyNumberFormat="1" applyFont="1" applyFill="1" applyBorder="1" applyAlignment="1">
      <alignment horizontal="right"/>
    </xf>
    <xf numFmtId="168" fontId="36" fillId="24" borderId="0" xfId="60" applyNumberFormat="1" applyFont="1" applyFill="1" applyBorder="1" applyAlignment="1">
      <alignment wrapText="1"/>
    </xf>
    <xf numFmtId="168" fontId="37" fillId="24" borderId="29" xfId="60" applyNumberFormat="1" applyFont="1" applyFill="1" applyBorder="1" applyAlignment="1">
      <alignment horizontal="left" wrapText="1"/>
    </xf>
    <xf numFmtId="168" fontId="37" fillId="24" borderId="22" xfId="32" applyNumberFormat="1" applyFont="1" applyFill="1" applyBorder="1" applyAlignment="1">
      <alignment horizontal="right"/>
    </xf>
    <xf numFmtId="168" fontId="37" fillId="24" borderId="30" xfId="32" applyNumberFormat="1" applyFont="1" applyFill="1" applyBorder="1" applyAlignment="1">
      <alignment horizontal="right"/>
    </xf>
    <xf numFmtId="180" fontId="37" fillId="24" borderId="31" xfId="60" applyNumberFormat="1" applyFont="1" applyFill="1" applyBorder="1" applyAlignment="1">
      <alignment horizontal="left" wrapText="1"/>
    </xf>
    <xf numFmtId="168" fontId="37" fillId="24" borderId="32" xfId="32" applyNumberFormat="1" applyFont="1" applyFill="1" applyBorder="1" applyAlignment="1">
      <alignment horizontal="right"/>
    </xf>
    <xf numFmtId="180" fontId="37" fillId="24" borderId="33" xfId="60" applyNumberFormat="1" applyFont="1" applyFill="1" applyBorder="1" applyAlignment="1">
      <alignment wrapText="1"/>
    </xf>
    <xf numFmtId="168" fontId="37" fillId="24" borderId="14" xfId="32" applyNumberFormat="1" applyFont="1" applyFill="1" applyBorder="1" applyAlignment="1">
      <alignment horizontal="right"/>
    </xf>
    <xf numFmtId="168" fontId="37" fillId="24" borderId="34" xfId="32" applyNumberFormat="1" applyFont="1" applyFill="1" applyBorder="1" applyAlignment="1">
      <alignment horizontal="right"/>
    </xf>
    <xf numFmtId="180" fontId="12" fillId="24" borderId="0" xfId="60" applyNumberFormat="1" applyFont="1" applyFill="1" applyBorder="1" applyAlignment="1">
      <alignment wrapText="1"/>
    </xf>
    <xf numFmtId="168" fontId="12" fillId="24" borderId="0" xfId="32" applyNumberFormat="1" applyFont="1" applyFill="1" applyBorder="1" applyAlignment="1">
      <alignment horizontal="right"/>
    </xf>
    <xf numFmtId="0" fontId="48" fillId="24" borderId="0" xfId="0" applyFont="1" applyFill="1"/>
    <xf numFmtId="0" fontId="42" fillId="24" borderId="0" xfId="0" applyNumberFormat="1" applyFont="1" applyFill="1"/>
    <xf numFmtId="176" fontId="12" fillId="27" borderId="9" xfId="0" applyNumberFormat="1" applyFont="1" applyFill="1" applyBorder="1" applyAlignment="1">
      <alignment horizontal="right"/>
    </xf>
    <xf numFmtId="176" fontId="12" fillId="24" borderId="9" xfId="0" applyNumberFormat="1" applyFont="1" applyFill="1" applyBorder="1" applyAlignment="1">
      <alignment horizontal="right"/>
    </xf>
    <xf numFmtId="168" fontId="45" fillId="27" borderId="0" xfId="0" applyNumberFormat="1" applyFont="1" applyFill="1"/>
    <xf numFmtId="168" fontId="41" fillId="27" borderId="0" xfId="0" applyNumberFormat="1" applyFont="1" applyFill="1"/>
    <xf numFmtId="177" fontId="6" fillId="24" borderId="0" xfId="0" applyNumberFormat="1" applyFont="1" applyFill="1" applyAlignment="1">
      <alignment horizontal="left" indent="1"/>
    </xf>
    <xf numFmtId="0" fontId="12" fillId="24" borderId="0" xfId="0" applyFont="1" applyFill="1"/>
    <xf numFmtId="177" fontId="12" fillId="24" borderId="9" xfId="0" applyNumberFormat="1" applyFont="1" applyFill="1" applyBorder="1"/>
    <xf numFmtId="175" fontId="12" fillId="24" borderId="9" xfId="0" applyNumberFormat="1" applyFont="1" applyFill="1" applyBorder="1"/>
    <xf numFmtId="177" fontId="6" fillId="24" borderId="0" xfId="0" applyNumberFormat="1" applyFont="1" applyFill="1" applyBorder="1" applyAlignment="1">
      <alignment horizontal="left" indent="1"/>
    </xf>
    <xf numFmtId="177" fontId="12" fillId="27" borderId="0" xfId="0" applyNumberFormat="1" applyFont="1" applyFill="1"/>
    <xf numFmtId="177" fontId="12" fillId="24" borderId="0" xfId="0" applyNumberFormat="1" applyFont="1" applyFill="1"/>
    <xf numFmtId="168" fontId="12" fillId="24" borderId="0" xfId="0" applyNumberFormat="1" applyFont="1" applyFill="1"/>
    <xf numFmtId="0" fontId="40" fillId="24" borderId="0" xfId="0" applyFont="1" applyFill="1"/>
    <xf numFmtId="177" fontId="49" fillId="24" borderId="0" xfId="0" applyNumberFormat="1" applyFont="1" applyFill="1" applyBorder="1" applyAlignment="1" applyProtection="1">
      <alignment horizontal="center"/>
    </xf>
    <xf numFmtId="177" fontId="12" fillId="27" borderId="0" xfId="0" applyNumberFormat="1" applyFont="1" applyFill="1" applyBorder="1" applyAlignment="1">
      <alignment vertical="center"/>
    </xf>
    <xf numFmtId="177" fontId="12" fillId="24" borderId="0" xfId="0" applyNumberFormat="1" applyFont="1" applyFill="1" applyBorder="1" applyAlignment="1">
      <alignment vertical="center"/>
    </xf>
    <xf numFmtId="168" fontId="12" fillId="27" borderId="0" xfId="0" applyNumberFormat="1" applyFont="1" applyFill="1" applyBorder="1" applyAlignment="1">
      <alignment vertical="center"/>
    </xf>
    <xf numFmtId="168" fontId="12" fillId="24" borderId="0" xfId="0" applyNumberFormat="1" applyFont="1" applyFill="1" applyBorder="1" applyAlignment="1">
      <alignment vertical="center"/>
    </xf>
    <xf numFmtId="168" fontId="50" fillId="27" borderId="0" xfId="0" applyNumberFormat="1" applyFont="1" applyFill="1" applyBorder="1" applyAlignment="1">
      <alignment vertical="center"/>
    </xf>
    <xf numFmtId="168" fontId="50" fillId="24" borderId="0" xfId="0" applyNumberFormat="1" applyFont="1" applyFill="1" applyBorder="1" applyAlignment="1">
      <alignment vertical="center"/>
    </xf>
    <xf numFmtId="9" fontId="40" fillId="24" borderId="0" xfId="51" applyFont="1" applyFill="1"/>
    <xf numFmtId="164" fontId="40" fillId="24" borderId="0" xfId="51" applyNumberFormat="1" applyFont="1" applyFill="1"/>
    <xf numFmtId="168" fontId="41" fillId="24" borderId="0" xfId="0" applyNumberFormat="1" applyFont="1" applyFill="1"/>
    <xf numFmtId="0" fontId="40" fillId="24" borderId="0" xfId="0" applyFont="1" applyFill="1" applyAlignment="1">
      <alignment horizontal="left" indent="1"/>
    </xf>
    <xf numFmtId="9" fontId="40" fillId="27" borderId="0" xfId="51" applyFont="1" applyFill="1"/>
    <xf numFmtId="39" fontId="12" fillId="24" borderId="0" xfId="0" applyNumberFormat="1" applyFont="1" applyFill="1"/>
    <xf numFmtId="0" fontId="12" fillId="24" borderId="10" xfId="0" applyFont="1" applyFill="1" applyBorder="1"/>
    <xf numFmtId="0" fontId="6" fillId="24" borderId="10" xfId="0" applyFont="1" applyFill="1" applyBorder="1"/>
    <xf numFmtId="165" fontId="6" fillId="24" borderId="10" xfId="0" applyNumberFormat="1" applyFont="1" applyFill="1" applyBorder="1"/>
    <xf numFmtId="0" fontId="6" fillId="24" borderId="0" xfId="0" quotePrefix="1" applyFont="1" applyFill="1" applyAlignment="1">
      <alignment horizontal="left" indent="1"/>
    </xf>
    <xf numFmtId="0" fontId="6" fillId="24" borderId="0" xfId="0" applyFont="1" applyFill="1" applyAlignment="1">
      <alignment horizontal="left" indent="1"/>
    </xf>
    <xf numFmtId="0" fontId="6" fillId="24" borderId="9" xfId="0" applyFont="1" applyFill="1" applyBorder="1"/>
    <xf numFmtId="168" fontId="6" fillId="24" borderId="9" xfId="0" applyNumberFormat="1" applyFont="1" applyFill="1" applyBorder="1"/>
    <xf numFmtId="0" fontId="12" fillId="24" borderId="9" xfId="0" applyFont="1" applyFill="1" applyBorder="1"/>
    <xf numFmtId="168" fontId="12" fillId="24" borderId="9" xfId="0" applyNumberFormat="1" applyFont="1" applyFill="1" applyBorder="1"/>
    <xf numFmtId="0" fontId="12" fillId="24" borderId="17" xfId="0" applyFont="1" applyFill="1" applyBorder="1" applyAlignment="1">
      <alignment vertical="center"/>
    </xf>
    <xf numFmtId="0" fontId="12" fillId="27" borderId="17" xfId="0" applyFont="1" applyFill="1" applyBorder="1" applyAlignment="1">
      <alignment horizontal="right" vertical="center"/>
    </xf>
    <xf numFmtId="0" fontId="12" fillId="24" borderId="17" xfId="0" applyFont="1" applyFill="1" applyBorder="1" applyAlignment="1">
      <alignment horizontal="right" vertical="center"/>
    </xf>
    <xf numFmtId="0" fontId="6" fillId="24" borderId="0" xfId="0" applyFont="1" applyFill="1" applyAlignment="1">
      <alignment vertical="center"/>
    </xf>
    <xf numFmtId="9" fontId="6" fillId="27" borderId="0" xfId="51" applyFont="1" applyFill="1"/>
    <xf numFmtId="9" fontId="6" fillId="24" borderId="0" xfId="51" applyFont="1" applyFill="1"/>
    <xf numFmtId="0" fontId="6" fillId="24" borderId="14" xfId="0" applyFont="1" applyFill="1" applyBorder="1" applyAlignment="1">
      <alignment vertical="center"/>
    </xf>
    <xf numFmtId="9" fontId="6" fillId="27" borderId="14" xfId="51" applyFont="1" applyFill="1" applyBorder="1"/>
    <xf numFmtId="9" fontId="6" fillId="24" borderId="14" xfId="51" applyFont="1" applyFill="1" applyBorder="1"/>
    <xf numFmtId="164" fontId="6" fillId="27" borderId="0" xfId="51" applyNumberFormat="1" applyFont="1" applyFill="1"/>
    <xf numFmtId="164" fontId="6" fillId="24" borderId="0" xfId="51" applyNumberFormat="1" applyFont="1" applyFill="1"/>
    <xf numFmtId="0" fontId="6" fillId="24" borderId="0" xfId="0" applyFont="1" applyFill="1" applyBorder="1" applyAlignment="1">
      <alignment vertical="center"/>
    </xf>
    <xf numFmtId="0" fontId="6" fillId="24" borderId="10" xfId="0" applyFont="1" applyFill="1" applyBorder="1" applyAlignment="1">
      <alignment vertical="center"/>
    </xf>
    <xf numFmtId="164" fontId="6" fillId="27" borderId="10" xfId="51" applyNumberFormat="1" applyFont="1" applyFill="1" applyBorder="1"/>
    <xf numFmtId="164" fontId="6" fillId="24" borderId="10" xfId="51" applyNumberFormat="1" applyFont="1" applyFill="1" applyBorder="1"/>
    <xf numFmtId="165" fontId="45" fillId="24" borderId="0" xfId="0" applyNumberFormat="1" applyFont="1" applyFill="1"/>
    <xf numFmtId="0" fontId="55" fillId="24" borderId="0" xfId="0" applyFont="1" applyFill="1" applyBorder="1"/>
    <xf numFmtId="165" fontId="55" fillId="24" borderId="0" xfId="0" applyNumberFormat="1" applyFont="1" applyFill="1"/>
    <xf numFmtId="176" fontId="37" fillId="23" borderId="9" xfId="45" applyNumberFormat="1" applyFont="1" applyFill="1" applyBorder="1" applyAlignment="1">
      <alignment horizontal="right" vertical="center"/>
    </xf>
    <xf numFmtId="176" fontId="37" fillId="23" borderId="22" xfId="45" applyNumberFormat="1" applyFont="1" applyFill="1" applyBorder="1" applyAlignment="1">
      <alignment horizontal="left" vertical="center"/>
    </xf>
    <xf numFmtId="176" fontId="37" fillId="23" borderId="22" xfId="45" applyNumberFormat="1" applyFont="1" applyFill="1" applyBorder="1" applyAlignment="1">
      <alignment horizontal="right" vertical="center"/>
    </xf>
    <xf numFmtId="168" fontId="6" fillId="21" borderId="0" xfId="33" applyNumberFormat="1" applyFont="1" applyFill="1" applyAlignment="1">
      <alignment horizontal="right" vertical="center"/>
    </xf>
    <xf numFmtId="175" fontId="12" fillId="21" borderId="9" xfId="33" applyNumberFormat="1" applyFont="1" applyFill="1" applyBorder="1" applyAlignment="1">
      <alignment horizontal="right" vertical="center"/>
    </xf>
    <xf numFmtId="0" fontId="36" fillId="21" borderId="0" xfId="45" applyFont="1" applyFill="1" applyAlignment="1">
      <alignment horizontal="left" vertical="center"/>
    </xf>
    <xf numFmtId="0" fontId="37" fillId="21" borderId="9" xfId="45" applyFont="1" applyFill="1" applyBorder="1" applyAlignment="1">
      <alignment horizontal="left" vertical="center"/>
    </xf>
    <xf numFmtId="0" fontId="40" fillId="24" borderId="0" xfId="47" applyFont="1" applyFill="1" applyAlignment="1">
      <alignment horizontal="left" vertical="center" indent="1"/>
    </xf>
    <xf numFmtId="164" fontId="36" fillId="24" borderId="0" xfId="51" applyNumberFormat="1" applyFont="1" applyFill="1" applyAlignment="1">
      <alignment horizontal="right" vertical="center"/>
    </xf>
    <xf numFmtId="0" fontId="12" fillId="24" borderId="0" xfId="47" applyFont="1" applyFill="1" applyAlignment="1">
      <alignment horizontal="right" vertical="center"/>
    </xf>
    <xf numFmtId="168" fontId="6" fillId="22" borderId="0" xfId="33" applyNumberFormat="1" applyFont="1" applyFill="1" applyAlignment="1">
      <alignment horizontal="right" vertical="center"/>
    </xf>
    <xf numFmtId="0" fontId="40" fillId="24" borderId="0" xfId="0" applyFont="1" applyFill="1" applyAlignment="1">
      <alignment horizontal="left" indent="2"/>
    </xf>
    <xf numFmtId="9" fontId="40" fillId="24" borderId="0" xfId="51" applyNumberFormat="1" applyFont="1" applyFill="1"/>
    <xf numFmtId="9" fontId="52" fillId="24" borderId="0" xfId="51" applyNumberFormat="1" applyFont="1" applyFill="1"/>
    <xf numFmtId="168" fontId="6" fillId="21" borderId="14" xfId="33" applyNumberFormat="1" applyFont="1" applyFill="1" applyBorder="1" applyAlignment="1">
      <alignment horizontal="right" vertical="center"/>
    </xf>
    <xf numFmtId="168" fontId="6" fillId="24" borderId="14" xfId="0" applyNumberFormat="1" applyFont="1" applyFill="1" applyBorder="1"/>
    <xf numFmtId="0" fontId="37" fillId="21" borderId="0" xfId="45" applyFont="1" applyFill="1" applyBorder="1" applyAlignment="1">
      <alignment horizontal="left" vertical="center"/>
    </xf>
    <xf numFmtId="175" fontId="12" fillId="21" borderId="0" xfId="33" applyNumberFormat="1" applyFont="1" applyFill="1" applyBorder="1" applyAlignment="1">
      <alignment horizontal="right" vertical="center"/>
    </xf>
    <xf numFmtId="0" fontId="36" fillId="21" borderId="0" xfId="45" applyFont="1" applyFill="1" applyBorder="1" applyAlignment="1">
      <alignment horizontal="left" vertical="center"/>
    </xf>
    <xf numFmtId="175" fontId="6" fillId="21" borderId="0" xfId="33" applyNumberFormat="1" applyFont="1" applyFill="1" applyBorder="1" applyAlignment="1">
      <alignment horizontal="right" vertical="center"/>
    </xf>
    <xf numFmtId="0" fontId="6" fillId="24" borderId="0" xfId="47" applyFont="1" applyFill="1" applyAlignment="1">
      <alignment vertical="center"/>
    </xf>
    <xf numFmtId="170" fontId="6" fillId="24" borderId="0" xfId="51" applyNumberFormat="1" applyFont="1" applyFill="1" applyAlignment="1">
      <alignment vertical="center"/>
    </xf>
    <xf numFmtId="0" fontId="55" fillId="24" borderId="15" xfId="0" applyFont="1" applyFill="1" applyBorder="1" applyAlignment="1">
      <alignment vertical="center"/>
    </xf>
    <xf numFmtId="0" fontId="55" fillId="24" borderId="0" xfId="0" applyFont="1" applyFill="1" applyBorder="1" applyAlignment="1">
      <alignment vertical="center"/>
    </xf>
    <xf numFmtId="0" fontId="55" fillId="24" borderId="0" xfId="0" applyFont="1" applyFill="1" applyAlignment="1">
      <alignment vertical="center"/>
    </xf>
    <xf numFmtId="0" fontId="12" fillId="24" borderId="0" xfId="47" applyFont="1" applyFill="1" applyAlignment="1">
      <alignment vertical="center"/>
    </xf>
    <xf numFmtId="176" fontId="12" fillId="24" borderId="0" xfId="0" applyNumberFormat="1" applyFont="1" applyFill="1" applyBorder="1" applyAlignment="1">
      <alignment horizontal="right" vertical="center"/>
    </xf>
    <xf numFmtId="0" fontId="6" fillId="24" borderId="0" xfId="47" applyFont="1" applyFill="1" applyAlignment="1">
      <alignment horizontal="left" vertical="center"/>
    </xf>
    <xf numFmtId="37" fontId="6" fillId="24" borderId="0" xfId="47" applyNumberFormat="1" applyFont="1" applyFill="1" applyAlignment="1">
      <alignment vertical="center"/>
    </xf>
    <xf numFmtId="37" fontId="36" fillId="24" borderId="0" xfId="47" applyNumberFormat="1" applyFont="1" applyFill="1" applyAlignment="1">
      <alignment vertical="center"/>
    </xf>
    <xf numFmtId="9" fontId="6" fillId="24" borderId="0" xfId="47" applyNumberFormat="1" applyFont="1" applyFill="1" applyAlignment="1">
      <alignment vertical="center"/>
    </xf>
    <xf numFmtId="176" fontId="12" fillId="24" borderId="0" xfId="47" applyNumberFormat="1" applyFont="1" applyFill="1" applyAlignment="1">
      <alignment horizontal="right" vertical="center"/>
    </xf>
    <xf numFmtId="170" fontId="6" fillId="24" borderId="0" xfId="47" applyNumberFormat="1" applyFont="1" applyFill="1" applyAlignment="1">
      <alignment vertical="center"/>
    </xf>
    <xf numFmtId="1" fontId="6" fillId="24" borderId="0" xfId="47" applyNumberFormat="1" applyFont="1" applyFill="1" applyAlignment="1">
      <alignment vertical="center"/>
    </xf>
    <xf numFmtId="0" fontId="56" fillId="24" borderId="0" xfId="47" applyFont="1" applyFill="1" applyAlignment="1">
      <alignment vertical="center"/>
    </xf>
    <xf numFmtId="0" fontId="36" fillId="25" borderId="0" xfId="45" applyFont="1" applyFill="1" applyAlignment="1">
      <alignment horizontal="left" vertical="center"/>
    </xf>
    <xf numFmtId="0" fontId="36" fillId="25" borderId="0" xfId="45" applyFont="1" applyFill="1" applyAlignment="1">
      <alignment horizontal="right" vertical="center"/>
    </xf>
    <xf numFmtId="9" fontId="41" fillId="25" borderId="0" xfId="47" applyNumberFormat="1" applyFont="1" applyFill="1" applyAlignment="1">
      <alignment vertical="center"/>
    </xf>
    <xf numFmtId="0" fontId="12" fillId="24" borderId="0" xfId="47" applyFont="1" applyFill="1" applyAlignment="1">
      <alignment horizontal="left" vertical="center"/>
    </xf>
    <xf numFmtId="9" fontId="12" fillId="24" borderId="0" xfId="47" applyNumberFormat="1" applyFont="1" applyFill="1" applyAlignment="1">
      <alignment vertical="center"/>
    </xf>
    <xf numFmtId="164" fontId="6" fillId="24" borderId="0" xfId="47" applyNumberFormat="1" applyFont="1" applyFill="1" applyAlignment="1">
      <alignment vertical="center"/>
    </xf>
    <xf numFmtId="0" fontId="12" fillId="24" borderId="0" xfId="47" applyFont="1" applyFill="1" applyBorder="1" applyAlignment="1">
      <alignment vertical="center"/>
    </xf>
    <xf numFmtId="9" fontId="41" fillId="24" borderId="0" xfId="47" applyNumberFormat="1" applyFont="1" applyFill="1" applyAlignment="1">
      <alignment vertical="center"/>
    </xf>
    <xf numFmtId="38" fontId="6" fillId="24" borderId="0" xfId="47" applyNumberFormat="1" applyFont="1" applyFill="1" applyAlignment="1">
      <alignment vertical="center"/>
    </xf>
    <xf numFmtId="0" fontId="6" fillId="24" borderId="0" xfId="47" applyFont="1" applyFill="1" applyBorder="1" applyAlignment="1">
      <alignment vertical="center"/>
    </xf>
    <xf numFmtId="6" fontId="41" fillId="24" borderId="0" xfId="47" applyNumberFormat="1" applyFont="1" applyFill="1" applyAlignment="1">
      <alignment vertical="center"/>
    </xf>
    <xf numFmtId="6" fontId="6" fillId="24" borderId="0" xfId="47" applyNumberFormat="1" applyFont="1" applyFill="1" applyAlignment="1">
      <alignment vertical="center"/>
    </xf>
    <xf numFmtId="171" fontId="6" fillId="24" borderId="0" xfId="47" applyNumberFormat="1" applyFont="1" applyFill="1" applyAlignment="1">
      <alignment vertical="center"/>
    </xf>
    <xf numFmtId="0" fontId="12" fillId="24" borderId="9" xfId="47" applyFont="1" applyFill="1" applyBorder="1" applyAlignment="1">
      <alignment vertical="center"/>
    </xf>
    <xf numFmtId="171" fontId="12" fillId="24" borderId="9" xfId="47" applyNumberFormat="1" applyFont="1" applyFill="1" applyBorder="1" applyAlignment="1">
      <alignment vertical="center"/>
    </xf>
    <xf numFmtId="0" fontId="40" fillId="24" borderId="0" xfId="47" applyFont="1" applyFill="1" applyAlignment="1">
      <alignment horizontal="left" vertical="center"/>
    </xf>
    <xf numFmtId="164" fontId="40" fillId="24" borderId="0" xfId="51" applyNumberFormat="1" applyFont="1" applyFill="1" applyAlignment="1">
      <alignment vertical="center"/>
    </xf>
    <xf numFmtId="0" fontId="40" fillId="24" borderId="0" xfId="47" applyFont="1" applyFill="1" applyAlignment="1">
      <alignment vertical="center"/>
    </xf>
    <xf numFmtId="168" fontId="6" fillId="24" borderId="0" xfId="47" applyNumberFormat="1" applyFont="1" applyFill="1" applyAlignment="1">
      <alignment vertical="center"/>
    </xf>
    <xf numFmtId="0" fontId="55" fillId="24" borderId="16" xfId="0" applyFont="1" applyFill="1" applyBorder="1" applyAlignment="1">
      <alignment vertical="center"/>
    </xf>
    <xf numFmtId="164" fontId="41" fillId="25" borderId="0" xfId="47" applyNumberFormat="1" applyFont="1" applyFill="1" applyAlignment="1">
      <alignment vertical="center"/>
    </xf>
    <xf numFmtId="164" fontId="6" fillId="25" borderId="0" xfId="47" applyNumberFormat="1" applyFont="1" applyFill="1" applyAlignment="1">
      <alignment vertical="center"/>
    </xf>
    <xf numFmtId="6" fontId="36" fillId="24" borderId="0" xfId="47" applyNumberFormat="1" applyFont="1" applyFill="1" applyAlignment="1">
      <alignment vertical="center"/>
    </xf>
    <xf numFmtId="0" fontId="37" fillId="24" borderId="9" xfId="47" applyFont="1" applyFill="1" applyBorder="1" applyAlignment="1">
      <alignment horizontal="left" vertical="center"/>
    </xf>
    <xf numFmtId="37" fontId="12" fillId="24" borderId="9" xfId="47" applyNumberFormat="1" applyFont="1" applyFill="1" applyBorder="1" applyAlignment="1">
      <alignment vertical="center"/>
    </xf>
    <xf numFmtId="0" fontId="57" fillId="24" borderId="0" xfId="47" applyFont="1" applyFill="1" applyAlignment="1">
      <alignment vertical="center"/>
    </xf>
    <xf numFmtId="164" fontId="40" fillId="24" borderId="0" xfId="47" applyNumberFormat="1" applyFont="1" applyFill="1" applyAlignment="1">
      <alignment vertical="center"/>
    </xf>
    <xf numFmtId="9" fontId="40" fillId="24" borderId="0" xfId="51" applyFont="1" applyFill="1" applyAlignment="1">
      <alignment vertical="center"/>
    </xf>
    <xf numFmtId="9" fontId="40" fillId="24" borderId="0" xfId="47" applyNumberFormat="1" applyFont="1" applyFill="1" applyAlignment="1">
      <alignment vertical="center"/>
    </xf>
    <xf numFmtId="0" fontId="12" fillId="24" borderId="14" xfId="47" applyFont="1" applyFill="1" applyBorder="1" applyAlignment="1">
      <alignment vertical="center"/>
    </xf>
    <xf numFmtId="0" fontId="6" fillId="24" borderId="14" xfId="47" applyFont="1" applyFill="1" applyBorder="1" applyAlignment="1">
      <alignment vertical="center"/>
    </xf>
    <xf numFmtId="164" fontId="6" fillId="24" borderId="0" xfId="51" applyNumberFormat="1" applyFont="1" applyFill="1" applyAlignment="1">
      <alignment vertical="center"/>
    </xf>
    <xf numFmtId="0" fontId="6" fillId="24" borderId="15" xfId="0" applyFont="1" applyFill="1" applyBorder="1" applyAlignment="1">
      <alignment vertical="center"/>
    </xf>
    <xf numFmtId="174" fontId="6" fillId="21" borderId="0" xfId="33" applyNumberFormat="1" applyFont="1" applyFill="1" applyAlignment="1">
      <alignment horizontal="center" vertical="center"/>
    </xf>
    <xf numFmtId="9" fontId="6" fillId="21" borderId="0" xfId="51" applyFont="1" applyFill="1" applyAlignment="1">
      <alignment horizontal="right" vertical="center"/>
    </xf>
    <xf numFmtId="0" fontId="37" fillId="21" borderId="0" xfId="45" applyFont="1" applyFill="1" applyAlignment="1">
      <alignment horizontal="left" vertical="center"/>
    </xf>
    <xf numFmtId="0" fontId="12" fillId="24" borderId="0" xfId="0" applyFont="1" applyFill="1" applyAlignment="1">
      <alignment vertical="center"/>
    </xf>
    <xf numFmtId="164" fontId="41" fillId="25" borderId="0" xfId="51" applyNumberFormat="1" applyFont="1" applyFill="1" applyAlignment="1">
      <alignment horizontal="right" vertical="center"/>
    </xf>
    <xf numFmtId="164" fontId="36" fillId="25" borderId="0" xfId="51" applyNumberFormat="1" applyFont="1" applyFill="1" applyAlignment="1">
      <alignment horizontal="right" vertical="center"/>
    </xf>
    <xf numFmtId="0" fontId="37" fillId="24" borderId="0" xfId="45" applyFont="1" applyFill="1" applyAlignment="1">
      <alignment horizontal="left" vertical="center"/>
    </xf>
    <xf numFmtId="164" fontId="37" fillId="24" borderId="0" xfId="51" applyNumberFormat="1" applyFont="1" applyFill="1" applyAlignment="1">
      <alignment horizontal="right" vertical="center"/>
    </xf>
    <xf numFmtId="174" fontId="41" fillId="21" borderId="0" xfId="33" applyNumberFormat="1" applyFont="1" applyFill="1" applyAlignment="1">
      <alignment horizontal="center" vertical="center"/>
    </xf>
    <xf numFmtId="167" fontId="6" fillId="21" borderId="0" xfId="33" applyNumberFormat="1" applyFont="1" applyFill="1" applyAlignment="1">
      <alignment horizontal="center" vertical="center"/>
    </xf>
    <xf numFmtId="175" fontId="6" fillId="21" borderId="0" xfId="33" applyNumberFormat="1" applyFont="1" applyFill="1" applyAlignment="1">
      <alignment horizontal="right" vertical="center"/>
    </xf>
    <xf numFmtId="175" fontId="12" fillId="24" borderId="9" xfId="33" applyNumberFormat="1" applyFont="1" applyFill="1" applyBorder="1" applyAlignment="1">
      <alignment horizontal="right" vertical="center"/>
    </xf>
    <xf numFmtId="0" fontId="12" fillId="24" borderId="0" xfId="0" applyFont="1" applyFill="1" applyAlignment="1">
      <alignment horizontal="center" vertical="center"/>
    </xf>
    <xf numFmtId="0" fontId="6" fillId="24" borderId="24" xfId="0" applyFont="1" applyFill="1" applyBorder="1" applyAlignment="1">
      <alignment horizontal="center" vertical="center"/>
    </xf>
    <xf numFmtId="173" fontId="6" fillId="24" borderId="24" xfId="0" applyNumberFormat="1" applyFont="1" applyFill="1" applyBorder="1" applyAlignment="1">
      <alignment horizontal="center" vertical="center"/>
    </xf>
    <xf numFmtId="0" fontId="6" fillId="24" borderId="0" xfId="0" applyFont="1" applyFill="1" applyBorder="1" applyAlignment="1">
      <alignment horizontal="center" vertical="center"/>
    </xf>
    <xf numFmtId="0" fontId="12" fillId="24" borderId="0" xfId="0" applyFont="1" applyFill="1" applyBorder="1" applyAlignment="1">
      <alignment horizontal="center" vertical="center"/>
    </xf>
    <xf numFmtId="173" fontId="6" fillId="24" borderId="0" xfId="0" applyNumberFormat="1" applyFont="1" applyFill="1" applyBorder="1" applyAlignment="1">
      <alignment horizontal="center" vertical="center"/>
    </xf>
    <xf numFmtId="176" fontId="37" fillId="23" borderId="9" xfId="45" applyNumberFormat="1" applyFont="1" applyFill="1" applyBorder="1" applyAlignment="1">
      <alignment horizontal="left" vertical="center"/>
    </xf>
    <xf numFmtId="164" fontId="42" fillId="25" borderId="0" xfId="51" applyNumberFormat="1" applyFont="1" applyFill="1" applyBorder="1" applyAlignment="1">
      <alignment horizontal="center" vertical="center"/>
    </xf>
    <xf numFmtId="164" fontId="42" fillId="25" borderId="0" xfId="0" applyNumberFormat="1" applyFont="1" applyFill="1" applyAlignment="1">
      <alignment horizontal="center" vertical="center"/>
    </xf>
    <xf numFmtId="164" fontId="41" fillId="25" borderId="0" xfId="0" applyNumberFormat="1" applyFont="1" applyFill="1" applyAlignment="1">
      <alignment horizontal="center" vertical="center"/>
    </xf>
    <xf numFmtId="164" fontId="41" fillId="25" borderId="0" xfId="0" applyNumberFormat="1" applyFont="1" applyFill="1" applyAlignment="1">
      <alignment vertical="center"/>
    </xf>
    <xf numFmtId="164" fontId="42" fillId="24" borderId="0" xfId="51" applyNumberFormat="1" applyFont="1" applyFill="1" applyBorder="1" applyAlignment="1">
      <alignment horizontal="center" vertical="center"/>
    </xf>
    <xf numFmtId="0" fontId="6" fillId="24" borderId="0" xfId="0" applyFont="1" applyFill="1" applyAlignment="1">
      <alignment horizontal="center" vertical="center"/>
    </xf>
    <xf numFmtId="164" fontId="42" fillId="24" borderId="0" xfId="0" applyNumberFormat="1" applyFont="1" applyFill="1" applyAlignment="1">
      <alignment horizontal="center" vertical="center"/>
    </xf>
    <xf numFmtId="164" fontId="42" fillId="24" borderId="0" xfId="0" applyNumberFormat="1" applyFont="1" applyFill="1" applyAlignment="1">
      <alignment vertical="center"/>
    </xf>
    <xf numFmtId="164" fontId="41" fillId="24" borderId="0" xfId="0" applyNumberFormat="1" applyFont="1" applyFill="1" applyAlignment="1">
      <alignment horizontal="center" vertical="center"/>
    </xf>
    <xf numFmtId="0" fontId="6" fillId="24" borderId="0" xfId="0" applyFont="1" applyFill="1" applyBorder="1" applyAlignment="1">
      <alignment horizontal="left" vertical="center"/>
    </xf>
    <xf numFmtId="3" fontId="36" fillId="24" borderId="0" xfId="0" applyNumberFormat="1" applyFont="1" applyFill="1" applyBorder="1" applyAlignment="1">
      <alignment horizontal="center" vertical="center"/>
    </xf>
    <xf numFmtId="3" fontId="36" fillId="24" borderId="0" xfId="0" applyNumberFormat="1" applyFont="1" applyFill="1" applyBorder="1" applyAlignment="1">
      <alignment vertical="center"/>
    </xf>
    <xf numFmtId="0" fontId="40" fillId="24" borderId="0" xfId="0" applyFont="1" applyFill="1" applyBorder="1" applyAlignment="1">
      <alignment horizontal="left" vertical="center"/>
    </xf>
    <xf numFmtId="164" fontId="58" fillId="24" borderId="0" xfId="0" applyNumberFormat="1" applyFont="1" applyFill="1" applyBorder="1" applyAlignment="1">
      <alignment horizontal="center" vertical="center"/>
    </xf>
    <xf numFmtId="164" fontId="59" fillId="24" borderId="0" xfId="0" applyNumberFormat="1" applyFont="1" applyFill="1" applyBorder="1" applyAlignment="1">
      <alignment horizontal="center" vertical="center"/>
    </xf>
    <xf numFmtId="164" fontId="59" fillId="24" borderId="0" xfId="0" applyNumberFormat="1" applyFont="1" applyFill="1" applyBorder="1" applyAlignment="1">
      <alignment vertical="center"/>
    </xf>
    <xf numFmtId="0" fontId="40" fillId="24" borderId="0" xfId="0" applyFont="1" applyFill="1" applyAlignment="1">
      <alignment vertical="center"/>
    </xf>
    <xf numFmtId="9" fontId="42" fillId="24" borderId="0" xfId="0" applyNumberFormat="1" applyFont="1" applyFill="1" applyBorder="1" applyAlignment="1">
      <alignment horizontal="center" vertical="center"/>
    </xf>
    <xf numFmtId="9" fontId="36" fillId="24" borderId="0" xfId="0" applyNumberFormat="1" applyFont="1" applyFill="1" applyBorder="1" applyAlignment="1">
      <alignment horizontal="center" vertical="center"/>
    </xf>
    <xf numFmtId="9" fontId="36" fillId="24" borderId="0" xfId="0" applyNumberFormat="1" applyFont="1" applyFill="1" applyBorder="1" applyAlignment="1">
      <alignment vertical="center"/>
    </xf>
    <xf numFmtId="3" fontId="6" fillId="24" borderId="0" xfId="0" applyNumberFormat="1" applyFont="1" applyFill="1" applyBorder="1" applyAlignment="1">
      <alignment horizontal="center" vertical="center"/>
    </xf>
    <xf numFmtId="3" fontId="6" fillId="24" borderId="0" xfId="0" applyNumberFormat="1" applyFont="1" applyFill="1" applyBorder="1" applyAlignment="1">
      <alignment vertical="center"/>
    </xf>
    <xf numFmtId="9" fontId="58" fillId="24" borderId="0" xfId="0" applyNumberFormat="1" applyFont="1" applyFill="1" applyBorder="1" applyAlignment="1">
      <alignment horizontal="center" vertical="center"/>
    </xf>
    <xf numFmtId="9" fontId="59" fillId="24" borderId="0" xfId="0" applyNumberFormat="1" applyFont="1" applyFill="1" applyBorder="1" applyAlignment="1">
      <alignment horizontal="center" vertical="center"/>
    </xf>
    <xf numFmtId="9" fontId="59" fillId="24" borderId="0" xfId="0" applyNumberFormat="1" applyFont="1" applyFill="1" applyBorder="1" applyAlignment="1">
      <alignment vertical="center"/>
    </xf>
    <xf numFmtId="3" fontId="41" fillId="0" borderId="0" xfId="0" applyNumberFormat="1" applyFont="1" applyBorder="1" applyAlignment="1">
      <alignment horizontal="center" vertical="center"/>
    </xf>
    <xf numFmtId="0" fontId="6" fillId="24" borderId="0" xfId="0" applyFont="1" applyFill="1" applyAlignment="1">
      <alignment horizontal="left" vertical="center"/>
    </xf>
    <xf numFmtId="0" fontId="36" fillId="24" borderId="0" xfId="0" applyFont="1" applyFill="1" applyAlignment="1">
      <alignment vertical="center"/>
    </xf>
    <xf numFmtId="0" fontId="12" fillId="24" borderId="9" xfId="0" applyFont="1" applyFill="1" applyBorder="1" applyAlignment="1">
      <alignment horizontal="left" vertical="center"/>
    </xf>
    <xf numFmtId="0" fontId="12" fillId="24" borderId="9" xfId="0" applyFont="1" applyFill="1" applyBorder="1" applyAlignment="1">
      <alignment horizontal="center" vertical="center"/>
    </xf>
    <xf numFmtId="173" fontId="12" fillId="24" borderId="9" xfId="0" applyNumberFormat="1" applyFont="1" applyFill="1" applyBorder="1" applyAlignment="1">
      <alignment horizontal="center" vertical="center"/>
    </xf>
    <xf numFmtId="173" fontId="37" fillId="24" borderId="9" xfId="0" applyNumberFormat="1" applyFont="1" applyFill="1" applyBorder="1" applyAlignment="1">
      <alignment horizontal="center" vertical="center"/>
    </xf>
    <xf numFmtId="173" fontId="37" fillId="24" borderId="9" xfId="0" applyNumberFormat="1" applyFont="1" applyFill="1" applyBorder="1" applyAlignment="1">
      <alignment vertical="center"/>
    </xf>
    <xf numFmtId="164" fontId="59" fillId="24" borderId="0" xfId="51" applyNumberFormat="1" applyFont="1" applyFill="1" applyAlignment="1">
      <alignment horizontal="center" vertical="center"/>
    </xf>
    <xf numFmtId="164" fontId="59" fillId="24" borderId="0" xfId="51" applyNumberFormat="1" applyFont="1" applyFill="1" applyAlignment="1">
      <alignment vertical="center"/>
    </xf>
    <xf numFmtId="0" fontId="6" fillId="25" borderId="0" xfId="0" applyFont="1" applyFill="1" applyAlignment="1">
      <alignment horizontal="left" vertical="center"/>
    </xf>
    <xf numFmtId="0" fontId="6" fillId="25" borderId="0" xfId="0" applyFont="1" applyFill="1" applyBorder="1" applyAlignment="1">
      <alignment horizontal="left" vertical="center"/>
    </xf>
    <xf numFmtId="0" fontId="36" fillId="21" borderId="0" xfId="45" applyFont="1" applyFill="1" applyAlignment="1">
      <alignment horizontal="right" vertical="center"/>
    </xf>
    <xf numFmtId="0" fontId="36" fillId="21" borderId="0" xfId="45" applyFont="1" applyFill="1" applyAlignment="1">
      <alignment horizontal="center" vertical="center"/>
    </xf>
    <xf numFmtId="0" fontId="36" fillId="24" borderId="0" xfId="45" applyFont="1" applyFill="1" applyAlignment="1">
      <alignment horizontal="center" vertical="center"/>
    </xf>
    <xf numFmtId="0" fontId="36" fillId="21" borderId="0" xfId="45" applyFont="1" applyFill="1" applyAlignment="1">
      <alignment vertical="center"/>
    </xf>
    <xf numFmtId="0" fontId="55" fillId="24" borderId="24" xfId="0" applyFont="1" applyFill="1" applyBorder="1" applyAlignment="1">
      <alignment horizontal="center" vertical="center"/>
    </xf>
    <xf numFmtId="0" fontId="55" fillId="24" borderId="0" xfId="0" applyFont="1" applyFill="1" applyBorder="1" applyAlignment="1">
      <alignment horizontal="center" vertical="center"/>
    </xf>
    <xf numFmtId="0" fontId="60" fillId="24" borderId="25" xfId="0" applyFont="1" applyFill="1" applyBorder="1" applyAlignment="1">
      <alignment horizontal="center" vertical="center"/>
    </xf>
    <xf numFmtId="0" fontId="45" fillId="21" borderId="0" xfId="45" applyFont="1" applyFill="1" applyAlignment="1">
      <alignment horizontal="center" vertical="center"/>
    </xf>
    <xf numFmtId="0" fontId="37" fillId="23" borderId="9" xfId="45" applyFont="1" applyFill="1" applyBorder="1" applyAlignment="1">
      <alignment horizontal="right" vertical="center"/>
    </xf>
    <xf numFmtId="0" fontId="37" fillId="21" borderId="0" xfId="45" applyFont="1" applyFill="1" applyAlignment="1">
      <alignment vertical="center"/>
    </xf>
    <xf numFmtId="37" fontId="6" fillId="21" borderId="0" xfId="33" applyNumberFormat="1" applyFont="1" applyFill="1" applyAlignment="1">
      <alignment horizontal="right" vertical="center"/>
    </xf>
    <xf numFmtId="169" fontId="6" fillId="21" borderId="0" xfId="51" applyNumberFormat="1" applyFont="1" applyFill="1" applyAlignment="1">
      <alignment horizontal="right" vertical="center"/>
    </xf>
    <xf numFmtId="0" fontId="59" fillId="21" borderId="0" xfId="45" applyFont="1" applyFill="1" applyAlignment="1">
      <alignment vertical="center"/>
    </xf>
    <xf numFmtId="37" fontId="6" fillId="21" borderId="0" xfId="51" applyNumberFormat="1" applyFont="1" applyFill="1" applyAlignment="1">
      <alignment horizontal="right" vertical="center"/>
    </xf>
    <xf numFmtId="5" fontId="36" fillId="21" borderId="0" xfId="45" applyNumberFormat="1" applyFont="1" applyFill="1" applyAlignment="1">
      <alignment horizontal="right" vertical="center"/>
    </xf>
    <xf numFmtId="5" fontId="45" fillId="21" borderId="0" xfId="34" applyNumberFormat="1" applyFont="1" applyFill="1" applyAlignment="1">
      <alignment horizontal="right" vertical="center"/>
    </xf>
    <xf numFmtId="5" fontId="6" fillId="21" borderId="0" xfId="34" applyNumberFormat="1" applyFont="1" applyFill="1" applyAlignment="1">
      <alignment horizontal="right" vertical="center"/>
    </xf>
    <xf numFmtId="0" fontId="59" fillId="21" borderId="0" xfId="45" applyFont="1" applyFill="1" applyAlignment="1">
      <alignment horizontal="left" vertical="center"/>
    </xf>
    <xf numFmtId="0" fontId="59" fillId="21" borderId="0" xfId="45" applyFont="1" applyFill="1" applyAlignment="1">
      <alignment horizontal="right" vertical="center"/>
    </xf>
    <xf numFmtId="9" fontId="59" fillId="21" borderId="0" xfId="45" applyNumberFormat="1" applyFont="1" applyFill="1" applyAlignment="1">
      <alignment horizontal="right" vertical="center"/>
    </xf>
    <xf numFmtId="9" fontId="51" fillId="21" borderId="0" xfId="45" applyNumberFormat="1" applyFont="1" applyFill="1" applyAlignment="1">
      <alignment horizontal="right" vertical="center"/>
    </xf>
    <xf numFmtId="9" fontId="40" fillId="21" borderId="0" xfId="45" applyNumberFormat="1" applyFont="1" applyFill="1" applyAlignment="1">
      <alignment horizontal="right" vertical="center"/>
    </xf>
    <xf numFmtId="9" fontId="59" fillId="21" borderId="0" xfId="52" applyFont="1" applyFill="1" applyAlignment="1">
      <alignment vertical="center"/>
    </xf>
    <xf numFmtId="9" fontId="40" fillId="25" borderId="0" xfId="52" applyFont="1" applyFill="1" applyAlignment="1">
      <alignment horizontal="left" vertical="center"/>
    </xf>
    <xf numFmtId="9" fontId="40" fillId="25" borderId="0" xfId="52" applyFont="1" applyFill="1" applyAlignment="1">
      <alignment horizontal="right" vertical="center"/>
    </xf>
    <xf numFmtId="9" fontId="59" fillId="25" borderId="0" xfId="52" applyFont="1" applyFill="1" applyAlignment="1">
      <alignment horizontal="right" vertical="center"/>
    </xf>
    <xf numFmtId="9" fontId="52" fillId="25" borderId="0" xfId="52" applyFont="1" applyFill="1" applyAlignment="1">
      <alignment horizontal="right" vertical="center"/>
    </xf>
    <xf numFmtId="1" fontId="59" fillId="21" borderId="0" xfId="52" applyNumberFormat="1" applyFont="1" applyFill="1" applyAlignment="1">
      <alignment vertical="center"/>
    </xf>
    <xf numFmtId="9" fontId="38" fillId="21" borderId="0" xfId="52" applyFont="1" applyFill="1" applyAlignment="1">
      <alignment vertical="center"/>
    </xf>
    <xf numFmtId="9" fontId="59" fillId="21" borderId="0" xfId="52" applyFont="1" applyFill="1" applyAlignment="1">
      <alignment horizontal="left" vertical="center"/>
    </xf>
    <xf numFmtId="9" fontId="59" fillId="21" borderId="0" xfId="52" applyFont="1" applyFill="1" applyAlignment="1">
      <alignment horizontal="right" vertical="center"/>
    </xf>
    <xf numFmtId="9" fontId="40" fillId="21" borderId="0" xfId="52" applyFont="1" applyFill="1" applyAlignment="1">
      <alignment horizontal="right" vertical="center"/>
    </xf>
    <xf numFmtId="9" fontId="6" fillId="21" borderId="0" xfId="52" applyFont="1" applyFill="1" applyAlignment="1">
      <alignment vertical="center"/>
    </xf>
    <xf numFmtId="9" fontId="6" fillId="21" borderId="0" xfId="52" applyFont="1" applyFill="1" applyAlignment="1">
      <alignment horizontal="left" vertical="center"/>
    </xf>
    <xf numFmtId="9" fontId="6" fillId="21" borderId="0" xfId="52" applyFont="1" applyFill="1" applyAlignment="1">
      <alignment horizontal="right" vertical="center"/>
    </xf>
    <xf numFmtId="9" fontId="45" fillId="21" borderId="0" xfId="52" applyFont="1" applyFill="1" applyAlignment="1">
      <alignment horizontal="right" vertical="center"/>
    </xf>
    <xf numFmtId="9" fontId="45" fillId="21" borderId="0" xfId="45" applyNumberFormat="1" applyFont="1" applyFill="1" applyAlignment="1">
      <alignment horizontal="right" vertical="center"/>
    </xf>
    <xf numFmtId="9" fontId="36" fillId="21" borderId="0" xfId="45" applyNumberFormat="1" applyFont="1" applyFill="1" applyAlignment="1">
      <alignment horizontal="right" vertical="center"/>
    </xf>
    <xf numFmtId="0" fontId="36" fillId="21" borderId="0" xfId="45" applyFont="1" applyFill="1" applyBorder="1" applyAlignment="1">
      <alignment horizontal="right" vertical="center"/>
    </xf>
    <xf numFmtId="173" fontId="37" fillId="21" borderId="0" xfId="45" applyNumberFormat="1" applyFont="1" applyFill="1" applyAlignment="1">
      <alignment vertical="center"/>
    </xf>
    <xf numFmtId="173" fontId="37" fillId="24" borderId="9" xfId="45" applyNumberFormat="1" applyFont="1" applyFill="1" applyBorder="1" applyAlignment="1">
      <alignment horizontal="left" vertical="center"/>
    </xf>
    <xf numFmtId="175" fontId="37" fillId="24" borderId="9" xfId="45" applyNumberFormat="1" applyFont="1" applyFill="1" applyBorder="1" applyAlignment="1">
      <alignment horizontal="right" vertical="center"/>
    </xf>
    <xf numFmtId="0" fontId="6" fillId="0" borderId="0" xfId="0" applyFont="1" applyAlignment="1">
      <alignment vertical="center"/>
    </xf>
    <xf numFmtId="0" fontId="60" fillId="24" borderId="15" xfId="0" applyFont="1" applyFill="1" applyBorder="1" applyAlignment="1">
      <alignment horizontal="center" vertical="center"/>
    </xf>
    <xf numFmtId="0" fontId="6" fillId="0" borderId="0" xfId="0" applyFont="1" applyBorder="1" applyAlignment="1">
      <alignment vertical="center"/>
    </xf>
    <xf numFmtId="0" fontId="6" fillId="0" borderId="0" xfId="0" applyNumberFormat="1" applyFont="1" applyAlignment="1">
      <alignment vertical="center"/>
    </xf>
    <xf numFmtId="3" fontId="47" fillId="0" borderId="0" xfId="0" applyNumberFormat="1" applyFont="1" applyAlignment="1">
      <alignment vertical="center"/>
    </xf>
    <xf numFmtId="0" fontId="42" fillId="0" borderId="0" xfId="0" applyNumberFormat="1" applyFont="1" applyAlignment="1">
      <alignment vertical="center"/>
    </xf>
    <xf numFmtId="0" fontId="47" fillId="0" borderId="0" xfId="0" applyNumberFormat="1" applyFont="1" applyAlignment="1">
      <alignment vertical="center"/>
    </xf>
    <xf numFmtId="178" fontId="6" fillId="21" borderId="0" xfId="33" applyNumberFormat="1" applyFont="1" applyFill="1" applyAlignment="1">
      <alignment horizontal="right" vertical="center"/>
    </xf>
    <xf numFmtId="1" fontId="47" fillId="0" borderId="0" xfId="0" applyNumberFormat="1" applyFont="1" applyAlignment="1">
      <alignment vertical="center"/>
    </xf>
    <xf numFmtId="0" fontId="6" fillId="25" borderId="0" xfId="0" applyNumberFormat="1" applyFont="1" applyFill="1" applyAlignment="1">
      <alignment horizontal="left" vertical="center"/>
    </xf>
    <xf numFmtId="0" fontId="6" fillId="25" borderId="0" xfId="0" applyFont="1" applyFill="1" applyAlignment="1">
      <alignment vertical="center"/>
    </xf>
    <xf numFmtId="1" fontId="47" fillId="25" borderId="0" xfId="0" applyNumberFormat="1" applyFont="1" applyFill="1" applyAlignment="1">
      <alignment vertical="center"/>
    </xf>
    <xf numFmtId="9" fontId="41" fillId="25" borderId="0" xfId="51" applyNumberFormat="1" applyFont="1" applyFill="1" applyAlignment="1">
      <alignment vertical="center"/>
    </xf>
    <xf numFmtId="9" fontId="42" fillId="0" borderId="0" xfId="0" applyNumberFormat="1" applyFont="1" applyAlignment="1">
      <alignment vertical="center"/>
    </xf>
    <xf numFmtId="9" fontId="6" fillId="0" borderId="0" xfId="51" applyNumberFormat="1" applyFont="1" applyAlignment="1">
      <alignment vertical="center"/>
    </xf>
    <xf numFmtId="173" fontId="42" fillId="0" borderId="0" xfId="0" applyNumberFormat="1" applyFont="1" applyAlignment="1">
      <alignment vertical="center"/>
    </xf>
    <xf numFmtId="5" fontId="47" fillId="0" borderId="0" xfId="0" applyNumberFormat="1" applyFont="1" applyAlignment="1">
      <alignment vertical="center"/>
    </xf>
    <xf numFmtId="0" fontId="12" fillId="0" borderId="9" xfId="0" applyNumberFormat="1" applyFont="1" applyBorder="1" applyAlignment="1">
      <alignment vertical="center"/>
    </xf>
    <xf numFmtId="0" fontId="12" fillId="0" borderId="9" xfId="0" applyFont="1" applyBorder="1" applyAlignment="1">
      <alignment vertical="center"/>
    </xf>
    <xf numFmtId="172" fontId="12" fillId="0" borderId="9" xfId="0" applyNumberFormat="1" applyFont="1" applyBorder="1" applyAlignment="1">
      <alignment vertical="center"/>
    </xf>
    <xf numFmtId="5" fontId="12" fillId="0" borderId="9" xfId="0" applyNumberFormat="1" applyFont="1" applyBorder="1" applyAlignment="1">
      <alignment vertical="center"/>
    </xf>
    <xf numFmtId="37" fontId="6" fillId="24" borderId="0" xfId="32" applyNumberFormat="1" applyFont="1" applyFill="1" applyBorder="1" applyAlignment="1">
      <alignment horizontal="right"/>
    </xf>
    <xf numFmtId="176" fontId="37" fillId="24" borderId="9" xfId="0" applyNumberFormat="1" applyFont="1" applyFill="1" applyBorder="1" applyAlignment="1">
      <alignment horizontal="right"/>
    </xf>
    <xf numFmtId="182" fontId="6" fillId="24" borderId="0" xfId="0" applyNumberFormat="1" applyFont="1" applyFill="1"/>
    <xf numFmtId="183" fontId="6" fillId="24" borderId="0" xfId="0" applyNumberFormat="1" applyFont="1" applyFill="1"/>
    <xf numFmtId="175" fontId="6" fillId="27" borderId="0" xfId="0" applyNumberFormat="1" applyFont="1" applyFill="1"/>
    <xf numFmtId="39" fontId="6" fillId="27" borderId="0" xfId="0" applyNumberFormat="1" applyFont="1" applyFill="1"/>
    <xf numFmtId="0" fontId="6" fillId="24" borderId="0" xfId="0" applyFont="1" applyFill="1"/>
    <xf numFmtId="177" fontId="6" fillId="24" borderId="0" xfId="0" applyNumberFormat="1" applyFont="1" applyFill="1"/>
    <xf numFmtId="168" fontId="6" fillId="24" borderId="0" xfId="0" applyNumberFormat="1" applyFont="1" applyFill="1"/>
    <xf numFmtId="0" fontId="6" fillId="27" borderId="0" xfId="0" applyFont="1" applyFill="1"/>
    <xf numFmtId="175" fontId="12" fillId="27" borderId="9" xfId="0" applyNumberFormat="1" applyFont="1" applyFill="1" applyBorder="1"/>
    <xf numFmtId="0" fontId="12" fillId="27" borderId="0" xfId="0" applyFont="1" applyFill="1"/>
    <xf numFmtId="39" fontId="12" fillId="27" borderId="0" xfId="0" applyNumberFormat="1" applyFont="1" applyFill="1"/>
    <xf numFmtId="168" fontId="6" fillId="27" borderId="0" xfId="0" applyNumberFormat="1" applyFont="1" applyFill="1"/>
    <xf numFmtId="177" fontId="6" fillId="27" borderId="0" xfId="0" applyNumberFormat="1" applyFont="1" applyFill="1"/>
    <xf numFmtId="168" fontId="12" fillId="27" borderId="0" xfId="0" applyNumberFormat="1" applyFont="1" applyFill="1"/>
    <xf numFmtId="164" fontId="40" fillId="27" borderId="0" xfId="51" applyNumberFormat="1" applyFont="1" applyFill="1"/>
    <xf numFmtId="9" fontId="40" fillId="27" borderId="0" xfId="51" applyFont="1" applyFill="1" applyAlignment="1">
      <alignment horizontal="right"/>
    </xf>
    <xf numFmtId="168" fontId="6" fillId="27" borderId="9" xfId="0" applyNumberFormat="1" applyFont="1" applyFill="1" applyBorder="1"/>
    <xf numFmtId="168" fontId="12" fillId="27" borderId="9" xfId="0" applyNumberFormat="1" applyFont="1" applyFill="1" applyBorder="1"/>
    <xf numFmtId="0" fontId="6" fillId="0" borderId="0" xfId="0" applyFont="1" applyFill="1"/>
    <xf numFmtId="0" fontId="6" fillId="0" borderId="0" xfId="0" quotePrefix="1" applyFont="1" applyFill="1" applyAlignment="1">
      <alignment horizontal="left" indent="1"/>
    </xf>
    <xf numFmtId="0" fontId="6" fillId="0" borderId="0" xfId="0" applyFont="1" applyFill="1" applyAlignment="1">
      <alignment horizontal="left" indent="1"/>
    </xf>
    <xf numFmtId="0" fontId="12" fillId="0" borderId="0" xfId="0" applyFont="1" applyFill="1"/>
    <xf numFmtId="0" fontId="12" fillId="0" borderId="9" xfId="0" applyFont="1" applyFill="1" applyBorder="1"/>
    <xf numFmtId="184" fontId="12" fillId="27" borderId="0" xfId="0" applyNumberFormat="1" applyFont="1" applyFill="1"/>
    <xf numFmtId="177" fontId="6" fillId="24" borderId="0" xfId="0" applyNumberFormat="1" applyFont="1" applyFill="1" applyAlignment="1">
      <alignment horizontal="left"/>
    </xf>
    <xf numFmtId="0" fontId="12" fillId="24" borderId="14" xfId="0" applyFont="1" applyFill="1" applyBorder="1"/>
    <xf numFmtId="39" fontId="12" fillId="27" borderId="14" xfId="0" applyNumberFormat="1" applyFont="1" applyFill="1" applyBorder="1"/>
    <xf numFmtId="39" fontId="12" fillId="24" borderId="14" xfId="0" applyNumberFormat="1" applyFont="1" applyFill="1" applyBorder="1"/>
    <xf numFmtId="0" fontId="12" fillId="0" borderId="9" xfId="0" applyFont="1" applyFill="1" applyBorder="1" applyAlignment="1">
      <alignment horizontal="left"/>
    </xf>
    <xf numFmtId="0" fontId="35" fillId="0" borderId="0" xfId="61" applyFont="1" applyFill="1" applyBorder="1" applyAlignment="1">
      <alignment horizontal="left" vertical="center"/>
    </xf>
    <xf numFmtId="174" fontId="41" fillId="24" borderId="0" xfId="0" applyNumberFormat="1" applyFont="1" applyFill="1" applyBorder="1"/>
    <xf numFmtId="7" fontId="41" fillId="24" borderId="0" xfId="35" applyNumberFormat="1" applyFont="1" applyFill="1" applyBorder="1"/>
    <xf numFmtId="164" fontId="6" fillId="24" borderId="0" xfId="51" applyNumberFormat="1" applyFont="1" applyFill="1" applyBorder="1" applyAlignment="1"/>
    <xf numFmtId="164" fontId="6" fillId="24" borderId="14" xfId="51" applyNumberFormat="1" applyFont="1" applyFill="1" applyBorder="1" applyAlignment="1"/>
    <xf numFmtId="165" fontId="41" fillId="24" borderId="0" xfId="0" applyNumberFormat="1" applyFont="1" applyFill="1"/>
    <xf numFmtId="0" fontId="12" fillId="0" borderId="0" xfId="46" applyFont="1" applyBorder="1" applyAlignment="1">
      <alignment vertical="center"/>
    </xf>
    <xf numFmtId="0" fontId="6" fillId="0" borderId="29" xfId="46" applyFont="1" applyBorder="1" applyAlignment="1">
      <alignment vertical="center"/>
    </xf>
    <xf numFmtId="0" fontId="6" fillId="0" borderId="31" xfId="46" applyFont="1" applyBorder="1" applyAlignment="1">
      <alignment vertical="center"/>
    </xf>
    <xf numFmtId="0" fontId="6" fillId="0" borderId="33" xfId="46" applyFont="1" applyBorder="1" applyAlignment="1">
      <alignment vertical="center"/>
    </xf>
    <xf numFmtId="0" fontId="6" fillId="24" borderId="22" xfId="0" applyFont="1" applyFill="1" applyBorder="1"/>
    <xf numFmtId="164" fontId="6" fillId="24" borderId="22" xfId="51" applyNumberFormat="1" applyFont="1" applyFill="1" applyBorder="1"/>
    <xf numFmtId="168" fontId="6" fillId="24" borderId="0" xfId="0" applyNumberFormat="1" applyFont="1" applyFill="1" applyBorder="1"/>
    <xf numFmtId="168" fontId="6" fillId="24" borderId="32" xfId="0" applyNumberFormat="1" applyFont="1" applyFill="1" applyBorder="1"/>
    <xf numFmtId="0" fontId="12" fillId="0" borderId="0" xfId="0" applyFont="1" applyBorder="1"/>
    <xf numFmtId="0" fontId="6" fillId="0" borderId="29" xfId="0" applyFont="1" applyBorder="1"/>
    <xf numFmtId="0" fontId="12" fillId="0" borderId="31" xfId="0" applyFont="1" applyBorder="1"/>
    <xf numFmtId="0" fontId="6" fillId="0" borderId="33" xfId="0" applyFont="1" applyBorder="1"/>
    <xf numFmtId="164" fontId="6" fillId="24" borderId="0" xfId="51" applyNumberFormat="1" applyFont="1" applyFill="1" applyBorder="1"/>
    <xf numFmtId="0" fontId="6" fillId="24" borderId="31" xfId="0" applyFont="1" applyFill="1" applyBorder="1"/>
    <xf numFmtId="10" fontId="41" fillId="24" borderId="0" xfId="51" applyNumberFormat="1" applyFont="1" applyFill="1" applyBorder="1"/>
    <xf numFmtId="10" fontId="6" fillId="24" borderId="0" xfId="0" applyNumberFormat="1" applyFont="1" applyFill="1" applyBorder="1"/>
    <xf numFmtId="10" fontId="6" fillId="24" borderId="0" xfId="51" applyNumberFormat="1" applyFont="1" applyFill="1" applyBorder="1"/>
    <xf numFmtId="168" fontId="6" fillId="24" borderId="0" xfId="0" applyNumberFormat="1" applyFont="1" applyFill="1" applyBorder="1" applyAlignment="1">
      <alignment horizontal="right"/>
    </xf>
    <xf numFmtId="168" fontId="6" fillId="24" borderId="32" xfId="0" applyNumberFormat="1" applyFont="1" applyFill="1" applyBorder="1" applyAlignment="1">
      <alignment horizontal="right"/>
    </xf>
    <xf numFmtId="168" fontId="6" fillId="24" borderId="22" xfId="0" applyNumberFormat="1" applyFont="1" applyFill="1" applyBorder="1" applyAlignment="1">
      <alignment horizontal="right"/>
    </xf>
    <xf numFmtId="168" fontId="6" fillId="24" borderId="30" xfId="0" applyNumberFormat="1" applyFont="1" applyFill="1" applyBorder="1" applyAlignment="1">
      <alignment horizontal="right"/>
    </xf>
    <xf numFmtId="167" fontId="39" fillId="28" borderId="0" xfId="33" applyNumberFormat="1" applyFont="1" applyFill="1"/>
    <xf numFmtId="168" fontId="41" fillId="24" borderId="0" xfId="33" applyNumberFormat="1" applyFont="1" applyFill="1" applyBorder="1"/>
    <xf numFmtId="168" fontId="41" fillId="24" borderId="32" xfId="33" applyNumberFormat="1" applyFont="1" applyFill="1" applyBorder="1"/>
    <xf numFmtId="164" fontId="55" fillId="24" borderId="0" xfId="51" applyNumberFormat="1" applyFont="1" applyFill="1" applyBorder="1"/>
    <xf numFmtId="7" fontId="41" fillId="24" borderId="22" xfId="33" applyNumberFormat="1" applyFont="1" applyFill="1" applyBorder="1"/>
    <xf numFmtId="7" fontId="6" fillId="24" borderId="22" xfId="33" applyNumberFormat="1" applyFont="1" applyFill="1" applyBorder="1"/>
    <xf numFmtId="7" fontId="6" fillId="24" borderId="30" xfId="33" applyNumberFormat="1" applyFont="1" applyFill="1" applyBorder="1"/>
    <xf numFmtId="7" fontId="41" fillId="24" borderId="22" xfId="33" applyNumberFormat="1" applyFont="1" applyFill="1" applyBorder="1" applyAlignment="1">
      <alignment horizontal="right"/>
    </xf>
    <xf numFmtId="7" fontId="36" fillId="24" borderId="22" xfId="33" applyNumberFormat="1" applyFont="1" applyFill="1" applyBorder="1" applyAlignment="1">
      <alignment horizontal="right"/>
    </xf>
    <xf numFmtId="7" fontId="36" fillId="24" borderId="30" xfId="33" applyNumberFormat="1" applyFont="1" applyFill="1" applyBorder="1" applyAlignment="1">
      <alignment horizontal="right"/>
    </xf>
    <xf numFmtId="168" fontId="41" fillId="24" borderId="0" xfId="0" applyNumberFormat="1" applyFont="1" applyFill="1" applyBorder="1"/>
    <xf numFmtId="168" fontId="36" fillId="24" borderId="0" xfId="0" applyNumberFormat="1" applyFont="1" applyFill="1" applyBorder="1"/>
    <xf numFmtId="168" fontId="36" fillId="24" borderId="32" xfId="0" applyNumberFormat="1" applyFont="1" applyFill="1" applyBorder="1"/>
    <xf numFmtId="168" fontId="36" fillId="24" borderId="0" xfId="33" applyNumberFormat="1" applyFont="1" applyFill="1" applyBorder="1"/>
    <xf numFmtId="168" fontId="36" fillId="24" borderId="32" xfId="33" applyNumberFormat="1" applyFont="1" applyFill="1" applyBorder="1"/>
    <xf numFmtId="168" fontId="12" fillId="22" borderId="14" xfId="0" applyNumberFormat="1" applyFont="1" applyFill="1" applyBorder="1"/>
    <xf numFmtId="168" fontId="12" fillId="22" borderId="34" xfId="0" applyNumberFormat="1" applyFont="1" applyFill="1" applyBorder="1"/>
    <xf numFmtId="0" fontId="12" fillId="0" borderId="32" xfId="46" applyFont="1" applyBorder="1"/>
    <xf numFmtId="0" fontId="6" fillId="0" borderId="36" xfId="46" applyFont="1" applyBorder="1"/>
    <xf numFmtId="0" fontId="6" fillId="0" borderId="37" xfId="46" applyFont="1" applyBorder="1"/>
    <xf numFmtId="0" fontId="6" fillId="0" borderId="38" xfId="46" applyFont="1" applyBorder="1"/>
    <xf numFmtId="168" fontId="6" fillId="24" borderId="22" xfId="0" applyNumberFormat="1" applyFont="1" applyFill="1" applyBorder="1"/>
    <xf numFmtId="168" fontId="36" fillId="24" borderId="0" xfId="0" applyNumberFormat="1" applyFont="1" applyFill="1"/>
    <xf numFmtId="0" fontId="6" fillId="0" borderId="31" xfId="46" applyFont="1" applyBorder="1" applyAlignment="1">
      <alignment horizontal="left" vertical="center" indent="1"/>
    </xf>
    <xf numFmtId="10" fontId="36" fillId="24" borderId="0" xfId="51" applyNumberFormat="1" applyFont="1" applyFill="1" applyBorder="1"/>
    <xf numFmtId="0" fontId="6" fillId="0" borderId="31" xfId="0" applyFont="1" applyBorder="1"/>
    <xf numFmtId="0" fontId="6" fillId="24" borderId="29" xfId="0" applyFont="1" applyFill="1" applyBorder="1"/>
    <xf numFmtId="0" fontId="12" fillId="24" borderId="25" xfId="0" applyFont="1" applyFill="1" applyBorder="1"/>
    <xf numFmtId="164" fontId="6" fillId="25" borderId="0" xfId="51" applyNumberFormat="1" applyFont="1" applyFill="1" applyAlignment="1">
      <alignment horizontal="right" vertical="center"/>
    </xf>
    <xf numFmtId="2" fontId="6" fillId="24" borderId="0" xfId="0" quotePrefix="1" applyNumberFormat="1" applyFont="1" applyFill="1" applyAlignment="1">
      <alignment horizontal="left" indent="2"/>
    </xf>
    <xf numFmtId="183" fontId="6" fillId="27" borderId="0" xfId="0" applyNumberFormat="1" applyFont="1" applyFill="1"/>
    <xf numFmtId="168" fontId="37" fillId="24" borderId="0" xfId="32" applyNumberFormat="1" applyFont="1" applyFill="1" applyBorder="1" applyAlignment="1"/>
    <xf numFmtId="168" fontId="12" fillId="24" borderId="0" xfId="32" applyNumberFormat="1" applyFont="1" applyFill="1" applyBorder="1" applyAlignment="1"/>
    <xf numFmtId="168" fontId="37" fillId="24" borderId="9" xfId="32" applyNumberFormat="1" applyFont="1" applyFill="1" applyBorder="1" applyAlignment="1"/>
    <xf numFmtId="168" fontId="37" fillId="24" borderId="26" xfId="32" applyNumberFormat="1" applyFont="1" applyFill="1" applyBorder="1" applyAlignment="1"/>
    <xf numFmtId="168" fontId="6" fillId="24" borderId="0" xfId="32" applyNumberFormat="1" applyFont="1" applyFill="1" applyBorder="1" applyAlignment="1"/>
    <xf numFmtId="168" fontId="36" fillId="24" borderId="0" xfId="0" applyNumberFormat="1" applyFont="1" applyFill="1" applyBorder="1" applyAlignment="1"/>
    <xf numFmtId="168" fontId="37" fillId="24" borderId="23" xfId="32" applyNumberFormat="1" applyFont="1" applyFill="1" applyBorder="1" applyAlignment="1"/>
    <xf numFmtId="168" fontId="37" fillId="24" borderId="28" xfId="32" applyNumberFormat="1" applyFont="1" applyFill="1" applyBorder="1" applyAlignment="1"/>
    <xf numFmtId="168" fontId="37" fillId="24" borderId="9" xfId="32" applyNumberFormat="1" applyFont="1" applyFill="1" applyBorder="1" applyAlignment="1">
      <alignment horizontal="right"/>
    </xf>
    <xf numFmtId="168" fontId="37" fillId="24" borderId="26" xfId="32" applyNumberFormat="1" applyFont="1" applyFill="1" applyBorder="1" applyAlignment="1">
      <alignment horizontal="right"/>
    </xf>
    <xf numFmtId="0" fontId="62" fillId="21" borderId="0" xfId="65" applyFont="1" applyFill="1"/>
    <xf numFmtId="0" fontId="6" fillId="21" borderId="0" xfId="66" applyFill="1"/>
    <xf numFmtId="0" fontId="6" fillId="24" borderId="0" xfId="61" applyFill="1"/>
    <xf numFmtId="0" fontId="47" fillId="21" borderId="0" xfId="65" applyFont="1" applyFill="1"/>
    <xf numFmtId="0" fontId="64" fillId="29" borderId="0" xfId="65" applyFont="1" applyFill="1"/>
    <xf numFmtId="0" fontId="64" fillId="29" borderId="0" xfId="65" applyFont="1" applyFill="1" applyAlignment="1">
      <alignment horizontal="center"/>
    </xf>
    <xf numFmtId="0" fontId="64" fillId="29" borderId="0" xfId="65" applyFont="1" applyFill="1" applyBorder="1" applyAlignment="1">
      <alignment horizontal="center"/>
    </xf>
    <xf numFmtId="0" fontId="65" fillId="29" borderId="0" xfId="65" applyFont="1" applyFill="1" applyAlignment="1">
      <alignment horizontal="center"/>
    </xf>
    <xf numFmtId="0" fontId="64" fillId="29" borderId="14" xfId="65" applyFont="1" applyFill="1" applyBorder="1"/>
    <xf numFmtId="0" fontId="65" fillId="29" borderId="14" xfId="65" applyFont="1" applyFill="1" applyBorder="1" applyAlignment="1">
      <alignment horizontal="center"/>
    </xf>
    <xf numFmtId="0" fontId="47" fillId="21" borderId="0" xfId="65" applyFont="1" applyFill="1" applyAlignment="1">
      <alignment horizontal="left"/>
    </xf>
    <xf numFmtId="37" fontId="6" fillId="23" borderId="0" xfId="66" applyNumberFormat="1" applyFill="1"/>
    <xf numFmtId="0" fontId="53" fillId="21" borderId="0" xfId="65" applyFont="1" applyFill="1" applyAlignment="1">
      <alignment horizontal="left" indent="1"/>
    </xf>
    <xf numFmtId="9" fontId="40" fillId="24" borderId="0" xfId="68" applyFont="1" applyFill="1" applyAlignment="1">
      <alignment horizontal="right"/>
    </xf>
    <xf numFmtId="0" fontId="6" fillId="23" borderId="0" xfId="66" applyFill="1"/>
    <xf numFmtId="9" fontId="46" fillId="21" borderId="0" xfId="65" applyNumberFormat="1" applyFont="1" applyFill="1" applyBorder="1"/>
    <xf numFmtId="0" fontId="53" fillId="21" borderId="0" xfId="65" applyFont="1" applyFill="1"/>
    <xf numFmtId="0" fontId="40" fillId="21" borderId="0" xfId="66" applyFont="1" applyFill="1"/>
    <xf numFmtId="9" fontId="40" fillId="24" borderId="0" xfId="69" applyFont="1" applyFill="1"/>
    <xf numFmtId="9" fontId="40" fillId="23" borderId="0" xfId="69" applyFont="1" applyFill="1"/>
    <xf numFmtId="0" fontId="47" fillId="21" borderId="23" xfId="65" applyFont="1" applyFill="1" applyBorder="1"/>
    <xf numFmtId="0" fontId="6" fillId="21" borderId="23" xfId="66" applyFill="1" applyBorder="1"/>
    <xf numFmtId="5" fontId="47" fillId="21" borderId="23" xfId="65" applyNumberFormat="1" applyFont="1" applyFill="1" applyBorder="1"/>
    <xf numFmtId="0" fontId="46" fillId="21" borderId="0" xfId="65" applyFont="1" applyFill="1"/>
    <xf numFmtId="173" fontId="46" fillId="21" borderId="0" xfId="65" applyNumberFormat="1" applyFont="1" applyFill="1"/>
    <xf numFmtId="0" fontId="6" fillId="21" borderId="0" xfId="66" applyFont="1" applyFill="1"/>
    <xf numFmtId="183" fontId="6" fillId="21" borderId="0" xfId="66" applyNumberFormat="1" applyFill="1"/>
    <xf numFmtId="0" fontId="46" fillId="21" borderId="9" xfId="65" applyFont="1" applyFill="1" applyBorder="1"/>
    <xf numFmtId="173" fontId="46" fillId="21" borderId="9" xfId="65" applyNumberFormat="1" applyFont="1" applyFill="1" applyBorder="1"/>
    <xf numFmtId="9" fontId="6" fillId="21" borderId="0" xfId="66" applyNumberFormat="1" applyFill="1"/>
    <xf numFmtId="0" fontId="6" fillId="24" borderId="0" xfId="66" applyFill="1"/>
    <xf numFmtId="0" fontId="47" fillId="24" borderId="0" xfId="65" applyFont="1" applyFill="1"/>
    <xf numFmtId="0" fontId="46" fillId="24" borderId="0" xfId="46" applyFont="1" applyFill="1"/>
    <xf numFmtId="0" fontId="47" fillId="24" borderId="0" xfId="46" applyFont="1" applyFill="1"/>
    <xf numFmtId="0" fontId="46" fillId="24" borderId="19" xfId="46" applyFont="1" applyFill="1" applyBorder="1"/>
    <xf numFmtId="0" fontId="6" fillId="24" borderId="20" xfId="0" applyFont="1" applyFill="1" applyBorder="1" applyAlignment="1">
      <alignment horizontal="center"/>
    </xf>
    <xf numFmtId="0" fontId="6" fillId="24" borderId="21" xfId="0" applyFont="1" applyFill="1" applyBorder="1" applyAlignment="1"/>
    <xf numFmtId="0" fontId="47" fillId="24" borderId="10" xfId="46" applyFont="1" applyFill="1" applyBorder="1"/>
    <xf numFmtId="0" fontId="47" fillId="24" borderId="10" xfId="46" applyFont="1" applyFill="1" applyBorder="1" applyAlignment="1">
      <alignment horizontal="center"/>
    </xf>
    <xf numFmtId="0" fontId="47" fillId="24" borderId="18" xfId="46" applyFont="1" applyFill="1" applyBorder="1" applyAlignment="1"/>
    <xf numFmtId="0" fontId="47" fillId="24" borderId="20" xfId="46" applyFont="1" applyFill="1" applyBorder="1" applyAlignment="1">
      <alignment horizontal="center"/>
    </xf>
    <xf numFmtId="0" fontId="47" fillId="24" borderId="20" xfId="46" applyFont="1" applyFill="1" applyBorder="1"/>
    <xf numFmtId="0" fontId="47" fillId="24" borderId="21" xfId="46" applyFont="1" applyFill="1" applyBorder="1"/>
    <xf numFmtId="0" fontId="47" fillId="24" borderId="18" xfId="46" applyFont="1" applyFill="1" applyBorder="1"/>
    <xf numFmtId="0" fontId="12" fillId="26" borderId="24" xfId="0" applyFont="1" applyFill="1" applyBorder="1" applyAlignment="1">
      <alignment horizontal="center"/>
    </xf>
    <xf numFmtId="0" fontId="60" fillId="26" borderId="24" xfId="0" applyFont="1" applyFill="1" applyBorder="1" applyAlignment="1">
      <alignment horizontal="center" vertical="center"/>
    </xf>
    <xf numFmtId="168" fontId="6" fillId="24" borderId="0" xfId="66" applyNumberFormat="1" applyFill="1"/>
    <xf numFmtId="168" fontId="6" fillId="24" borderId="0" xfId="67" applyNumberFormat="1" applyFont="1" applyFill="1"/>
    <xf numFmtId="168" fontId="6" fillId="23" borderId="0" xfId="66" applyNumberFormat="1" applyFill="1"/>
    <xf numFmtId="173" fontId="60" fillId="24" borderId="24" xfId="0" applyNumberFormat="1" applyFont="1" applyFill="1" applyBorder="1" applyAlignment="1">
      <alignment horizontal="center" vertical="center"/>
    </xf>
    <xf numFmtId="177" fontId="6" fillId="24" borderId="0" xfId="0" applyNumberFormat="1" applyFont="1" applyFill="1" applyAlignment="1">
      <alignment horizontal="left" indent="2"/>
    </xf>
    <xf numFmtId="0" fontId="6" fillId="24" borderId="0" xfId="0" applyFont="1" applyFill="1" applyAlignment="1">
      <alignment horizontal="left" indent="2"/>
    </xf>
    <xf numFmtId="9" fontId="6" fillId="24" borderId="0" xfId="0" applyNumberFormat="1" applyFont="1" applyFill="1"/>
    <xf numFmtId="183" fontId="6" fillId="24" borderId="0" xfId="0" applyNumberFormat="1" applyFont="1" applyFill="1" applyAlignment="1">
      <alignment horizontal="left" indent="2"/>
    </xf>
    <xf numFmtId="183" fontId="6" fillId="24" borderId="0" xfId="0" applyNumberFormat="1" applyFont="1" applyFill="1" applyAlignment="1">
      <alignment horizontal="left" indent="1"/>
    </xf>
    <xf numFmtId="0" fontId="36" fillId="24" borderId="0" xfId="45" quotePrefix="1" applyFont="1" applyFill="1" applyAlignment="1">
      <alignment horizontal="center" vertical="center"/>
    </xf>
    <xf numFmtId="175" fontId="12" fillId="30" borderId="9" xfId="33" applyNumberFormat="1" applyFont="1" applyFill="1" applyBorder="1" applyAlignment="1">
      <alignment horizontal="right" vertical="center"/>
    </xf>
    <xf numFmtId="168" fontId="6" fillId="24" borderId="0" xfId="33" applyNumberFormat="1" applyFont="1" applyFill="1" applyAlignment="1">
      <alignment horizontal="right" vertical="center"/>
    </xf>
    <xf numFmtId="168" fontId="39" fillId="24" borderId="0" xfId="33" applyNumberFormat="1" applyFont="1" applyFill="1" applyAlignment="1">
      <alignment horizontal="right" vertical="center"/>
    </xf>
    <xf numFmtId="9" fontId="6" fillId="22" borderId="0" xfId="0" applyNumberFormat="1" applyFont="1" applyFill="1"/>
    <xf numFmtId="9" fontId="6" fillId="24" borderId="0" xfId="51" applyFont="1" applyFill="1" applyAlignment="1">
      <alignment vertical="center"/>
    </xf>
    <xf numFmtId="9" fontId="6" fillId="21" borderId="0" xfId="92" applyFont="1" applyFill="1" applyAlignment="1">
      <alignment horizontal="left"/>
    </xf>
    <xf numFmtId="9" fontId="36" fillId="25" borderId="0" xfId="47" applyNumberFormat="1" applyFont="1" applyFill="1" applyAlignment="1">
      <alignment vertical="center"/>
    </xf>
    <xf numFmtId="9" fontId="36" fillId="24" borderId="0" xfId="47" applyNumberFormat="1" applyFont="1" applyFill="1" applyAlignment="1">
      <alignment vertical="center"/>
    </xf>
    <xf numFmtId="168" fontId="6" fillId="27" borderId="0" xfId="33" applyNumberFormat="1" applyFont="1" applyFill="1" applyAlignment="1">
      <alignment horizontal="right" vertical="center"/>
    </xf>
    <xf numFmtId="175" fontId="12" fillId="27" borderId="9" xfId="33" applyNumberFormat="1" applyFont="1" applyFill="1" applyBorder="1" applyAlignment="1">
      <alignment horizontal="right" vertical="center"/>
    </xf>
    <xf numFmtId="0" fontId="40" fillId="27" borderId="0" xfId="0" applyFont="1" applyFill="1"/>
    <xf numFmtId="0" fontId="6" fillId="27" borderId="0" xfId="0" applyFont="1" applyFill="1" applyAlignment="1">
      <alignment vertical="center"/>
    </xf>
    <xf numFmtId="0" fontId="12" fillId="27" borderId="0" xfId="47" applyFont="1" applyFill="1" applyAlignment="1">
      <alignment horizontal="right" vertical="center"/>
    </xf>
    <xf numFmtId="175" fontId="6" fillId="27" borderId="0" xfId="33" applyNumberFormat="1" applyFont="1" applyFill="1" applyBorder="1" applyAlignment="1">
      <alignment horizontal="right" vertical="center"/>
    </xf>
    <xf numFmtId="9" fontId="6" fillId="27" borderId="0" xfId="0" applyNumberFormat="1" applyFont="1" applyFill="1"/>
    <xf numFmtId="9" fontId="6" fillId="24" borderId="14" xfId="0" applyNumberFormat="1" applyFont="1" applyFill="1" applyBorder="1"/>
    <xf numFmtId="9" fontId="6" fillId="22" borderId="14" xfId="0" applyNumberFormat="1" applyFont="1" applyFill="1" applyBorder="1"/>
    <xf numFmtId="9" fontId="6" fillId="27" borderId="14" xfId="0" applyNumberFormat="1" applyFont="1" applyFill="1" applyBorder="1"/>
    <xf numFmtId="9" fontId="40" fillId="27" borderId="0" xfId="51" applyNumberFormat="1" applyFont="1" applyFill="1"/>
    <xf numFmtId="168" fontId="39" fillId="27" borderId="0" xfId="33" applyNumberFormat="1" applyFont="1" applyFill="1" applyAlignment="1">
      <alignment horizontal="right" vertical="center"/>
    </xf>
    <xf numFmtId="0" fontId="6" fillId="27" borderId="14" xfId="0" applyFont="1" applyFill="1" applyBorder="1"/>
    <xf numFmtId="175" fontId="12" fillId="27" borderId="0" xfId="33" applyNumberFormat="1" applyFont="1" applyFill="1" applyBorder="1" applyAlignment="1">
      <alignment horizontal="right" vertical="center"/>
    </xf>
    <xf numFmtId="168" fontId="41" fillId="27" borderId="0" xfId="33" applyNumberFormat="1" applyFont="1" applyFill="1" applyAlignment="1">
      <alignment horizontal="right" vertical="center"/>
    </xf>
    <xf numFmtId="168" fontId="41" fillId="21" borderId="0" xfId="33" applyNumberFormat="1" applyFont="1" applyFill="1" applyAlignment="1">
      <alignment horizontal="right" vertical="center"/>
    </xf>
    <xf numFmtId="37" fontId="41" fillId="21" borderId="0" xfId="34" applyNumberFormat="1" applyFont="1" applyFill="1" applyAlignment="1">
      <alignment horizontal="right" vertical="center"/>
    </xf>
    <xf numFmtId="5" fontId="41" fillId="21" borderId="0" xfId="34" applyNumberFormat="1" applyFont="1" applyFill="1" applyAlignment="1">
      <alignment horizontal="right" vertical="center"/>
    </xf>
    <xf numFmtId="9" fontId="41" fillId="21" borderId="0" xfId="52" applyFont="1" applyFill="1" applyAlignment="1">
      <alignment horizontal="right" vertical="center"/>
    </xf>
    <xf numFmtId="9" fontId="41" fillId="21" borderId="0" xfId="45" applyNumberFormat="1" applyFont="1" applyFill="1" applyAlignment="1">
      <alignment horizontal="right" vertical="center"/>
    </xf>
    <xf numFmtId="0" fontId="12" fillId="24" borderId="15" xfId="0" applyFont="1" applyFill="1" applyBorder="1" applyAlignment="1">
      <alignment horizontal="center" vertical="center"/>
    </xf>
    <xf numFmtId="3" fontId="36" fillId="24" borderId="0" xfId="0" applyNumberFormat="1" applyFont="1" applyFill="1" applyBorder="1" applyAlignment="1">
      <alignment horizontal="right" vertical="center"/>
    </xf>
    <xf numFmtId="164" fontId="59" fillId="24" borderId="0" xfId="0" applyNumberFormat="1" applyFont="1" applyFill="1" applyBorder="1" applyAlignment="1">
      <alignment horizontal="right" vertical="center"/>
    </xf>
    <xf numFmtId="9" fontId="36" fillId="24" borderId="0" xfId="0" applyNumberFormat="1" applyFont="1" applyFill="1" applyBorder="1" applyAlignment="1">
      <alignment horizontal="right" vertical="center"/>
    </xf>
    <xf numFmtId="3" fontId="6" fillId="24" borderId="0" xfId="0" applyNumberFormat="1" applyFont="1" applyFill="1" applyBorder="1" applyAlignment="1">
      <alignment horizontal="right" vertical="center"/>
    </xf>
    <xf numFmtId="9" fontId="59" fillId="24" borderId="0" xfId="0" applyNumberFormat="1" applyFont="1" applyFill="1" applyBorder="1" applyAlignment="1">
      <alignment horizontal="right" vertical="center"/>
    </xf>
    <xf numFmtId="0" fontId="6" fillId="21" borderId="13" xfId="66" applyFill="1" applyBorder="1"/>
    <xf numFmtId="0" fontId="6" fillId="21" borderId="10" xfId="66" applyFill="1" applyBorder="1"/>
    <xf numFmtId="0" fontId="6" fillId="24" borderId="13" xfId="0" applyFont="1" applyFill="1" applyBorder="1"/>
    <xf numFmtId="175" fontId="50" fillId="27" borderId="9" xfId="33" applyNumberFormat="1" applyFont="1" applyFill="1" applyBorder="1" applyAlignment="1">
      <alignment horizontal="right" vertical="center"/>
    </xf>
    <xf numFmtId="9" fontId="52" fillId="27" borderId="0" xfId="51" applyNumberFormat="1" applyFont="1" applyFill="1"/>
    <xf numFmtId="168" fontId="36" fillId="24" borderId="0" xfId="60" applyNumberFormat="1" applyFont="1" applyFill="1" applyBorder="1" applyAlignment="1">
      <alignment horizontal="right"/>
    </xf>
    <xf numFmtId="168" fontId="36" fillId="24" borderId="0" xfId="60" applyNumberFormat="1" applyFont="1" applyFill="1" applyBorder="1"/>
    <xf numFmtId="167" fontId="40" fillId="24" borderId="0" xfId="33" applyNumberFormat="1" applyFont="1" applyFill="1" applyBorder="1"/>
    <xf numFmtId="167" fontId="39" fillId="28" borderId="0" xfId="33" applyNumberFormat="1" applyFont="1" applyFill="1" applyBorder="1"/>
    <xf numFmtId="174" fontId="6" fillId="20" borderId="0" xfId="32" applyNumberFormat="1" applyFont="1" applyFill="1" applyBorder="1" applyAlignment="1"/>
    <xf numFmtId="183" fontId="6" fillId="21" borderId="0" xfId="66" applyNumberFormat="1" applyFont="1" applyFill="1"/>
    <xf numFmtId="0" fontId="41" fillId="0" borderId="0" xfId="0" applyNumberFormat="1" applyFont="1" applyAlignment="1">
      <alignment vertical="center"/>
    </xf>
    <xf numFmtId="173" fontId="41" fillId="0" borderId="0" xfId="0" applyNumberFormat="1" applyFont="1" applyAlignment="1">
      <alignment vertical="center"/>
    </xf>
    <xf numFmtId="37" fontId="6" fillId="24" borderId="0" xfId="0" applyNumberFormat="1" applyFont="1" applyFill="1" applyAlignment="1">
      <alignment horizontal="right" vertical="center"/>
    </xf>
    <xf numFmtId="37" fontId="12" fillId="24" borderId="0" xfId="47" applyNumberFormat="1" applyFont="1" applyFill="1" applyAlignment="1">
      <alignment horizontal="right" vertical="center"/>
    </xf>
    <xf numFmtId="168" fontId="6" fillId="24" borderId="0" xfId="0" applyNumberFormat="1" applyFont="1" applyFill="1" applyAlignment="1">
      <alignment horizontal="right" vertical="center"/>
    </xf>
    <xf numFmtId="175" fontId="6" fillId="24" borderId="0" xfId="0" applyNumberFormat="1" applyFont="1" applyFill="1" applyAlignment="1">
      <alignment vertical="center"/>
    </xf>
    <xf numFmtId="175" fontId="12" fillId="24" borderId="0" xfId="47" applyNumberFormat="1" applyFont="1" applyFill="1" applyAlignment="1">
      <alignment horizontal="right" vertical="center"/>
    </xf>
    <xf numFmtId="175" fontId="36" fillId="24" borderId="0" xfId="51" applyNumberFormat="1" applyFont="1" applyFill="1" applyAlignment="1">
      <alignment horizontal="right" vertical="center"/>
    </xf>
    <xf numFmtId="0" fontId="36" fillId="21" borderId="0" xfId="45" applyFont="1" applyFill="1" applyAlignment="1">
      <alignment horizontal="left" vertical="center" indent="1"/>
    </xf>
    <xf numFmtId="164" fontId="70" fillId="25" borderId="0" xfId="51" applyNumberFormat="1" applyFont="1" applyFill="1" applyAlignment="1">
      <alignment horizontal="right" vertical="center"/>
    </xf>
    <xf numFmtId="164" fontId="65" fillId="24" borderId="0" xfId="51" applyNumberFormat="1" applyFont="1" applyFill="1" applyAlignment="1">
      <alignment horizontal="right" vertical="center"/>
    </xf>
    <xf numFmtId="9" fontId="12" fillId="24" borderId="0" xfId="51" applyFont="1" applyFill="1" applyAlignment="1">
      <alignment horizontal="right" vertical="center"/>
    </xf>
    <xf numFmtId="9" fontId="45" fillId="25" borderId="0" xfId="47" applyNumberFormat="1" applyFont="1" applyFill="1" applyAlignment="1">
      <alignment vertical="center"/>
    </xf>
    <xf numFmtId="7" fontId="6" fillId="21" borderId="0" xfId="33" applyNumberFormat="1" applyFont="1" applyFill="1" applyAlignment="1">
      <alignment horizontal="right" vertical="center"/>
    </xf>
    <xf numFmtId="9" fontId="41" fillId="31" borderId="22" xfId="51" applyFont="1" applyFill="1" applyBorder="1" applyAlignment="1">
      <alignment horizontal="center" vertical="center"/>
    </xf>
    <xf numFmtId="175" fontId="6" fillId="24" borderId="33" xfId="0" applyNumberFormat="1" applyFont="1" applyFill="1" applyBorder="1"/>
    <xf numFmtId="9" fontId="41" fillId="31" borderId="22" xfId="64" applyFont="1" applyFill="1" applyBorder="1" applyAlignment="1">
      <alignment horizontal="center" vertical="center"/>
    </xf>
    <xf numFmtId="43" fontId="54" fillId="24" borderId="0" xfId="32" applyFont="1" applyFill="1"/>
    <xf numFmtId="43" fontId="6" fillId="24" borderId="0" xfId="32" applyFont="1" applyFill="1"/>
    <xf numFmtId="0" fontId="6" fillId="24" borderId="0" xfId="47" applyFont="1" applyFill="1" applyAlignment="1">
      <alignment horizontal="left" vertical="center" indent="1"/>
    </xf>
    <xf numFmtId="165" fontId="6" fillId="24" borderId="0" xfId="47" applyNumberFormat="1" applyFont="1" applyFill="1" applyAlignment="1">
      <alignment vertical="center"/>
    </xf>
    <xf numFmtId="3" fontId="6" fillId="24" borderId="0" xfId="47" applyNumberFormat="1" applyFont="1" applyFill="1" applyAlignment="1">
      <alignment vertical="center"/>
    </xf>
    <xf numFmtId="0" fontId="6" fillId="32" borderId="15" xfId="47" applyFont="1" applyFill="1" applyBorder="1" applyAlignment="1">
      <alignment vertical="center"/>
    </xf>
    <xf numFmtId="0" fontId="6" fillId="32" borderId="16" xfId="47" applyFont="1" applyFill="1" applyBorder="1" applyAlignment="1">
      <alignment vertical="center"/>
    </xf>
    <xf numFmtId="190" fontId="6" fillId="32" borderId="40" xfId="47" applyNumberFormat="1" applyFont="1" applyFill="1" applyBorder="1" applyAlignment="1">
      <alignment vertical="center"/>
    </xf>
    <xf numFmtId="165" fontId="6" fillId="0" borderId="0" xfId="0" applyNumberFormat="1" applyFont="1" applyAlignment="1">
      <alignment vertical="center"/>
    </xf>
    <xf numFmtId="5" fontId="6" fillId="0" borderId="0" xfId="0" applyNumberFormat="1" applyFont="1" applyAlignment="1">
      <alignment vertical="center"/>
    </xf>
    <xf numFmtId="9" fontId="6" fillId="0" borderId="0" xfId="0" applyNumberFormat="1" applyFont="1" applyAlignment="1">
      <alignment vertical="center"/>
    </xf>
    <xf numFmtId="183" fontId="6" fillId="0" borderId="0" xfId="0" applyNumberFormat="1" applyFont="1" applyAlignment="1">
      <alignment vertical="center"/>
    </xf>
    <xf numFmtId="165" fontId="6" fillId="32" borderId="40" xfId="47" applyNumberFormat="1" applyFont="1" applyFill="1" applyBorder="1" applyAlignment="1">
      <alignment vertical="center"/>
    </xf>
    <xf numFmtId="9" fontId="6" fillId="0" borderId="0" xfId="51" applyFont="1" applyAlignment="1">
      <alignment vertical="center"/>
    </xf>
    <xf numFmtId="9" fontId="6" fillId="24" borderId="0" xfId="0" applyNumberFormat="1" applyFont="1" applyFill="1" applyAlignment="1">
      <alignment vertical="center"/>
    </xf>
    <xf numFmtId="176" fontId="6" fillId="24" borderId="0" xfId="0" applyNumberFormat="1" applyFont="1" applyFill="1" applyAlignment="1">
      <alignment vertical="center"/>
    </xf>
    <xf numFmtId="43" fontId="6" fillId="24" borderId="0" xfId="0" applyNumberFormat="1" applyFont="1" applyFill="1" applyAlignment="1">
      <alignment vertical="center"/>
    </xf>
    <xf numFmtId="165" fontId="6" fillId="24" borderId="0" xfId="0" applyNumberFormat="1" applyFont="1" applyFill="1" applyAlignment="1">
      <alignment vertical="center"/>
    </xf>
    <xf numFmtId="168" fontId="6" fillId="24" borderId="0" xfId="0" applyNumberFormat="1" applyFont="1" applyFill="1" applyAlignment="1">
      <alignment vertical="center"/>
    </xf>
    <xf numFmtId="183" fontId="36" fillId="21" borderId="0" xfId="45" applyNumberFormat="1" applyFont="1" applyFill="1" applyAlignment="1">
      <alignment horizontal="right" vertical="center"/>
    </xf>
    <xf numFmtId="175" fontId="36" fillId="21" borderId="0" xfId="45" applyNumberFormat="1" applyFont="1" applyFill="1" applyAlignment="1">
      <alignment vertical="center"/>
    </xf>
    <xf numFmtId="9" fontId="36" fillId="21" borderId="0" xfId="51" applyFont="1" applyFill="1" applyAlignment="1">
      <alignment vertical="center"/>
    </xf>
    <xf numFmtId="7" fontId="36" fillId="21" borderId="0" xfId="45" applyNumberFormat="1" applyFont="1" applyFill="1" applyAlignment="1">
      <alignment vertical="center"/>
    </xf>
    <xf numFmtId="175" fontId="6" fillId="0" borderId="0" xfId="0" applyNumberFormat="1" applyFont="1" applyAlignment="1">
      <alignment vertical="center"/>
    </xf>
    <xf numFmtId="175" fontId="6" fillId="0" borderId="0" xfId="0" applyNumberFormat="1" applyFont="1" applyAlignment="1">
      <alignment horizontal="right" vertical="center"/>
    </xf>
    <xf numFmtId="7" fontId="6" fillId="0" borderId="0" xfId="0" applyNumberFormat="1" applyFont="1" applyAlignment="1">
      <alignment vertical="center"/>
    </xf>
    <xf numFmtId="0" fontId="6" fillId="0" borderId="0" xfId="0" applyFont="1" applyAlignment="1">
      <alignment horizontal="center"/>
    </xf>
    <xf numFmtId="0" fontId="65" fillId="33" borderId="19" xfId="0" applyFont="1" applyFill="1" applyBorder="1"/>
    <xf numFmtId="0" fontId="65" fillId="33" borderId="20" xfId="0" applyFont="1" applyFill="1" applyBorder="1" applyAlignment="1">
      <alignment horizontal="center"/>
    </xf>
    <xf numFmtId="0" fontId="65" fillId="33" borderId="21" xfId="0" applyFont="1" applyFill="1" applyBorder="1" applyAlignment="1">
      <alignment horizontal="center"/>
    </xf>
    <xf numFmtId="0" fontId="6" fillId="0" borderId="11" xfId="0" applyFont="1" applyBorder="1"/>
    <xf numFmtId="0" fontId="6" fillId="0" borderId="0" xfId="0" applyFont="1" applyBorder="1" applyAlignment="1">
      <alignment horizontal="center"/>
    </xf>
    <xf numFmtId="0" fontId="6" fillId="0" borderId="12" xfId="0" applyFont="1" applyBorder="1" applyAlignment="1">
      <alignment horizontal="center"/>
    </xf>
    <xf numFmtId="9" fontId="6" fillId="0" borderId="0" xfId="0" applyNumberFormat="1" applyFont="1" applyBorder="1" applyAlignment="1">
      <alignment horizontal="center"/>
    </xf>
    <xf numFmtId="0" fontId="6" fillId="34" borderId="15" xfId="0" applyFont="1" applyFill="1" applyBorder="1"/>
    <xf numFmtId="0" fontId="6" fillId="34" borderId="16" xfId="0" applyFont="1" applyFill="1" applyBorder="1" applyAlignment="1">
      <alignment horizontal="center"/>
    </xf>
    <xf numFmtId="9" fontId="6" fillId="0" borderId="0" xfId="51" applyFont="1" applyBorder="1" applyAlignment="1">
      <alignment horizontal="center"/>
    </xf>
    <xf numFmtId="0" fontId="6" fillId="0" borderId="41" xfId="0" applyFont="1" applyBorder="1"/>
    <xf numFmtId="0" fontId="6" fillId="0" borderId="22" xfId="0" applyFont="1" applyBorder="1" applyAlignment="1">
      <alignment horizontal="center"/>
    </xf>
    <xf numFmtId="9" fontId="6" fillId="0" borderId="22" xfId="51" applyFont="1" applyBorder="1" applyAlignment="1">
      <alignment horizontal="center"/>
    </xf>
    <xf numFmtId="9" fontId="6" fillId="0" borderId="22" xfId="0" applyNumberFormat="1" applyFont="1" applyBorder="1" applyAlignment="1">
      <alignment horizontal="center"/>
    </xf>
    <xf numFmtId="3" fontId="6" fillId="0" borderId="0" xfId="0" applyNumberFormat="1" applyFont="1"/>
    <xf numFmtId="9" fontId="6" fillId="0" borderId="0" xfId="51" applyFont="1"/>
    <xf numFmtId="173" fontId="6" fillId="0" borderId="12" xfId="0" applyNumberFormat="1" applyFont="1" applyBorder="1" applyAlignment="1">
      <alignment horizontal="center"/>
    </xf>
    <xf numFmtId="173" fontId="6" fillId="0" borderId="42" xfId="0" applyNumberFormat="1" applyFont="1" applyBorder="1" applyAlignment="1">
      <alignment horizontal="center"/>
    </xf>
    <xf numFmtId="173" fontId="6" fillId="34" borderId="40" xfId="0" applyNumberFormat="1" applyFont="1" applyFill="1" applyBorder="1" applyAlignment="1">
      <alignment horizontal="center"/>
    </xf>
    <xf numFmtId="9" fontId="6" fillId="24" borderId="0" xfId="51" applyNumberFormat="1" applyFont="1" applyFill="1" applyAlignment="1">
      <alignment vertical="center"/>
    </xf>
    <xf numFmtId="9" fontId="40" fillId="24" borderId="0" xfId="51" applyFont="1" applyFill="1" applyAlignment="1">
      <alignment horizontal="left" vertical="center" indent="1"/>
    </xf>
    <xf numFmtId="9" fontId="59" fillId="21" borderId="0" xfId="51" applyFont="1" applyFill="1" applyAlignment="1">
      <alignment vertical="center"/>
    </xf>
    <xf numFmtId="9" fontId="59" fillId="21" borderId="0" xfId="45" applyNumberFormat="1" applyFont="1" applyFill="1" applyAlignment="1">
      <alignment vertical="center"/>
    </xf>
    <xf numFmtId="0" fontId="65" fillId="33" borderId="35" xfId="47" applyFont="1" applyFill="1" applyBorder="1" applyAlignment="1">
      <alignment vertical="center"/>
    </xf>
    <xf numFmtId="0" fontId="65" fillId="33" borderId="35" xfId="0" applyFont="1" applyFill="1" applyBorder="1" applyAlignment="1">
      <alignment vertical="center"/>
    </xf>
    <xf numFmtId="176" fontId="65" fillId="33" borderId="35" xfId="45" applyNumberFormat="1" applyFont="1" applyFill="1" applyBorder="1" applyAlignment="1">
      <alignment horizontal="right" vertical="center"/>
    </xf>
    <xf numFmtId="0" fontId="36" fillId="32" borderId="13" xfId="45" applyFont="1" applyFill="1" applyBorder="1" applyAlignment="1">
      <alignment horizontal="left" vertical="center"/>
    </xf>
    <xf numFmtId="0" fontId="6" fillId="32" borderId="10" xfId="0" applyFont="1" applyFill="1" applyBorder="1" applyAlignment="1">
      <alignment vertical="center"/>
    </xf>
    <xf numFmtId="0" fontId="6" fillId="32" borderId="19" xfId="47" applyFont="1" applyFill="1" applyBorder="1" applyAlignment="1">
      <alignment vertical="center"/>
    </xf>
    <xf numFmtId="0" fontId="6" fillId="32" borderId="20" xfId="47" applyFont="1" applyFill="1" applyBorder="1" applyAlignment="1">
      <alignment vertical="center"/>
    </xf>
    <xf numFmtId="9" fontId="36" fillId="32" borderId="18" xfId="45" applyNumberFormat="1" applyFont="1" applyFill="1" applyBorder="1" applyAlignment="1">
      <alignment horizontal="center" vertical="center"/>
    </xf>
    <xf numFmtId="173" fontId="6" fillId="32" borderId="21" xfId="47" applyNumberFormat="1" applyFont="1" applyFill="1" applyBorder="1" applyAlignment="1">
      <alignment horizontal="center" vertical="center"/>
    </xf>
    <xf numFmtId="0" fontId="6" fillId="24" borderId="22" xfId="47" applyFont="1" applyFill="1" applyBorder="1" applyAlignment="1">
      <alignment vertical="center"/>
    </xf>
    <xf numFmtId="0" fontId="36" fillId="21" borderId="22" xfId="45" applyFont="1" applyFill="1" applyBorder="1" applyAlignment="1">
      <alignment horizontal="center" vertical="center"/>
    </xf>
    <xf numFmtId="7" fontId="36" fillId="21" borderId="22" xfId="45" applyNumberFormat="1" applyFont="1" applyFill="1" applyBorder="1" applyAlignment="1">
      <alignment vertical="center"/>
    </xf>
    <xf numFmtId="0" fontId="65" fillId="33" borderId="35" xfId="45" applyFont="1" applyFill="1" applyBorder="1" applyAlignment="1">
      <alignment horizontal="center" vertical="center"/>
    </xf>
    <xf numFmtId="0" fontId="36" fillId="21" borderId="20" xfId="45" applyFont="1" applyFill="1" applyBorder="1" applyAlignment="1">
      <alignment horizontal="center" vertical="center"/>
    </xf>
    <xf numFmtId="0" fontId="36" fillId="32" borderId="10" xfId="45" applyFont="1" applyFill="1" applyBorder="1" applyAlignment="1">
      <alignment horizontal="center" vertical="center"/>
    </xf>
    <xf numFmtId="9" fontId="36" fillId="32" borderId="18" xfId="45" applyNumberFormat="1" applyFont="1" applyFill="1" applyBorder="1" applyAlignment="1">
      <alignment horizontal="right" vertical="center"/>
    </xf>
    <xf numFmtId="173" fontId="6" fillId="32" borderId="21" xfId="47" applyNumberFormat="1" applyFont="1" applyFill="1" applyBorder="1" applyAlignment="1">
      <alignment vertical="center"/>
    </xf>
    <xf numFmtId="0" fontId="59" fillId="21" borderId="0" xfId="45" applyFont="1" applyFill="1" applyAlignment="1">
      <alignment horizontal="center" vertical="center"/>
    </xf>
    <xf numFmtId="0" fontId="6" fillId="32" borderId="20" xfId="0" applyFont="1" applyFill="1" applyBorder="1" applyAlignment="1">
      <alignment vertical="center"/>
    </xf>
    <xf numFmtId="5" fontId="6" fillId="32" borderId="21" xfId="0" applyNumberFormat="1" applyFont="1" applyFill="1" applyBorder="1" applyAlignment="1">
      <alignment vertical="center"/>
    </xf>
    <xf numFmtId="9" fontId="6" fillId="32" borderId="18" xfId="0" applyNumberFormat="1" applyFont="1" applyFill="1" applyBorder="1" applyAlignment="1">
      <alignment vertical="center"/>
    </xf>
    <xf numFmtId="176" fontId="65" fillId="33" borderId="35" xfId="0" applyNumberFormat="1" applyFont="1" applyFill="1" applyBorder="1" applyAlignment="1">
      <alignment vertical="center"/>
    </xf>
    <xf numFmtId="0" fontId="40" fillId="0" borderId="0" xfId="0" applyFont="1" applyAlignment="1">
      <alignment vertical="center"/>
    </xf>
    <xf numFmtId="9" fontId="40" fillId="0" borderId="0" xfId="0" applyNumberFormat="1" applyFont="1" applyAlignment="1">
      <alignment vertical="center"/>
    </xf>
    <xf numFmtId="9" fontId="40" fillId="0" borderId="0" xfId="51" applyFont="1" applyAlignment="1">
      <alignment vertical="center"/>
    </xf>
    <xf numFmtId="0" fontId="65" fillId="33" borderId="35" xfId="0" applyNumberFormat="1" applyFont="1" applyFill="1" applyBorder="1" applyAlignment="1">
      <alignment vertical="center"/>
    </xf>
    <xf numFmtId="0" fontId="6" fillId="24" borderId="0" xfId="0" applyFont="1" applyFill="1" applyAlignment="1">
      <alignment horizontal="left" vertical="center" indent="1"/>
    </xf>
    <xf numFmtId="0" fontId="40" fillId="24" borderId="0" xfId="0" applyFont="1" applyFill="1" applyAlignment="1">
      <alignment horizontal="left" vertical="center" indent="1"/>
    </xf>
    <xf numFmtId="9" fontId="40" fillId="24" borderId="0" xfId="0" applyNumberFormat="1" applyFont="1" applyFill="1" applyAlignment="1">
      <alignment vertical="center"/>
    </xf>
    <xf numFmtId="0" fontId="6" fillId="24" borderId="22" xfId="0" applyFont="1" applyFill="1" applyBorder="1" applyAlignment="1">
      <alignment vertical="center"/>
    </xf>
    <xf numFmtId="168" fontId="6" fillId="24" borderId="22" xfId="0" applyNumberFormat="1" applyFont="1" applyFill="1" applyBorder="1" applyAlignment="1">
      <alignment vertical="center"/>
    </xf>
    <xf numFmtId="6" fontId="6" fillId="0" borderId="0" xfId="0" applyNumberFormat="1" applyFont="1" applyAlignment="1">
      <alignment horizontal="center"/>
    </xf>
    <xf numFmtId="0" fontId="6" fillId="24" borderId="16" xfId="0" applyFont="1" applyFill="1" applyBorder="1" applyAlignment="1">
      <alignment vertical="center"/>
    </xf>
    <xf numFmtId="0" fontId="72" fillId="26" borderId="24" xfId="66" applyFont="1" applyFill="1" applyBorder="1" applyAlignment="1">
      <alignment horizontal="center"/>
    </xf>
    <xf numFmtId="0" fontId="72" fillId="26" borderId="24" xfId="0" applyFont="1" applyFill="1" applyBorder="1" applyAlignment="1">
      <alignment horizontal="center" vertical="center"/>
    </xf>
    <xf numFmtId="5" fontId="12" fillId="25" borderId="24" xfId="0" applyNumberFormat="1" applyFont="1" applyFill="1" applyBorder="1" applyAlignment="1">
      <alignment horizontal="center"/>
    </xf>
    <xf numFmtId="0" fontId="12" fillId="24" borderId="15" xfId="0" applyFont="1" applyFill="1" applyBorder="1"/>
    <xf numFmtId="168" fontId="65" fillId="36" borderId="15" xfId="0" applyNumberFormat="1" applyFont="1" applyFill="1" applyBorder="1"/>
    <xf numFmtId="168" fontId="65" fillId="36" borderId="16" xfId="0" applyNumberFormat="1" applyFont="1" applyFill="1" applyBorder="1"/>
    <xf numFmtId="168" fontId="65" fillId="36" borderId="40" xfId="0" applyNumberFormat="1" applyFont="1" applyFill="1" applyBorder="1" applyAlignment="1">
      <alignment horizontal="right"/>
    </xf>
    <xf numFmtId="165" fontId="12" fillId="22" borderId="22" xfId="0" applyNumberFormat="1" applyFont="1" applyFill="1" applyBorder="1" applyAlignment="1">
      <alignment horizontal="right"/>
    </xf>
    <xf numFmtId="168" fontId="36" fillId="24" borderId="22" xfId="32" applyNumberFormat="1" applyFont="1" applyFill="1" applyBorder="1" applyAlignment="1"/>
    <xf numFmtId="168" fontId="36" fillId="24" borderId="30" xfId="32" applyNumberFormat="1" applyFont="1" applyFill="1" applyBorder="1" applyAlignment="1"/>
    <xf numFmtId="168" fontId="6" fillId="20" borderId="39" xfId="60" applyNumberFormat="1" applyFont="1" applyFill="1" applyBorder="1" applyAlignment="1"/>
    <xf numFmtId="168" fontId="6" fillId="0" borderId="39" xfId="60" applyNumberFormat="1" applyFont="1" applyFill="1" applyBorder="1" applyAlignment="1"/>
    <xf numFmtId="9" fontId="6" fillId="24" borderId="0" xfId="51" applyFont="1" applyFill="1" applyAlignment="1">
      <alignment horizontal="right" vertical="center"/>
    </xf>
    <xf numFmtId="183" fontId="6" fillId="22" borderId="0" xfId="0" applyNumberFormat="1" applyFont="1" applyFill="1"/>
    <xf numFmtId="168" fontId="36" fillId="27" borderId="0" xfId="0" applyNumberFormat="1" applyFont="1" applyFill="1"/>
    <xf numFmtId="3" fontId="73" fillId="35" borderId="0" xfId="0" applyNumberFormat="1" applyFont="1" applyFill="1"/>
    <xf numFmtId="173" fontId="12" fillId="27" borderId="9" xfId="0" applyNumberFormat="1" applyFont="1" applyFill="1" applyBorder="1"/>
    <xf numFmtId="173" fontId="12" fillId="24" borderId="9" xfId="0" applyNumberFormat="1" applyFont="1" applyFill="1" applyBorder="1"/>
    <xf numFmtId="191" fontId="12" fillId="27" borderId="9" xfId="0" applyNumberFormat="1" applyFont="1" applyFill="1" applyBorder="1"/>
    <xf numFmtId="192" fontId="12" fillId="27" borderId="0" xfId="0" applyNumberFormat="1" applyFont="1" applyFill="1"/>
    <xf numFmtId="0" fontId="6" fillId="24" borderId="39" xfId="0" applyFont="1" applyFill="1" applyBorder="1"/>
    <xf numFmtId="168" fontId="6" fillId="24" borderId="39" xfId="0" applyNumberFormat="1" applyFont="1" applyFill="1" applyBorder="1"/>
    <xf numFmtId="39" fontId="6" fillId="24" borderId="0" xfId="0" applyNumberFormat="1" applyFont="1" applyFill="1"/>
    <xf numFmtId="175" fontId="12" fillId="22" borderId="9" xfId="33" applyNumberFormat="1" applyFont="1" applyFill="1" applyBorder="1" applyAlignment="1">
      <alignment horizontal="right" vertical="center"/>
    </xf>
    <xf numFmtId="164" fontId="45" fillId="27" borderId="0" xfId="51" applyNumberFormat="1" applyFont="1" applyFill="1"/>
    <xf numFmtId="176" fontId="6" fillId="24" borderId="0" xfId="60" applyNumberFormat="1" applyFont="1" applyFill="1" applyBorder="1" applyAlignment="1">
      <alignment horizontal="center"/>
    </xf>
    <xf numFmtId="14" fontId="6" fillId="24" borderId="0" xfId="60" applyNumberFormat="1" applyFont="1" applyFill="1" applyBorder="1"/>
    <xf numFmtId="168" fontId="6" fillId="24" borderId="39" xfId="60" applyNumberFormat="1" applyFont="1" applyFill="1" applyBorder="1"/>
    <xf numFmtId="176" fontId="37" fillId="23" borderId="43" xfId="45" applyNumberFormat="1" applyFont="1" applyFill="1" applyBorder="1" applyAlignment="1">
      <alignment horizontal="right" vertical="center"/>
    </xf>
    <xf numFmtId="9" fontId="6" fillId="24" borderId="39" xfId="0" applyNumberFormat="1" applyFont="1" applyFill="1" applyBorder="1"/>
    <xf numFmtId="177" fontId="6" fillId="0" borderId="0" xfId="0" applyNumberFormat="1" applyFont="1" applyFill="1" applyAlignment="1">
      <alignment horizontal="left" indent="1"/>
    </xf>
    <xf numFmtId="9" fontId="50" fillId="24" borderId="0" xfId="51" applyFont="1" applyFill="1" applyBorder="1" applyAlignment="1">
      <alignment vertical="center"/>
    </xf>
    <xf numFmtId="9" fontId="12" fillId="24" borderId="0" xfId="51" applyFont="1" applyFill="1"/>
    <xf numFmtId="39" fontId="73" fillId="35" borderId="0" xfId="0" applyNumberFormat="1" applyFont="1" applyFill="1"/>
    <xf numFmtId="0" fontId="63" fillId="29" borderId="0" xfId="61" applyFont="1" applyFill="1" applyBorder="1" applyAlignment="1">
      <alignment horizontal="left" vertical="center"/>
    </xf>
    <xf numFmtId="0" fontId="63" fillId="29" borderId="14" xfId="61" applyFont="1" applyFill="1" applyBorder="1" applyAlignment="1">
      <alignment horizontal="left" vertical="center"/>
    </xf>
    <xf numFmtId="0" fontId="6" fillId="21" borderId="0" xfId="104" applyFont="1" applyFill="1" applyAlignment="1">
      <alignment vertical="top"/>
    </xf>
    <xf numFmtId="0" fontId="6" fillId="21" borderId="0" xfId="61" applyFill="1" applyAlignment="1">
      <alignment vertical="top"/>
    </xf>
    <xf numFmtId="0" fontId="6" fillId="21" borderId="0" xfId="61" applyFill="1"/>
    <xf numFmtId="0" fontId="76" fillId="21" borderId="0" xfId="104" applyFont="1" applyFill="1" applyAlignment="1">
      <alignment horizontal="left" vertical="top"/>
    </xf>
    <xf numFmtId="0" fontId="6" fillId="21" borderId="0" xfId="61" applyFont="1" applyFill="1" applyAlignment="1">
      <alignment vertical="top"/>
    </xf>
    <xf numFmtId="0" fontId="40" fillId="21" borderId="0" xfId="104" applyFont="1" applyFill="1" applyAlignment="1">
      <alignment vertical="top"/>
    </xf>
    <xf numFmtId="0" fontId="0" fillId="21" borderId="0" xfId="0" applyFill="1" applyAlignment="1">
      <alignment vertical="top"/>
    </xf>
    <xf numFmtId="0" fontId="77" fillId="21" borderId="0" xfId="0" applyFont="1" applyFill="1" applyAlignment="1">
      <alignment vertical="top"/>
    </xf>
    <xf numFmtId="0" fontId="78" fillId="21" borderId="0" xfId="0" applyFont="1" applyFill="1" applyAlignment="1">
      <alignment vertical="top"/>
    </xf>
    <xf numFmtId="0" fontId="78" fillId="21" borderId="0" xfId="0" applyFont="1" applyFill="1" applyAlignment="1">
      <alignment vertical="top"/>
    </xf>
    <xf numFmtId="0" fontId="77" fillId="21" borderId="0" xfId="0" applyFont="1" applyFill="1" applyAlignment="1">
      <alignment vertical="top"/>
    </xf>
    <xf numFmtId="0" fontId="0" fillId="21" borderId="0" xfId="0" applyFill="1" applyAlignment="1">
      <alignment vertical="top"/>
    </xf>
    <xf numFmtId="0" fontId="0" fillId="21" borderId="48" xfId="0" applyFill="1" applyBorder="1" applyAlignment="1">
      <alignment vertical="top"/>
    </xf>
    <xf numFmtId="0" fontId="77" fillId="21" borderId="44" xfId="0" applyFont="1" applyFill="1" applyBorder="1" applyAlignment="1">
      <alignment vertical="top"/>
    </xf>
    <xf numFmtId="0" fontId="77" fillId="21" borderId="45" xfId="0" applyFont="1" applyFill="1" applyBorder="1" applyAlignment="1">
      <alignment vertical="top"/>
    </xf>
    <xf numFmtId="0" fontId="77" fillId="21" borderId="46" xfId="0" applyFont="1" applyFill="1" applyBorder="1" applyAlignment="1">
      <alignment vertical="top"/>
    </xf>
    <xf numFmtId="0" fontId="77" fillId="21" borderId="47" xfId="0" applyFont="1" applyFill="1" applyBorder="1" applyAlignment="1">
      <alignment vertical="top"/>
    </xf>
    <xf numFmtId="9" fontId="77" fillId="21" borderId="44" xfId="0" applyNumberFormat="1" applyFont="1" applyFill="1" applyBorder="1" applyAlignment="1">
      <alignment vertical="top"/>
    </xf>
    <xf numFmtId="3" fontId="77" fillId="21" borderId="44" xfId="0" applyNumberFormat="1" applyFont="1" applyFill="1" applyBorder="1" applyAlignment="1">
      <alignment vertical="top"/>
    </xf>
    <xf numFmtId="0" fontId="0" fillId="21" borderId="49" xfId="0" applyFill="1" applyBorder="1" applyAlignment="1">
      <alignment vertical="top"/>
    </xf>
    <xf numFmtId="2" fontId="6" fillId="0" borderId="0" xfId="61" applyNumberFormat="1" applyAlignment="1">
      <alignment horizontal="left"/>
    </xf>
    <xf numFmtId="0" fontId="6" fillId="0" borderId="0" xfId="61" applyNumberFormat="1" applyAlignment="1">
      <alignment horizontal="left"/>
    </xf>
    <xf numFmtId="1" fontId="6" fillId="0" borderId="0" xfId="61" applyNumberFormat="1" applyAlignment="1">
      <alignment horizontal="left"/>
    </xf>
    <xf numFmtId="0" fontId="6" fillId="0" borderId="0" xfId="61" applyFont="1"/>
    <xf numFmtId="198" fontId="6" fillId="0" borderId="0" xfId="61" applyNumberFormat="1" applyAlignment="1">
      <alignment horizontal="left"/>
    </xf>
    <xf numFmtId="49" fontId="6" fillId="0" borderId="0" xfId="61" applyNumberFormat="1"/>
  </cellXfs>
  <cellStyles count="105">
    <cellStyle name=" 1" xfId="70"/>
    <cellStyle name=" 1 2" xfId="71"/>
    <cellStyle name=" 1 3" xfId="72"/>
    <cellStyle name=" 1 3 2" xfId="101"/>
    <cellStyle name=" 2" xfId="73"/>
    <cellStyle name=" 2 2" xfId="74"/>
    <cellStyle name="_x000a_386grabber=M" xfId="62"/>
    <cellStyle name="_Balance Sheet " xfId="100"/>
    <cellStyle name="_BS " xfId="75"/>
    <cellStyle name="_DCF " xfId="76"/>
    <cellStyle name="_SUMMARY " xfId="1"/>
    <cellStyle name="0_Annual-VRTX " xfId="77"/>
    <cellStyle name="0_Capex &amp; Depreciation " xfId="2"/>
    <cellStyle name="0_OMV EP 2000-2015 Consolidated " xfId="78"/>
    <cellStyle name="0_P&amp;L-adj " xfId="79"/>
    <cellStyle name="0_Quarterly " xfId="80"/>
    <cellStyle name="0_Quarterly-ITMN " xfId="81"/>
    <cellStyle name="0_Valuing BP " xfId="3"/>
    <cellStyle name="20% - Accent1" xfId="4" builtinId="30" customBuiltin="1"/>
    <cellStyle name="20% - Accent2" xfId="5" builtinId="34" customBuiltin="1"/>
    <cellStyle name="20% - Accent3" xfId="6" builtinId="38" customBuiltin="1"/>
    <cellStyle name="20% - Accent4" xfId="7" builtinId="42" customBuiltin="1"/>
    <cellStyle name="20% - Accent5" xfId="8" builtinId="46" customBuiltin="1"/>
    <cellStyle name="20% - Accent6" xfId="9" builtinId="50" customBuiltin="1"/>
    <cellStyle name="40% - Accent1" xfId="10" builtinId="31" customBuiltin="1"/>
    <cellStyle name="40% - Accent2" xfId="11" builtinId="35" customBuiltin="1"/>
    <cellStyle name="40% - Accent3" xfId="12" builtinId="39" customBuiltin="1"/>
    <cellStyle name="40% - Accent4" xfId="13" builtinId="43" customBuiltin="1"/>
    <cellStyle name="40% - Accent5" xfId="14" builtinId="47" customBuiltin="1"/>
    <cellStyle name="40% - Accent6" xfId="15" builtinId="51" customBuiltin="1"/>
    <cellStyle name="60% - Accent1" xfId="16" builtinId="32" customBuiltin="1"/>
    <cellStyle name="60% - Accent2" xfId="17" builtinId="36" customBuiltin="1"/>
    <cellStyle name="60% - Accent3" xfId="18" builtinId="40" customBuiltin="1"/>
    <cellStyle name="60% - Accent4" xfId="19" builtinId="44" customBuiltin="1"/>
    <cellStyle name="60% - Accent5" xfId="20" builtinId="48" customBuiltin="1"/>
    <cellStyle name="60% - Accent6" xfId="21" builtinId="52" customBuiltin="1"/>
    <cellStyle name="Accent1" xfId="22" builtinId="29" customBuiltin="1"/>
    <cellStyle name="Accent2" xfId="23" builtinId="33" customBuiltin="1"/>
    <cellStyle name="Accent3" xfId="24" builtinId="37" customBuiltin="1"/>
    <cellStyle name="Accent4" xfId="25" builtinId="41" customBuiltin="1"/>
    <cellStyle name="Accent5" xfId="26" builtinId="45" customBuiltin="1"/>
    <cellStyle name="Accent6" xfId="27" builtinId="49" customBuiltin="1"/>
    <cellStyle name="ÅëÈ­ [0]_cover " xfId="82"/>
    <cellStyle name="ÅëÈ­_cover " xfId="83"/>
    <cellStyle name="ÄÞ¸¶ [0]_cover " xfId="84"/>
    <cellStyle name="ÄÞ¸¶_cover " xfId="85"/>
    <cellStyle name="Bad" xfId="28" builtinId="27" customBuiltin="1"/>
    <cellStyle name="c_HardInc " xfId="29"/>
    <cellStyle name="C￥AØ_¿μ¾÷CoE² " xfId="86"/>
    <cellStyle name="Ç¥ÁØ_cover " xfId="87"/>
    <cellStyle name="Calculation" xfId="30" builtinId="22" customBuiltin="1"/>
    <cellStyle name="Check Cell" xfId="31" builtinId="23" customBuiltin="1"/>
    <cellStyle name="Comma" xfId="32" builtinId="3"/>
    <cellStyle name="Comma 2" xfId="33"/>
    <cellStyle name="Currency 2" xfId="34"/>
    <cellStyle name="Currency 3" xfId="98"/>
    <cellStyle name="Currency 4" xfId="35"/>
    <cellStyle name="Explanatory Text" xfId="36" builtinId="53" customBuiltin="1"/>
    <cellStyle name="Good" xfId="37" builtinId="26" customBuiltin="1"/>
    <cellStyle name="Heading 1" xfId="38" builtinId="16" customBuiltin="1"/>
    <cellStyle name="Heading 2" xfId="39" builtinId="17" customBuiltin="1"/>
    <cellStyle name="Heading 3" xfId="40" builtinId="18" customBuiltin="1"/>
    <cellStyle name="Heading 4" xfId="41" builtinId="19" customBuiltin="1"/>
    <cellStyle name="Hyperlink 2" xfId="102"/>
    <cellStyle name="Input" xfId="42" builtinId="20" customBuiltin="1"/>
    <cellStyle name="Linked Cell" xfId="43" builtinId="24" customBuiltin="1"/>
    <cellStyle name="Neutral" xfId="44" builtinId="28" customBuiltin="1"/>
    <cellStyle name="Normal" xfId="0" builtinId="0"/>
    <cellStyle name="Normal 12" xfId="61"/>
    <cellStyle name="Normal 17" xfId="97"/>
    <cellStyle name="Normal 2" xfId="45"/>
    <cellStyle name="Normal 2 2 2" xfId="95"/>
    <cellStyle name="Normal 3" xfId="46"/>
    <cellStyle name="Normal 3 2" xfId="103"/>
    <cellStyle name="Normal 3 3" xfId="65"/>
    <cellStyle name="Normal 3 4" xfId="93"/>
    <cellStyle name="Normal 4 2" xfId="96"/>
    <cellStyle name="Normal 5 3" xfId="94"/>
    <cellStyle name="Normal 6" xfId="66"/>
    <cellStyle name="Normal 6 2" xfId="67"/>
    <cellStyle name="Normal 9" xfId="88"/>
    <cellStyle name="Normal_AMGN" xfId="63"/>
    <cellStyle name="Normal_BMRN_MKH" xfId="47"/>
    <cellStyle name="Normal_DisclaimerSheet Samples" xfId="104"/>
    <cellStyle name="Normal_NBIX" xfId="60"/>
    <cellStyle name="Note" xfId="48" builtinId="10" customBuiltin="1"/>
    <cellStyle name="Output" xfId="49" builtinId="21" customBuiltin="1"/>
    <cellStyle name="p " xfId="50"/>
    <cellStyle name="Percent" xfId="51" builtinId="5"/>
    <cellStyle name="Percent 2" xfId="52"/>
    <cellStyle name="Percent 2 2 2" xfId="68"/>
    <cellStyle name="Percent 2 3" xfId="92"/>
    <cellStyle name="Percent 2 4" xfId="99"/>
    <cellStyle name="Percent 3" xfId="69"/>
    <cellStyle name="Percent 5" xfId="64"/>
    <cellStyle name="RRSInstruction" xfId="53"/>
    <cellStyle name="s_HardInc " xfId="54"/>
    <cellStyle name="s_Valuation " xfId="55"/>
    <cellStyle name="ssp " xfId="56"/>
    <cellStyle name="Title" xfId="57" builtinId="15" customBuiltin="1"/>
    <cellStyle name="Total" xfId="58" builtinId="25" customBuiltin="1"/>
    <cellStyle name="Warning Text" xfId="59" builtinId="11" customBuiltin="1"/>
    <cellStyle name="콤마 [0]_ 2팀층별 " xfId="89"/>
    <cellStyle name="콤마_ 2팀층별 " xfId="90"/>
    <cellStyle name="표준_0N-HANDLING " xfId="9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0080"/>
      <rgbColor rgb="007979FF"/>
      <rgbColor rgb="00D9D9FF"/>
      <rgbColor rgb="001A1AFF"/>
      <rgbColor rgb="00808080"/>
      <rgbColor rgb="00D9D9D9"/>
      <rgbColor rgb="00262626"/>
      <rgbColor rgb="004C4C4C"/>
      <rgbColor rgb="00000080"/>
      <rgbColor rgb="007979FF"/>
      <rgbColor rgb="00D9D9FF"/>
      <rgbColor rgb="001A1AFF"/>
      <rgbColor rgb="00808080"/>
      <rgbColor rgb="00D9D9D9"/>
      <rgbColor rgb="00262626"/>
      <rgbColor rgb="004C4C4C"/>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66FF"/>
      <color rgb="FF0000FF"/>
      <color rgb="FFFFFFCC"/>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trrtdserver">
      <tp t="s">
        <v>-</v>
        <stp/>
        <stp>{7A8D6C71-5643-4204-B07B-B8AAC82CA24E}_x0000_</stp>
        <tr r="BD23" s="5"/>
      </tp>
      <tp>
        <v>-0.65832999999999997</v>
        <stp/>
        <stp>{D792059C-0491-4064-952B-5B2C87CA3183}_x0000_</stp>
        <tr r="AP82" s="5"/>
      </tp>
      <tp>
        <v>348.56706000000003</v>
        <stp/>
        <stp>{ECF739BF-C05E-42E1-A014-BBDA73B323C5}_x0000_</stp>
        <tr r="AL23" s="5"/>
      </tp>
      <tp t="s">
        <v>-</v>
        <stp/>
        <stp>{87FFBB69-C1A8-4FB0-9DD3-BD9E93C4F5DA}_x0000_</stp>
        <tr r="BC23" s="5"/>
      </tp>
      <tp>
        <v>402.76265000000001</v>
        <stp/>
        <stp>{4EBEC769-0E31-429C-9CE7-D726D97F138E}_x0000_</stp>
        <tr r="AO23" s="5"/>
      </tp>
      <tp t="s">
        <v>-</v>
        <stp/>
        <stp>{C74F38F3-3A02-41D9-8B00-5C824E1AAA7C}_x0000_</stp>
        <tr r="BA23" s="5"/>
      </tp>
      <tp>
        <v>1735.6031800000001</v>
        <stp/>
        <stp>{AB7205A6-539F-4FA4-8132-FFA965E520A2}_x0000_</stp>
        <tr r="AU23" s="5"/>
      </tp>
      <tp>
        <v>117.045595238095</v>
        <stp/>
        <stp>{A584C885-7A10-4745-84D9-D820CAD11BAE}_x0000_</stp>
        <tr r="H49" s="51"/>
      </tp>
      <tp>
        <v>28.418373015873001</v>
        <stp/>
        <stp>{8C35CB00-19A6-4B59-B957-DFD961011A65}_x0000_</stp>
        <tr r="D49" s="51"/>
      </tp>
      <tp t="s">
        <v>-</v>
        <stp/>
        <stp>{3DB4BB65-BDF9-42AA-A59E-6C70688EA3DF}_x0000_</stp>
        <tr r="BB23" s="5"/>
      </tp>
      <tp>
        <v>39.139429365079401</v>
        <stp/>
        <stp>{951BB497-F47E-481B-85C1-20316DD48E1B}_x0000_</stp>
        <tr r="E49" s="51"/>
      </tp>
      <tp>
        <v>-0.17399999999999999</v>
        <stp/>
        <stp>{6922944D-7801-410E-A4E7-C1BC83A51CFC}_x0000_</stp>
        <tr r="AM82" s="5"/>
      </tp>
      <tp>
        <v>-0.17144000000000001</v>
        <stp/>
        <stp>{F74FDF00-9D35-4515-99F6-4C45B93E1989}_x0000_</stp>
        <tr r="AL82" s="5"/>
      </tp>
      <tp>
        <v>0.22211</v>
        <stp/>
        <stp>{9911E7DA-B0DC-4F90-BB99-5DB3999C6E2A}_x0000_</stp>
        <tr r="AU82" s="5"/>
      </tp>
      <tp>
        <v>2032.09195</v>
        <stp/>
        <stp>{22EB858F-D28D-4656-A805-49C855E4F6CF}_x0000_</stp>
        <tr r="AZ23" s="5"/>
      </tp>
      <tp>
        <v>364.05029000000002</v>
        <stp/>
        <stp>{F5BC2D2E-1B3A-44FD-9E85-0C3EA107B8AD}_x0000_</stp>
        <tr r="AM23" s="5"/>
      </tp>
      <tp>
        <v>63.418569721115603</v>
        <stp/>
        <stp>{3C1FCEE8-D95D-40BB-978F-8530A33D96F9}_x0000_</stp>
        <tr r="F49" s="51"/>
      </tp>
      <tp>
        <v>373.59746999999999</v>
        <stp/>
        <stp>{AC188E25-1B84-4C0F-8417-2702E7EB4161}_x0000_</stp>
        <tr r="AN23" s="5"/>
      </tp>
      <tp>
        <v>1.24888</v>
        <stp/>
        <stp>{5FC34F61-B822-449E-BEFD-B6C08AEC8E69}_x0000_</stp>
        <tr r="AZ82" s="5"/>
      </tp>
      <tp>
        <v>-0.13533000000000001</v>
        <stp/>
        <stp>{746E80F7-2CC3-43AC-BD9B-40B87E566FBD}_x0000_</stp>
        <tr r="AO82" s="5"/>
      </tp>
      <tp>
        <v>1491.8140000000001</v>
        <stp/>
        <stp>{1BCC0EC1-0F86-4B7C-9039-68253E742EB8}_x0000_</stp>
        <tr r="AP23" s="5"/>
      </tp>
      <tp>
        <v>70.752805555555597</v>
        <stp/>
        <stp>{26439856-A12F-4C71-8D9B-904FD531C3E3}_x0000_</stp>
        <tr r="G49" s="51"/>
      </tp>
      <tp>
        <v>-0.16667000000000001</v>
        <stp/>
        <stp>{A888D49B-37A8-402B-BFCF-391DA23198E5}_x0000_</stp>
        <tr r="AN82" s="5"/>
      </tp>
      <tp t="s">
        <v>USD</v>
        <stp/>
        <stp>{2939AC9F-186C-4AFB-8861-16C91A34D724}_x0000_</stp>
        <tr r="DH2" s="5"/>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externalLinks/externalLink1.xml" Type="http://schemas.openxmlformats.org/officeDocument/2006/relationships/externalLink"/>
<Relationship Id="rId22" Target="externalLinks/externalLink2.xml" Type="http://schemas.openxmlformats.org/officeDocument/2006/relationships/externalLink"/>
<Relationship Id="rId23" Target="externalLinks/externalLink3.xml" Type="http://schemas.openxmlformats.org/officeDocument/2006/relationships/externalLink"/>
<Relationship Id="rId24" Target="externalLinks/externalLink4.xml" Type="http://schemas.openxmlformats.org/officeDocument/2006/relationships/externalLink"/>
<Relationship Id="rId25" Target="externalLinks/externalLink5.xml" Type="http://schemas.openxmlformats.org/officeDocument/2006/relationships/externalLink"/>
<Relationship Id="rId26" Target="externalLinks/externalLink6.xml" Type="http://schemas.openxmlformats.org/officeDocument/2006/relationships/externalLink"/>
<Relationship Id="rId27" Target="externalLinks/externalLink7.xml" Type="http://schemas.openxmlformats.org/officeDocument/2006/relationships/externalLink"/>
<Relationship Id="rId28" Target="externalLinks/externalLink8.xml" Type="http://schemas.openxmlformats.org/officeDocument/2006/relationships/externalLink"/>
<Relationship Id="rId29" Target="externalLinks/externalLink9.xml" Type="http://schemas.openxmlformats.org/officeDocument/2006/relationships/externalLink"/>
<Relationship Id="rId3" Target="worksheets/sheet3.xml" Type="http://schemas.openxmlformats.org/officeDocument/2006/relationships/worksheet"/>
<Relationship Id="rId30" Target="externalLinks/externalLink10.xml" Type="http://schemas.openxmlformats.org/officeDocument/2006/relationships/externalLink"/>
<Relationship Id="rId31" Target="externalLinks/externalLink11.xml" Type="http://schemas.openxmlformats.org/officeDocument/2006/relationships/externalLink"/>
<Relationship Id="rId32" Target="externalLinks/externalLink12.xml" Type="http://schemas.openxmlformats.org/officeDocument/2006/relationships/externalLink"/>
<Relationship Id="rId33" Target="externalLinks/externalLink13.xml" Type="http://schemas.openxmlformats.org/officeDocument/2006/relationships/externalLink"/>
<Relationship Id="rId34" Target="externalLinks/externalLink14.xml" Type="http://schemas.openxmlformats.org/officeDocument/2006/relationships/externalLink"/>
<Relationship Id="rId35" Target="externalLinks/externalLink15.xml" Type="http://schemas.openxmlformats.org/officeDocument/2006/relationships/externalLink"/>
<Relationship Id="rId36" Target="externalLinks/externalLink16.xml" Type="http://schemas.openxmlformats.org/officeDocument/2006/relationships/externalLink"/>
<Relationship Id="rId37" Target="externalLinks/externalLink17.xml" Type="http://schemas.openxmlformats.org/officeDocument/2006/relationships/externalLink"/>
<Relationship Id="rId38" Target="externalLinks/externalLink18.xml" Type="http://schemas.openxmlformats.org/officeDocument/2006/relationships/externalLink"/>
<Relationship Id="rId39" Target="externalLinks/externalLink19.xml" Type="http://schemas.openxmlformats.org/officeDocument/2006/relationships/externalLink"/>
<Relationship Id="rId4" Target="worksheets/sheet4.xml" Type="http://schemas.openxmlformats.org/officeDocument/2006/relationships/worksheet"/>
<Relationship Id="rId40" Target="externalLinks/externalLink20.xml" Type="http://schemas.openxmlformats.org/officeDocument/2006/relationships/externalLink"/>
<Relationship Id="rId41" Target="externalLinks/externalLink21.xml" Type="http://schemas.openxmlformats.org/officeDocument/2006/relationships/externalLink"/>
<Relationship Id="rId42" Target="externalLinks/externalLink22.xml" Type="http://schemas.openxmlformats.org/officeDocument/2006/relationships/externalLink"/>
<Relationship Id="rId43" Target="externalLinks/externalLink23.xml" Type="http://schemas.openxmlformats.org/officeDocument/2006/relationships/externalLink"/>
<Relationship Id="rId44" Target="externalLinks/externalLink24.xml" Type="http://schemas.openxmlformats.org/officeDocument/2006/relationships/externalLink"/>
<Relationship Id="rId45" Target="externalLinks/externalLink25.xml" Type="http://schemas.openxmlformats.org/officeDocument/2006/relationships/externalLink"/>
<Relationship Id="rId46" Target="externalLinks/externalLink26.xml" Type="http://schemas.openxmlformats.org/officeDocument/2006/relationships/externalLink"/>
<Relationship Id="rId47" Target="externalLinks/externalLink27.xml" Type="http://schemas.openxmlformats.org/officeDocument/2006/relationships/externalLink"/>
<Relationship Id="rId48" Target="externalLinks/externalLink28.xml" Type="http://schemas.openxmlformats.org/officeDocument/2006/relationships/externalLink"/>
<Relationship Id="rId49" Target="externalLinks/externalLink29.xml" Type="http://schemas.openxmlformats.org/officeDocument/2006/relationships/externalLink"/>
<Relationship Id="rId5" Target="worksheets/sheet5.xml" Type="http://schemas.openxmlformats.org/officeDocument/2006/relationships/worksheet"/>
<Relationship Id="rId50" Target="externalLinks/externalLink30.xml" Type="http://schemas.openxmlformats.org/officeDocument/2006/relationships/externalLink"/>
<Relationship Id="rId51" Target="externalLinks/externalLink31.xml" Type="http://schemas.openxmlformats.org/officeDocument/2006/relationships/externalLink"/>
<Relationship Id="rId52" Target="externalLinks/externalLink32.xml" Type="http://schemas.openxmlformats.org/officeDocument/2006/relationships/externalLink"/>
<Relationship Id="rId53" Target="externalLinks/externalLink33.xml" Type="http://schemas.openxmlformats.org/officeDocument/2006/relationships/externalLink"/>
<Relationship Id="rId54" Target="externalLinks/externalLink34.xml" Type="http://schemas.openxmlformats.org/officeDocument/2006/relationships/externalLink"/>
<Relationship Id="rId55" Target="externalLinks/externalLink35.xml" Type="http://schemas.openxmlformats.org/officeDocument/2006/relationships/externalLink"/>
<Relationship Id="rId56" Target="externalLinks/externalLink36.xml" Type="http://schemas.openxmlformats.org/officeDocument/2006/relationships/externalLink"/>
<Relationship Id="rId57" Target="externalLinks/externalLink37.xml" Type="http://schemas.openxmlformats.org/officeDocument/2006/relationships/externalLink"/>
<Relationship Id="rId58" Target="externalLinks/externalLink38.xml" Type="http://schemas.openxmlformats.org/officeDocument/2006/relationships/externalLink"/>
<Relationship Id="rId59" Target="externalLinks/externalLink39.xml" Type="http://schemas.openxmlformats.org/officeDocument/2006/relationships/externalLink"/>
<Relationship Id="rId6" Target="worksheets/sheet6.xml" Type="http://schemas.openxmlformats.org/officeDocument/2006/relationships/worksheet"/>
<Relationship Id="rId60" Target="externalLinks/externalLink40.xml" Type="http://schemas.openxmlformats.org/officeDocument/2006/relationships/externalLink"/>
<Relationship Id="rId61" Target="externalLinks/externalLink41.xml" Type="http://schemas.openxmlformats.org/officeDocument/2006/relationships/externalLink"/>
<Relationship Id="rId62" Target="externalLinks/externalLink42.xml" Type="http://schemas.openxmlformats.org/officeDocument/2006/relationships/externalLink"/>
<Relationship Id="rId63" Target="externalLinks/externalLink43.xml" Type="http://schemas.openxmlformats.org/officeDocument/2006/relationships/externalLink"/>
<Relationship Id="rId64" Target="externalLinks/externalLink44.xml" Type="http://schemas.openxmlformats.org/officeDocument/2006/relationships/externalLink"/>
<Relationship Id="rId65" Target="externalLinks/externalLink45.xml" Type="http://schemas.openxmlformats.org/officeDocument/2006/relationships/externalLink"/>
<Relationship Id="rId66" Target="theme/theme1.xml" Type="http://schemas.openxmlformats.org/officeDocument/2006/relationships/theme"/>
<Relationship Id="rId67" Target="styles.xml" Type="http://schemas.openxmlformats.org/officeDocument/2006/relationships/styles"/>
<Relationship Id="rId68" Target="sharedStrings.xml" Type="http://schemas.openxmlformats.org/officeDocument/2006/relationships/sharedStrings"/>
<Relationship Id="rId69" Target="calcChain.xml" Type="http://schemas.openxmlformats.org/officeDocument/2006/relationships/calcChain"/>
<Relationship Id="rId7" Target="worksheets/sheet7.xml" Type="http://schemas.openxmlformats.org/officeDocument/2006/relationships/worksheet"/>
<Relationship Id="rId70" Target="../customXml/item1.xml" Type="http://schemas.openxmlformats.org/officeDocument/2006/relationships/customXml"/>
<Relationship Id="rId71" Target="../customXml/item2.xml" Type="http://schemas.openxmlformats.org/officeDocument/2006/relationships/customXml"/>
<Relationship Id="rId72" Target="volatileDependencies.xml" Type="http://schemas.openxmlformats.org/officeDocument/2006/relationships/volatileDependencies"/>
<Relationship Id="rId73" Target="vbaProject.bin" Type="http://schemas.microsoft.com/office/2006/relationships/vbaProjec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1.xml.rels><?xml version="1.0" encoding="UTF-8" standalone="yes"?>
<Relationships xmlns="http://schemas.openxmlformats.org/package/2006/relationships">
<Relationship Id="rId1" Target="../drawings/drawing3.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SOP!$C$41</c:f>
              <c:strCache>
                <c:ptCount val="1"/>
                <c:pt idx="0">
                  <c:v>Base</c:v>
                </c:pt>
              </c:strCache>
            </c:strRef>
          </c:tx>
          <c:invertIfNegative val="0"/>
          <c:dLbls>
            <c:txPr>
              <a:bodyPr/>
              <a:lstStyle/>
              <a:p>
                <a:pPr>
                  <a:defRPr sz="1200"/>
                </a:pPr>
                <a:endParaRPr lang="en-US"/>
              </a:p>
            </c:txPr>
            <c:showLegendKey val="0"/>
            <c:showVal val="1"/>
            <c:showCatName val="0"/>
            <c:showSerName val="0"/>
            <c:showPercent val="0"/>
            <c:showBubbleSize val="0"/>
            <c:showLeaderLines val="0"/>
          </c:dLbls>
          <c:val>
            <c:numRef>
              <c:f>SOP!$E$41:$G$41</c:f>
              <c:numCache>
                <c:formatCode>"$"#,##0_);[Red]\("$"#,##0\)</c:formatCode>
                <c:ptCount val="3"/>
                <c:pt idx="0">
                  <c:v>63</c:v>
                </c:pt>
                <c:pt idx="1">
                  <c:v>63</c:v>
                </c:pt>
                <c:pt idx="2">
                  <c:v>63</c:v>
                </c:pt>
              </c:numCache>
            </c:numRef>
          </c:val>
        </c:ser>
        <c:ser>
          <c:idx val="1"/>
          <c:order val="1"/>
          <c:spPr>
            <a:solidFill>
              <a:schemeClr val="tx2">
                <a:lumMod val="40000"/>
                <a:lumOff val="60000"/>
              </a:schemeClr>
            </a:solidFill>
          </c:spPr>
          <c:invertIfNegative val="0"/>
          <c:dLbls>
            <c:dLbl>
              <c:idx val="0"/>
              <c:delete val="1"/>
            </c:dLbl>
            <c:dLbl>
              <c:idx val="1"/>
              <c:layout>
                <c:manualLayout>
                  <c:x val="-6.8953912731731061E-17"/>
                  <c:y val="5.7553938204291194E-2"/>
                </c:manualLayout>
              </c:layout>
              <c:showLegendKey val="0"/>
              <c:showVal val="1"/>
              <c:showCatName val="0"/>
              <c:showSerName val="0"/>
              <c:showPercent val="0"/>
              <c:showBubbleSize val="0"/>
            </c:dLbl>
            <c:dLbl>
              <c:idx val="2"/>
              <c:layout>
                <c:manualLayout>
                  <c:x val="0"/>
                  <c:y val="5.7553722403998003E-2"/>
                </c:manualLayout>
              </c:layout>
              <c:showLegendKey val="0"/>
              <c:showVal val="1"/>
              <c:showCatName val="0"/>
              <c:showSerName val="0"/>
              <c:showPercent val="0"/>
              <c:showBubbleSize val="0"/>
            </c:dLbl>
            <c:txPr>
              <a:bodyPr/>
              <a:lstStyle/>
              <a:p>
                <a:pPr>
                  <a:defRPr sz="1200"/>
                </a:pPr>
                <a:endParaRPr lang="en-US"/>
              </a:p>
            </c:txPr>
            <c:showLegendKey val="0"/>
            <c:showVal val="1"/>
            <c:showCatName val="0"/>
            <c:showSerName val="0"/>
            <c:showPercent val="0"/>
            <c:showBubbleSize val="0"/>
            <c:showLeaderLines val="0"/>
          </c:dLbls>
          <c:val>
            <c:numRef>
              <c:f>SOP!$E$42:$G$42</c:f>
              <c:numCache>
                <c:formatCode>"$"#,##0_);[Red]\("$"#,##0\)</c:formatCode>
                <c:ptCount val="3"/>
                <c:pt idx="0">
                  <c:v>0</c:v>
                </c:pt>
                <c:pt idx="1">
                  <c:v>25.299999999999997</c:v>
                </c:pt>
                <c:pt idx="2">
                  <c:v>25.299999999999997</c:v>
                </c:pt>
              </c:numCache>
            </c:numRef>
          </c:val>
        </c:ser>
        <c:ser>
          <c:idx val="2"/>
          <c:order val="2"/>
          <c:invertIfNegative val="0"/>
          <c:dPt>
            <c:idx val="2"/>
            <c:invertIfNegative val="0"/>
            <c:bubble3D val="0"/>
            <c:spPr>
              <a:solidFill>
                <a:schemeClr val="tx2">
                  <a:lumMod val="20000"/>
                  <a:lumOff val="80000"/>
                </a:schemeClr>
              </a:solidFill>
            </c:spPr>
          </c:dPt>
          <c:dLbls>
            <c:dLbl>
              <c:idx val="0"/>
              <c:delete val="1"/>
            </c:dLbl>
            <c:dLbl>
              <c:idx val="1"/>
              <c:delete val="1"/>
            </c:dLbl>
            <c:dLbl>
              <c:idx val="2"/>
              <c:layout>
                <c:manualLayout>
                  <c:x val="-1.8805829807240304E-3"/>
                  <c:y val="5.7553722403998003E-2"/>
                </c:manualLayout>
              </c:layout>
              <c:showLegendKey val="0"/>
              <c:showVal val="1"/>
              <c:showCatName val="0"/>
              <c:showSerName val="0"/>
              <c:showPercent val="0"/>
              <c:showBubbleSize val="0"/>
            </c:dLbl>
            <c:txPr>
              <a:bodyPr/>
              <a:lstStyle/>
              <a:p>
                <a:pPr>
                  <a:defRPr sz="1200"/>
                </a:pPr>
                <a:endParaRPr lang="en-US"/>
              </a:p>
            </c:txPr>
            <c:showLegendKey val="0"/>
            <c:showVal val="1"/>
            <c:showCatName val="0"/>
            <c:showSerName val="0"/>
            <c:showPercent val="0"/>
            <c:showBubbleSize val="0"/>
            <c:showLeaderLines val="0"/>
          </c:dLbls>
          <c:val>
            <c:numRef>
              <c:f>SOP!$E$43:$G$43</c:f>
              <c:numCache>
                <c:formatCode>"$"#,##0_);[Red]\("$"#,##0\)</c:formatCode>
                <c:ptCount val="3"/>
                <c:pt idx="0">
                  <c:v>0</c:v>
                </c:pt>
                <c:pt idx="1">
                  <c:v>0</c:v>
                </c:pt>
                <c:pt idx="2">
                  <c:v>21.700000000000003</c:v>
                </c:pt>
              </c:numCache>
            </c:numRef>
          </c:val>
        </c:ser>
        <c:dLbls>
          <c:showLegendKey val="0"/>
          <c:showVal val="0"/>
          <c:showCatName val="0"/>
          <c:showSerName val="0"/>
          <c:showPercent val="0"/>
          <c:showBubbleSize val="0"/>
        </c:dLbls>
        <c:gapWidth val="150"/>
        <c:overlap val="100"/>
        <c:axId val="733045504"/>
        <c:axId val="733047040"/>
      </c:barChart>
      <c:catAx>
        <c:axId val="733045504"/>
        <c:scaling>
          <c:orientation val="minMax"/>
        </c:scaling>
        <c:delete val="1"/>
        <c:axPos val="b"/>
        <c:majorTickMark val="out"/>
        <c:minorTickMark val="none"/>
        <c:tickLblPos val="none"/>
        <c:crossAx val="733047040"/>
        <c:crosses val="autoZero"/>
        <c:auto val="1"/>
        <c:lblAlgn val="ctr"/>
        <c:lblOffset val="100"/>
        <c:noMultiLvlLbl val="0"/>
      </c:catAx>
      <c:valAx>
        <c:axId val="733047040"/>
        <c:scaling>
          <c:orientation val="minMax"/>
        </c:scaling>
        <c:delete val="0"/>
        <c:axPos val="l"/>
        <c:majorGridlines/>
        <c:numFmt formatCode="&quot;$&quot;#,##0_);[Red]\(&quot;$&quot;#,##0\)" sourceLinked="1"/>
        <c:majorTickMark val="out"/>
        <c:minorTickMark val="none"/>
        <c:tickLblPos val="nextTo"/>
        <c:txPr>
          <a:bodyPr/>
          <a:lstStyle/>
          <a:p>
            <a:pPr>
              <a:defRPr sz="1400"/>
            </a:pPr>
            <a:endParaRPr lang="en-US"/>
          </a:p>
        </c:txPr>
        <c:crossAx val="733045504"/>
        <c:crosses val="autoZero"/>
        <c:crossBetween val="between"/>
        <c:majorUnit val="10"/>
      </c:valAx>
    </c:plotArea>
    <c:plotVisOnly val="1"/>
    <c:dispBlanksAs val="gap"/>
    <c:showDLblsOverMax val="0"/>
  </c:chart>
  <c:printSettings>
    <c:headerFooter/>
    <c:pageMargins b="0.75000000000000144" l="0.70000000000000062" r="0.70000000000000062" t="0.75000000000000144"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invertIfNegative val="0"/>
          <c:dLbls>
            <c:txPr>
              <a:bodyPr/>
              <a:lstStyle/>
              <a:p>
                <a:pPr>
                  <a:defRPr sz="1200"/>
                </a:pPr>
                <a:endParaRPr lang="en-US"/>
              </a:p>
            </c:txPr>
            <c:showLegendKey val="0"/>
            <c:showVal val="1"/>
            <c:showCatName val="0"/>
            <c:showSerName val="0"/>
            <c:showPercent val="0"/>
            <c:showBubbleSize val="0"/>
            <c:showLeaderLines val="0"/>
          </c:dLbls>
          <c:val>
            <c:numRef>
              <c:f>SOP!$D$78:$E$78</c:f>
              <c:numCache>
                <c:formatCode>"$"#,##0_);[Red]\("$"#,##0\)</c:formatCode>
                <c:ptCount val="2"/>
                <c:pt idx="0">
                  <c:v>1661.5570667692132</c:v>
                </c:pt>
                <c:pt idx="1">
                  <c:v>1661.5570667692132</c:v>
                </c:pt>
              </c:numCache>
            </c:numRef>
          </c:val>
        </c:ser>
        <c:ser>
          <c:idx val="1"/>
          <c:order val="1"/>
          <c:spPr>
            <a:solidFill>
              <a:schemeClr val="tx2">
                <a:lumMod val="20000"/>
                <a:lumOff val="80000"/>
              </a:schemeClr>
            </a:solidFill>
          </c:spPr>
          <c:invertIfNegative val="0"/>
          <c:dLbls>
            <c:dLbl>
              <c:idx val="0"/>
              <c:delete val="1"/>
            </c:dLbl>
            <c:txPr>
              <a:bodyPr/>
              <a:lstStyle/>
              <a:p>
                <a:pPr>
                  <a:defRPr sz="1200"/>
                </a:pPr>
                <a:endParaRPr lang="en-US"/>
              </a:p>
            </c:txPr>
            <c:showLegendKey val="0"/>
            <c:showVal val="1"/>
            <c:showCatName val="0"/>
            <c:showSerName val="0"/>
            <c:showPercent val="0"/>
            <c:showBubbleSize val="0"/>
            <c:showLeaderLines val="0"/>
          </c:dLbls>
          <c:val>
            <c:numRef>
              <c:f>SOP!$D$79:$E$79</c:f>
              <c:numCache>
                <c:formatCode>"$"#,##0_);[Red]\("$"#,##0\)</c:formatCode>
                <c:ptCount val="2"/>
                <c:pt idx="0">
                  <c:v>0</c:v>
                </c:pt>
                <c:pt idx="1">
                  <c:v>2530.6997786672973</c:v>
                </c:pt>
              </c:numCache>
            </c:numRef>
          </c:val>
        </c:ser>
        <c:dLbls>
          <c:showLegendKey val="0"/>
          <c:showVal val="0"/>
          <c:showCatName val="0"/>
          <c:showSerName val="0"/>
          <c:showPercent val="0"/>
          <c:showBubbleSize val="0"/>
        </c:dLbls>
        <c:gapWidth val="150"/>
        <c:overlap val="100"/>
        <c:axId val="733107328"/>
        <c:axId val="733108864"/>
      </c:barChart>
      <c:catAx>
        <c:axId val="733107328"/>
        <c:scaling>
          <c:orientation val="minMax"/>
        </c:scaling>
        <c:delete val="1"/>
        <c:axPos val="b"/>
        <c:majorTickMark val="out"/>
        <c:minorTickMark val="none"/>
        <c:tickLblPos val="none"/>
        <c:crossAx val="733108864"/>
        <c:crosses val="autoZero"/>
        <c:auto val="1"/>
        <c:lblAlgn val="ctr"/>
        <c:lblOffset val="100"/>
        <c:noMultiLvlLbl val="0"/>
      </c:catAx>
      <c:valAx>
        <c:axId val="733108864"/>
        <c:scaling>
          <c:orientation val="minMax"/>
          <c:max val="5000"/>
        </c:scaling>
        <c:delete val="0"/>
        <c:axPos val="l"/>
        <c:majorGridlines/>
        <c:numFmt formatCode="&quot;$&quot;#,##0_);[Red]\(&quot;$&quot;#,##0\)" sourceLinked="1"/>
        <c:majorTickMark val="out"/>
        <c:minorTickMark val="none"/>
        <c:tickLblPos val="nextTo"/>
        <c:txPr>
          <a:bodyPr/>
          <a:lstStyle/>
          <a:p>
            <a:pPr>
              <a:defRPr sz="1400" b="1"/>
            </a:pPr>
            <a:endParaRPr lang="en-US"/>
          </a:p>
        </c:txPr>
        <c:crossAx val="733107328"/>
        <c:crosses val="autoZero"/>
        <c:crossBetween val="between"/>
      </c:valAx>
    </c:plotArea>
    <c:plotVisOnly val="1"/>
    <c:dispBlanksAs val="gap"/>
    <c:showDLblsOverMax val="0"/>
  </c:chart>
  <c:printSettings>
    <c:headerFooter/>
    <c:pageMargins b="0.75000000000000144" l="0.70000000000000062" r="0.70000000000000062" t="0.75000000000000144" header="0.30000000000000032" footer="0.30000000000000032"/>
    <c:pageSetup orientation="landscape" verticalDpi="0"/>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172</xdr:row>
      <xdr:rowOff>0</xdr:rowOff>
    </xdr:from>
    <xdr:to>
      <xdr:col>6</xdr:col>
      <xdr:colOff>285750</xdr:colOff>
      <xdr:row>194</xdr:row>
      <xdr:rowOff>57150</xdr:rowOff>
    </xdr:to>
    <xdr:pic>
      <xdr:nvPicPr>
        <xdr:cNvPr id="2720769" name="Picture 1" descr="C:\Users\Asante\AppData\Local\Temp\MercuryPriceRatingHistoryChart\BMRN.O_2018_04_12_18_32_0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5842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47624</xdr:colOff>
      <xdr:row>44</xdr:row>
      <xdr:rowOff>109536</xdr:rowOff>
    </xdr:from>
    <xdr:to>
      <xdr:col>6</xdr:col>
      <xdr:colOff>857249</xdr:colOff>
      <xdr:row>73</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857250</xdr:colOff>
      <xdr:row>62</xdr:row>
      <xdr:rowOff>123825</xdr:rowOff>
    </xdr:from>
    <xdr:to>
      <xdr:col>6</xdr:col>
      <xdr:colOff>66675</xdr:colOff>
      <xdr:row>65</xdr:row>
      <xdr:rowOff>47625</xdr:rowOff>
    </xdr:to>
    <xdr:sp macro="" textlink="">
      <xdr:nvSpPr>
        <xdr:cNvPr id="5" name="TextBox 1"/>
        <xdr:cNvSpPr txBox="1"/>
      </xdr:nvSpPr>
      <xdr:spPr>
        <a:xfrm>
          <a:off x="6762750" y="10077450"/>
          <a:ext cx="619125" cy="40957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200"/>
            <a:t>Base</a:t>
          </a:r>
        </a:p>
      </xdr:txBody>
    </xdr:sp>
    <xdr:clientData/>
  </xdr:twoCellAnchor>
  <xdr:twoCellAnchor>
    <xdr:from>
      <xdr:col>4</xdr:col>
      <xdr:colOff>180975</xdr:colOff>
      <xdr:row>52</xdr:row>
      <xdr:rowOff>123825</xdr:rowOff>
    </xdr:from>
    <xdr:to>
      <xdr:col>4</xdr:col>
      <xdr:colOff>933450</xdr:colOff>
      <xdr:row>55</xdr:row>
      <xdr:rowOff>47625</xdr:rowOff>
    </xdr:to>
    <xdr:sp macro="" textlink="">
      <xdr:nvSpPr>
        <xdr:cNvPr id="6" name="TextBox 1"/>
        <xdr:cNvSpPr txBox="1"/>
      </xdr:nvSpPr>
      <xdr:spPr>
        <a:xfrm>
          <a:off x="4676775" y="8458200"/>
          <a:ext cx="752475" cy="40957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t>To Current Pri</a:t>
          </a:r>
          <a:r>
            <a:rPr lang="en-US" sz="1200" baseline="0"/>
            <a:t>ce</a:t>
          </a:r>
          <a:endParaRPr lang="en-US" sz="1200"/>
        </a:p>
      </xdr:txBody>
    </xdr:sp>
    <xdr:clientData/>
  </xdr:twoCellAnchor>
  <xdr:twoCellAnchor>
    <xdr:from>
      <xdr:col>5</xdr:col>
      <xdr:colOff>666750</xdr:colOff>
      <xdr:row>47</xdr:row>
      <xdr:rowOff>85725</xdr:rowOff>
    </xdr:from>
    <xdr:to>
      <xdr:col>6</xdr:col>
      <xdr:colOff>180975</xdr:colOff>
      <xdr:row>50</xdr:row>
      <xdr:rowOff>9525</xdr:rowOff>
    </xdr:to>
    <xdr:sp macro="" textlink="">
      <xdr:nvSpPr>
        <xdr:cNvPr id="8" name="TextBox 1"/>
        <xdr:cNvSpPr txBox="1"/>
      </xdr:nvSpPr>
      <xdr:spPr>
        <a:xfrm>
          <a:off x="6572250" y="7610475"/>
          <a:ext cx="923925" cy="40957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t> To MS Target Price</a:t>
          </a:r>
        </a:p>
      </xdr:txBody>
    </xdr:sp>
    <xdr:clientData/>
  </xdr:twoCellAnchor>
  <xdr:twoCellAnchor>
    <xdr:from>
      <xdr:col>5</xdr:col>
      <xdr:colOff>752475</xdr:colOff>
      <xdr:row>52</xdr:row>
      <xdr:rowOff>104775</xdr:rowOff>
    </xdr:from>
    <xdr:to>
      <xdr:col>6</xdr:col>
      <xdr:colOff>95250</xdr:colOff>
      <xdr:row>55</xdr:row>
      <xdr:rowOff>28575</xdr:rowOff>
    </xdr:to>
    <xdr:sp macro="" textlink="">
      <xdr:nvSpPr>
        <xdr:cNvPr id="9" name="TextBox 1"/>
        <xdr:cNvSpPr txBox="1"/>
      </xdr:nvSpPr>
      <xdr:spPr>
        <a:xfrm>
          <a:off x="6657975" y="8439150"/>
          <a:ext cx="752475" cy="40957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t>To Current Pri</a:t>
          </a:r>
          <a:r>
            <a:rPr lang="en-US" sz="1200" baseline="0"/>
            <a:t>ce</a:t>
          </a:r>
          <a:endParaRPr lang="en-US" sz="1200"/>
        </a:p>
      </xdr:txBody>
    </xdr:sp>
    <xdr:clientData/>
  </xdr:twoCellAnchor>
  <xdr:twoCellAnchor>
    <xdr:from>
      <xdr:col>2</xdr:col>
      <xdr:colOff>47625</xdr:colOff>
      <xdr:row>79</xdr:row>
      <xdr:rowOff>33336</xdr:rowOff>
    </xdr:from>
    <xdr:to>
      <xdr:col>6</xdr:col>
      <xdr:colOff>828675</xdr:colOff>
      <xdr:row>101</xdr:row>
      <xdr:rowOff>114299</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94</xdr:row>
      <xdr:rowOff>152400</xdr:rowOff>
    </xdr:from>
    <xdr:to>
      <xdr:col>3</xdr:col>
      <xdr:colOff>1009650</xdr:colOff>
      <xdr:row>97</xdr:row>
      <xdr:rowOff>76200</xdr:rowOff>
    </xdr:to>
    <xdr:sp macro="" textlink="">
      <xdr:nvSpPr>
        <xdr:cNvPr id="11" name="TextBox 1"/>
        <xdr:cNvSpPr txBox="1"/>
      </xdr:nvSpPr>
      <xdr:spPr>
        <a:xfrm>
          <a:off x="3324225" y="15287625"/>
          <a:ext cx="619125" cy="40957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t>Base</a:t>
          </a:r>
        </a:p>
      </xdr:txBody>
    </xdr:sp>
    <xdr:clientData/>
  </xdr:twoCellAnchor>
  <xdr:twoCellAnchor>
    <xdr:from>
      <xdr:col>5</xdr:col>
      <xdr:colOff>333375</xdr:colOff>
      <xdr:row>94</xdr:row>
      <xdr:rowOff>123825</xdr:rowOff>
    </xdr:from>
    <xdr:to>
      <xdr:col>5</xdr:col>
      <xdr:colOff>952500</xdr:colOff>
      <xdr:row>97</xdr:row>
      <xdr:rowOff>47625</xdr:rowOff>
    </xdr:to>
    <xdr:sp macro="" textlink="">
      <xdr:nvSpPr>
        <xdr:cNvPr id="12" name="TextBox 1"/>
        <xdr:cNvSpPr txBox="1"/>
      </xdr:nvSpPr>
      <xdr:spPr>
        <a:xfrm>
          <a:off x="6238875" y="15259050"/>
          <a:ext cx="619125" cy="40957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t>Base</a:t>
          </a:r>
        </a:p>
      </xdr:txBody>
    </xdr:sp>
    <xdr:clientData/>
  </xdr:twoCellAnchor>
  <xdr:twoCellAnchor>
    <xdr:from>
      <xdr:col>5</xdr:col>
      <xdr:colOff>276225</xdr:colOff>
      <xdr:row>86</xdr:row>
      <xdr:rowOff>104775</xdr:rowOff>
    </xdr:from>
    <xdr:to>
      <xdr:col>5</xdr:col>
      <xdr:colOff>990600</xdr:colOff>
      <xdr:row>89</xdr:row>
      <xdr:rowOff>28575</xdr:rowOff>
    </xdr:to>
    <xdr:sp macro="" textlink="">
      <xdr:nvSpPr>
        <xdr:cNvPr id="13" name="TextBox 1"/>
        <xdr:cNvSpPr txBox="1"/>
      </xdr:nvSpPr>
      <xdr:spPr>
        <a:xfrm>
          <a:off x="6181725" y="13944600"/>
          <a:ext cx="714375" cy="40957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t>Pipeline</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0.20733</cdr:x>
      <cdr:y>0.63207</cdr:y>
    </cdr:from>
    <cdr:to>
      <cdr:x>0.29901</cdr:x>
      <cdr:y>0.72045</cdr:y>
    </cdr:to>
    <cdr:sp macro="" textlink="">
      <cdr:nvSpPr>
        <cdr:cNvPr id="2" name="TextBox 1"/>
        <cdr:cNvSpPr txBox="1"/>
      </cdr:nvSpPr>
      <cdr:spPr>
        <a:xfrm xmlns:a="http://schemas.openxmlformats.org/drawingml/2006/main">
          <a:off x="1400176" y="2928939"/>
          <a:ext cx="619125" cy="4095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a:t>Base</a:t>
          </a:r>
        </a:p>
      </cdr:txBody>
    </cdr:sp>
  </cdr:relSizeAnchor>
  <cdr:relSizeAnchor xmlns:cdr="http://schemas.openxmlformats.org/drawingml/2006/chartDrawing">
    <cdr:from>
      <cdr:x>0.49976</cdr:x>
      <cdr:y>0.63789</cdr:y>
    </cdr:from>
    <cdr:to>
      <cdr:x>0.59144</cdr:x>
      <cdr:y>0.72628</cdr:y>
    </cdr:to>
    <cdr:sp macro="" textlink="">
      <cdr:nvSpPr>
        <cdr:cNvPr id="3" name="TextBox 1"/>
        <cdr:cNvSpPr txBox="1"/>
      </cdr:nvSpPr>
      <cdr:spPr>
        <a:xfrm xmlns:a="http://schemas.openxmlformats.org/drawingml/2006/main">
          <a:off x="3375025" y="2955925"/>
          <a:ext cx="619125" cy="4095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t>Base</a:t>
          </a:r>
        </a:p>
      </cdr:txBody>
    </cdr:sp>
  </cdr:relSizeAnchor>
  <cdr:relSizeAnchor xmlns:cdr="http://schemas.openxmlformats.org/drawingml/2006/chartDrawing">
    <cdr:from>
      <cdr:x>0.18665</cdr:x>
      <cdr:y>0.40562</cdr:y>
    </cdr:from>
    <cdr:to>
      <cdr:x>0.2976</cdr:x>
      <cdr:y>0.4779</cdr:y>
    </cdr:to>
    <cdr:sp macro="" textlink="">
      <cdr:nvSpPr>
        <cdr:cNvPr id="4" name="TextBox 1"/>
        <cdr:cNvSpPr txBox="1"/>
      </cdr:nvSpPr>
      <cdr:spPr>
        <a:xfrm xmlns:a="http://schemas.openxmlformats.org/drawingml/2006/main">
          <a:off x="1260476" y="1879601"/>
          <a:ext cx="749300" cy="3349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$63</a:t>
          </a:r>
        </a:p>
      </cdr:txBody>
    </cdr:sp>
  </cdr:relSizeAnchor>
  <cdr:relSizeAnchor xmlns:cdr="http://schemas.openxmlformats.org/drawingml/2006/chartDrawing">
    <cdr:from>
      <cdr:x>0.48002</cdr:x>
      <cdr:y>0.20829</cdr:y>
    </cdr:from>
    <cdr:to>
      <cdr:x>0.59097</cdr:x>
      <cdr:y>0.28058</cdr:y>
    </cdr:to>
    <cdr:sp macro="" textlink="">
      <cdr:nvSpPr>
        <cdr:cNvPr id="5" name="TextBox 1"/>
        <cdr:cNvSpPr txBox="1"/>
      </cdr:nvSpPr>
      <cdr:spPr>
        <a:xfrm xmlns:a="http://schemas.openxmlformats.org/drawingml/2006/main">
          <a:off x="3241675" y="965200"/>
          <a:ext cx="749300" cy="3349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$88</a:t>
          </a:r>
        </a:p>
      </cdr:txBody>
    </cdr:sp>
  </cdr:relSizeAnchor>
  <cdr:relSizeAnchor xmlns:cdr="http://schemas.openxmlformats.org/drawingml/2006/chartDrawing">
    <cdr:from>
      <cdr:x>0.7748</cdr:x>
      <cdr:y>0.0418</cdr:y>
    </cdr:from>
    <cdr:to>
      <cdr:x>0.88575</cdr:x>
      <cdr:y>0.11408</cdr:y>
    </cdr:to>
    <cdr:sp macro="" textlink="">
      <cdr:nvSpPr>
        <cdr:cNvPr id="6" name="TextBox 1"/>
        <cdr:cNvSpPr txBox="1"/>
      </cdr:nvSpPr>
      <cdr:spPr>
        <a:xfrm xmlns:a="http://schemas.openxmlformats.org/drawingml/2006/main">
          <a:off x="5232400" y="193675"/>
          <a:ext cx="749300" cy="3349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$110</a:t>
          </a:r>
        </a:p>
      </cdr:txBody>
    </cdr:sp>
  </cdr:relSizeAnchor>
</c:userShapes>
</file>

<file path=xl/externalLinks/_rels/externalLink1.xml.rels><?xml version="1.0" encoding="UTF-8" standalone="yes"?>
<Relationships xmlns="http://schemas.openxmlformats.org/package/2006/relationships">
<Relationship Id="rId1" Target="health/HarrS/Companies/SCIO/Models/SCIO_021303.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NA/NY/LIB/ER/HEALTH/RubinJ/Company/Pfe/PFEwork.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health/Witzke/Models/Models_Robin/HGSI_Robin.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HarrS/Companies/OSIP/Models/OSIP022404.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HEALTH/HarrS/Companies/MDCO/Models/MDCO_042004.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7.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EALTH/HarrS/Companies/GENZ/Models/DNA_041206.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HEALTH/HarrS/Companies/AMGN/Models/AMGN_051506.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health/RubinJ/Company/PFE/PFEwork1.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file://///server/DB/US%20infra%20SW/akshay/WEBM/Documents%20and%20Settings/akshayn/Local%20Settings/Temporary%20Internet%20Files/OLKC5/traker1/Industry%20Comps/GeninfraUniverse_DataSheet.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health/GOODMAN/MarketModels/Androgen.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health/GOODMAN/MODELS/AZA.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health/HarrS/Companies/MDCO/MDCO_061202.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health/HarrS/Companies/MLNM/Models/MLNM_042303.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HEALTH/HarrS/Companies/AMGN/Models/AMGN.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file:///A:/ACE/Editing/Excel%20-%20NonFinance%20Verifier/Av2.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HEALTH/Pharma/Risinger/models/CEPH/CEPHwk.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health/LIND/COMPANY/BGEN/BGEN.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Emerging%20Markets%20Research/RtN/Practice/DIResearch/commonSys3/Pharma%20Services/Excel%20Stuff/COMPS/Master%20Comps_9-6-02.xls" TargetMode="External" Type="http://schemas.microsoft.com/office/2006/relationships/xlExternalLinkPath/xlAlternateStartup"/>
</Relationships>

</file>

<file path=xl/externalLinks/_rels/externalLink22.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23.xml.rels><?xml version="1.0" encoding="UTF-8" standalone="yes"?>
<Relationships xmlns="http://schemas.openxmlformats.org/package/2006/relationships">
<Relationship Id="rId1" Target="HEALTH/HarrS/Companies/REGN/Models/REGN102903.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HEALTH/HarrS/Companies/VRTX/Models/VRTX_020410.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HEALTH/HarrS/Companies/DNA/Models/DNA_070804.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Pulp&amp;p~1/ADMIN/Rtn/commonSys3/Pharma%20Services/Excel%20Stuff/COMPS/Master%20Comps_9-6-02.xls" TargetMode="External" Type="http://schemas.microsoft.com/office/2006/relationships/xlExternalLinkPath/xlAlternateStartup"/>
</Relationships>

</file>

<file path=xl/externalLinks/_rels/externalLink27.xml.rels><?xml version="1.0" encoding="UTF-8" standalone="yes"?>
<Relationships xmlns="http://schemas.openxmlformats.org/package/2006/relationships">
<Relationship Id="rId1" Target="file://///PROJECTS/Newton/Schoenebaum/SCHOENEBAUM%20TEAM%20-%20BEAR/%23%23%23%23COMPANY%20FOLDERS%23%23%23%23/%23%23%23%23%20DNA%20%23%23%23%23/%23%23%23%23%20BEAR%20MODELS%20%23%23%23/DNA%20MODEL_NOT%20APPROVED.xls" TargetMode="External" Type="http://schemas.openxmlformats.org/officeDocument/2006/relationships/externalLinkPath"/>
</Relationships>

</file>

<file path=xl/externalLinks/_rels/externalLink28.xml.rels><?xml version="1.0" encoding="UTF-8" standalone="yes"?>
<Relationships xmlns="http://schemas.openxmlformats.org/package/2006/relationships">
<Relationship Id="rId1" Target="HEALTH/HarrS/Copy%20of%20MEDI.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file://///192.168.1.2/i%20drive/Models%20of%20report%20published/Retail%20-%20May%20010504-ML.xls" TargetMode="External" Type="http://schemas.openxmlformats.org/officeDocument/2006/relationships/externalLinkPath"/>
</Relationships>

</file>

<file path=xl/externalLinks/_rels/externalLink30.xml.rels><?xml version="1.0" encoding="UTF-8" standalone="yes"?>
<Relationships xmlns="http://schemas.openxmlformats.org/package/2006/relationships">
<Relationship Id="rId1" Target="file://///server/DB/US%20infra%20SW/akshay/WEBM/Documents%20and%20Settings/akshayn/Local%20Settings/Temporary%20Internet%20Files/OLKC5/traker1/Industry%20Comps/Security_Comparable_Large.xls" TargetMode="External" Type="http://schemas.openxmlformats.org/officeDocument/2006/relationships/externalLinkPath"/>
</Relationships>

</file>

<file path=xl/externalLinks/_rels/externalLink31.xml.rels><?xml version="1.0" encoding="UTF-8" standalone="yes"?>
<Relationships xmlns="http://schemas.openxmlformats.org/package/2006/relationships">
<Relationship Id="rId1" Target="DOCUME~1/boscoes/LOCALS~1/Temp/LLYwork.xls" TargetMode="External" Type="http://schemas.microsoft.com/office/2006/relationships/xlExternalLinkPath/xlStartup"/>
</Relationships>

</file>

<file path=xl/externalLinks/_rels/externalLink32.xml.rels><?xml version="1.0" encoding="UTF-8" standalone="yes"?>
<Relationships xmlns="http://schemas.openxmlformats.org/package/2006/relationships">
<Relationship Id="rId1" Target="file://///RSCO1/SYS2/HOME/KDUNNE/COMPNEW/SANM/quarsanm.xls" TargetMode="External" Type="http://schemas.openxmlformats.org/officeDocument/2006/relationships/externalLinkPath"/>
</Relationships>

</file>

<file path=xl/externalLinks/_rels/externalLink33.xml.rels><?xml version="1.0" encoding="UTF-8" standalone="yes"?>
<Relationships xmlns="http://schemas.openxmlformats.org/package/2006/relationships">
<Relationship Id="rId1" Target="http://research.ms.com/eqr/rlink/webapp/Research?action=streamFile&amp;docId=226639&amp;docFileType=8&amp;linksrc=rl-res-site&amp;lastParam=/PFE.N.XLS" TargetMode="External" Type="http://schemas.openxmlformats.org/officeDocument/2006/relationships/externalLinkPath"/>
</Relationships>

</file>

<file path=xl/externalLinks/_rels/externalLink34.xml.rels><?xml version="1.0" encoding="UTF-8" standalone="yes"?>
<Relationships xmlns="http://schemas.openxmlformats.org/package/2006/relationships">
<Relationship Id="rId1" Target="PHARM/David/david%20Instrumentarium.xls" TargetMode="External" Type="http://schemas.microsoft.com/office/2006/relationships/xlExternalLinkPath/xlStartup"/>
</Relationships>

</file>

<file path=xl/externalLinks/_rels/externalLink35.xml.rels><?xml version="1.0" encoding="UTF-8" standalone="yes"?>
<Relationships xmlns="http://schemas.openxmlformats.org/package/2006/relationships">
<Relationship Id="rId1" Target="HEALTH/Pharma/Risinger/models/FRX/FRXwk.xls" TargetMode="External" Type="http://schemas.microsoft.com/office/2006/relationships/xlExternalLinkPath/xlStartup"/>
</Relationships>

</file>

<file path=xl/externalLinks/_rels/externalLink36.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37.xml.rels><?xml version="1.0" encoding="UTF-8" standalone="yes"?>
<Relationships xmlns="http://schemas.openxmlformats.org/package/2006/relationships">
<Relationship Id="rId1" Target="http://www.expectationsinvesting.com/spreadsheets/msft_VDF98.xls" TargetMode="External" Type="http://schemas.openxmlformats.org/officeDocument/2006/relationships/externalLinkPath"/>
</Relationships>

</file>

<file path=xl/externalLinks/_rels/externalLink38.xml.rels><?xml version="1.0" encoding="UTF-8" standalone="yes"?>
<Relationships xmlns="http://schemas.openxmlformats.org/package/2006/relationships">
<Relationship Id="rId1" Target="HEALTH/HarrS/Companies/DNA/Models/DNA_021804_MW.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PHARM/XLDATA/NOVARTIS/NOVARTIS.XLS" TargetMode="External" Type="http://schemas.microsoft.com/office/2006/relationships/xlExternalLinkPath/xlStartup"/>
</Relationships>

</file>

<file path=xl/externalLinks/_rels/externalLink40.xml.rels><?xml version="1.0" encoding="UTF-8" standalone="yes"?>
<Relationships xmlns="http://schemas.openxmlformats.org/package/2006/relationships">
<Relationship Id="rId1" Target="file:///F:/Home/Kdunne/COMPNEW/SLR/Home/Kdunne/COMPNEW/SANM/QUARSANM.XLS" TargetMode="External" Type="http://schemas.openxmlformats.org/officeDocument/2006/relationships/externalLinkPath"/>
</Relationships>

</file>

<file path=xl/externalLinks/_rels/externalLink41.xml.rels><?xml version="1.0" encoding="UTF-8" standalone="yes"?>
<Relationships xmlns="http://schemas.openxmlformats.org/package/2006/relationships">
<Relationship Id="rId1" Target="health/RubinJ/Company/BMY/BMYwork.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HEALTH/RubinJ/Company/Pfe/PFEworktemp3Q03.xls" TargetMode="External" Type="http://schemas.microsoft.com/office/2006/relationships/xlExternalLinkPath/xlStartup"/>
</Relationships>

</file>

<file path=xl/externalLinks/_rels/externalLink43.xml.rels><?xml version="1.0" encoding="UTF-8" standalone="yes"?>
<Relationships xmlns="http://schemas.openxmlformats.org/package/2006/relationships">
<Relationship Id="rId1" Target="file:///S:/Companies%20Under%20Coverage/BGEN/MODELS/BGEN062501.xls" TargetMode="External" Type="http://schemas.openxmlformats.org/officeDocument/2006/relationships/externalLinkPath"/>
</Relationships>

</file>

<file path=xl/externalLinks/_rels/externalLink44.xml.rels><?xml version="1.0" encoding="UTF-8" standalone="yes"?>
<Relationships xmlns="http://schemas.openxmlformats.org/package/2006/relationships">
<Relationship Id="rId1" Target="file:///M:/Chemical/EXCEL/LESDAT/MTC.XLS"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file:///S:/Companies%20Under%20Coverage/BGEN/MODELS/BGEN071701.xls"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2002"/>
      <sheetName val="__FDSCACHE__"/>
      <sheetName val="2003"/>
      <sheetName val="Natrecor-US"/>
      <sheetName val="Annual"/>
      <sheetName val="Balance Sheet"/>
      <sheetName val="Cash Flow"/>
      <sheetName val="Milestones"/>
      <sheetName val="Snap"/>
      <sheetName val="Sheet2"/>
      <sheetName val="NY UPLOAD shadow"/>
      <sheetName val="vendor"/>
    </sheetNames>
    <sheetDataSet>
      <sheetData sheetId="0"/>
      <sheetData sheetId="1"/>
      <sheetData sheetId="2"/>
      <sheetData sheetId="3"/>
      <sheetData sheetId="4"/>
      <sheetData sheetId="5" refreshError="1">
        <row r="18">
          <cell r="G18">
            <v>118000</v>
          </cell>
          <cell r="I18">
            <v>125000</v>
          </cell>
          <cell r="K18">
            <v>130000</v>
          </cell>
        </row>
        <row r="31">
          <cell r="I31">
            <v>0.72064319154680156</v>
          </cell>
        </row>
      </sheetData>
      <sheetData sheetId="6"/>
      <sheetData sheetId="7"/>
      <sheetData sheetId="8"/>
      <sheetData sheetId="9"/>
      <sheetData sheetId="10"/>
      <sheetData sheetId="1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Lipitor NPV"/>
      <sheetName val="mwareTaxoPres"/>
      <sheetName val="mwareValPrintout"/>
      <sheetName val="Lipitor NPV-Mar 2010"/>
      <sheetName val="5 yr Sales and Earnings"/>
      <sheetName val="Qtr Income"/>
      <sheetName val="Qtr Margin"/>
      <sheetName val="Qtr Sales"/>
      <sheetName val="Gross Mgn Calc"/>
      <sheetName val="Alliance revenues"/>
      <sheetName val="Product History"/>
      <sheetName val="mwarePreview"/>
      <sheetName val="BalanceSheet"/>
      <sheetName val="Cashflow"/>
      <sheetName val="ROIC"/>
      <sheetName val="RI Valuation"/>
      <sheetName val="Dynamic Convergence"/>
      <sheetName val="Global Feed"/>
      <sheetName val="Summary"/>
      <sheetName val="Q-Preview"/>
      <sheetName val="PFE Qtr Incomesolo"/>
      <sheetName val="PFE Qtr Marginsolo"/>
      <sheetName val="PFE Qrt Salessolo"/>
      <sheetName val="PFE 2 Qtr Salessolo"/>
      <sheetName val="PHAPharmaSales"/>
      <sheetName val="Combined products"/>
      <sheetName val="PFE-PHA mergerold"/>
      <sheetName val="P&amp;L Charts"/>
      <sheetName val="setbacks"/>
      <sheetName val="mwareDates"/>
      <sheetName val="TO DO"/>
      <sheetName val="mwareSettings"/>
      <sheetName val="mStartup"/>
      <sheetName val="EPS Sensitivity"/>
      <sheetName val="PFE Qtr Income"/>
      <sheetName val="PFE Qtr Margin"/>
      <sheetName val="PFE Qtr Sales"/>
      <sheetName val="PFE Q-Preview"/>
      <sheetName val="Implied ROIC "/>
      <sheetName val="P&amp;L Charts (2)"/>
      <sheetName val="ADJ ROIC"/>
      <sheetName val="PFEwork"/>
      <sheetName val="xbrlPreview"/>
      <sheetName val="xbrldates"/>
      <sheetName val="xbrlSettings"/>
      <sheetName val="BS CHeck"/>
      <sheetName val="MWare_Cached"/>
      <sheetName val="Sheet1"/>
      <sheetName val=""/>
      <sheetName val="Torcetrapib"/>
      <sheetName val="Divestiture calculation"/>
    </sheetNames>
    <sheetDataSet>
      <sheetData sheetId="0"/>
      <sheetData sheetId="1"/>
      <sheetData sheetId="2"/>
      <sheetData sheetId="3"/>
      <sheetData sheetId="4"/>
      <sheetData sheetId="5"/>
      <sheetData sheetId="6"/>
      <sheetData sheetId="7"/>
      <sheetData sheetId="8"/>
      <sheetData sheetId="9"/>
      <sheetData sheetId="10"/>
      <sheetData sheetId="11" refreshError="1">
        <row r="5">
          <cell r="C5" t="str">
            <v>2001A</v>
          </cell>
        </row>
        <row r="6">
          <cell r="A6" t="str">
            <v>Cardiovascular</v>
          </cell>
          <cell r="B6" t="str">
            <v xml:space="preserve">Lipitor </v>
          </cell>
          <cell r="C6">
            <v>6449</v>
          </cell>
          <cell r="D6">
            <v>7972</v>
          </cell>
          <cell r="E6">
            <v>9229.7000000000007</v>
          </cell>
          <cell r="F6">
            <v>10862</v>
          </cell>
          <cell r="G6">
            <v>12187</v>
          </cell>
          <cell r="H6">
            <v>12648.33</v>
          </cell>
          <cell r="I6">
            <v>13001.802599999999</v>
          </cell>
          <cell r="J6">
            <v>13236.346866</v>
          </cell>
          <cell r="K6">
            <v>13368.71033466</v>
          </cell>
          <cell r="L6">
            <v>13502.397438006599</v>
          </cell>
          <cell r="N6">
            <v>4749.5322057199992</v>
          </cell>
          <cell r="O6">
            <v>4749.5322057199992</v>
          </cell>
          <cell r="P6">
            <v>4006.6468659999991</v>
          </cell>
        </row>
        <row r="7">
          <cell r="B7" t="str">
            <v>Norvasc</v>
          </cell>
          <cell r="C7">
            <v>3582</v>
          </cell>
          <cell r="D7">
            <v>3846</v>
          </cell>
          <cell r="E7">
            <v>4335</v>
          </cell>
          <cell r="F7">
            <v>4462</v>
          </cell>
          <cell r="G7">
            <v>4706</v>
          </cell>
          <cell r="H7">
            <v>4654.96</v>
          </cell>
          <cell r="I7">
            <v>2331.8720000000003</v>
          </cell>
          <cell r="J7">
            <v>1927.5908000000002</v>
          </cell>
          <cell r="K7">
            <v>1721.1442000000002</v>
          </cell>
          <cell r="L7">
            <v>1549.0297800000001</v>
          </cell>
          <cell r="N7">
            <v>-2522.0490239999999</v>
          </cell>
          <cell r="O7">
            <v>-2522.0490239999999</v>
          </cell>
          <cell r="P7">
            <v>-2407.4092000000001</v>
          </cell>
        </row>
        <row r="8">
          <cell r="B8" t="str">
            <v>Cardura</v>
          </cell>
          <cell r="C8">
            <v>551</v>
          </cell>
          <cell r="D8">
            <v>531</v>
          </cell>
          <cell r="E8">
            <v>595</v>
          </cell>
          <cell r="F8">
            <v>627</v>
          </cell>
          <cell r="G8">
            <v>643.83000000000004</v>
          </cell>
          <cell r="H8">
            <v>662.59889999999996</v>
          </cell>
          <cell r="I8">
            <v>681.98546699999997</v>
          </cell>
          <cell r="J8">
            <v>702.00277100999983</v>
          </cell>
          <cell r="K8">
            <v>722.66482014029987</v>
          </cell>
          <cell r="L8">
            <v>429.83194579200006</v>
          </cell>
          <cell r="N8">
            <v>107.00277100999983</v>
          </cell>
          <cell r="O8">
            <v>107.00277100999983</v>
          </cell>
          <cell r="P8">
            <v>-118.65103999999997</v>
          </cell>
        </row>
        <row r="9">
          <cell r="C9">
            <v>604</v>
          </cell>
        </row>
        <row r="10">
          <cell r="B10" t="str">
            <v>Glucotrol XL</v>
          </cell>
          <cell r="C10">
            <v>284</v>
          </cell>
          <cell r="D10">
            <v>298.2</v>
          </cell>
          <cell r="E10">
            <v>332</v>
          </cell>
          <cell r="F10">
            <v>0</v>
          </cell>
          <cell r="G10">
            <v>0</v>
          </cell>
          <cell r="H10">
            <v>0</v>
          </cell>
          <cell r="I10">
            <v>0</v>
          </cell>
          <cell r="J10">
            <v>0</v>
          </cell>
          <cell r="K10">
            <v>0</v>
          </cell>
          <cell r="L10">
            <v>0</v>
          </cell>
          <cell r="N10">
            <v>-332</v>
          </cell>
          <cell r="O10">
            <v>-332</v>
          </cell>
          <cell r="P10">
            <v>-332</v>
          </cell>
        </row>
        <row r="11">
          <cell r="B11" t="str">
            <v>Inspra</v>
          </cell>
          <cell r="C11">
            <v>0</v>
          </cell>
          <cell r="D11">
            <v>0</v>
          </cell>
          <cell r="E11">
            <v>0</v>
          </cell>
          <cell r="F11">
            <v>5</v>
          </cell>
          <cell r="G11">
            <v>2</v>
          </cell>
          <cell r="H11">
            <v>0</v>
          </cell>
          <cell r="I11">
            <v>0</v>
          </cell>
          <cell r="J11">
            <v>0</v>
          </cell>
          <cell r="K11">
            <v>0</v>
          </cell>
          <cell r="L11">
            <v>0</v>
          </cell>
          <cell r="N11">
            <v>37.655226999999996</v>
          </cell>
          <cell r="O11">
            <v>59.592726999999996</v>
          </cell>
          <cell r="P11">
            <v>0</v>
          </cell>
        </row>
        <row r="12">
          <cell r="B12" t="str">
            <v>Caduet</v>
          </cell>
          <cell r="C12">
            <v>0</v>
          </cell>
          <cell r="D12">
            <v>0</v>
          </cell>
          <cell r="E12">
            <v>0</v>
          </cell>
          <cell r="F12">
            <v>50</v>
          </cell>
          <cell r="G12">
            <v>185</v>
          </cell>
          <cell r="H12">
            <v>339</v>
          </cell>
          <cell r="I12">
            <v>516</v>
          </cell>
          <cell r="J12">
            <v>678.3</v>
          </cell>
          <cell r="K12">
            <v>755.43</v>
          </cell>
          <cell r="L12">
            <v>840.04049999999984</v>
          </cell>
          <cell r="N12">
            <v>575</v>
          </cell>
          <cell r="O12">
            <v>452.84399999999999</v>
          </cell>
          <cell r="P12">
            <v>678.3</v>
          </cell>
        </row>
        <row r="13">
          <cell r="A13" t="str">
            <v>Central Nervous System</v>
          </cell>
          <cell r="B13" t="str">
            <v>Zoloft</v>
          </cell>
          <cell r="C13">
            <v>2367</v>
          </cell>
          <cell r="D13">
            <v>2742</v>
          </cell>
          <cell r="E13">
            <v>3117</v>
          </cell>
          <cell r="F13">
            <v>3360</v>
          </cell>
          <cell r="G13">
            <v>3322.47</v>
          </cell>
          <cell r="H13">
            <v>1959.3069999999998</v>
          </cell>
          <cell r="I13">
            <v>925.75704999999994</v>
          </cell>
          <cell r="J13">
            <v>831.14500999999996</v>
          </cell>
          <cell r="K13">
            <v>776.70130949999987</v>
          </cell>
          <cell r="L13">
            <v>745.8666750000001</v>
          </cell>
          <cell r="N13">
            <v>-2414.8152300000002</v>
          </cell>
          <cell r="O13">
            <v>-2285.8549899999998</v>
          </cell>
          <cell r="P13">
            <v>-2318.3125</v>
          </cell>
        </row>
        <row r="14">
          <cell r="B14" t="str">
            <v xml:space="preserve">Neurontin </v>
          </cell>
          <cell r="C14">
            <v>1751</v>
          </cell>
          <cell r="D14">
            <v>2269</v>
          </cell>
          <cell r="E14">
            <v>2702</v>
          </cell>
          <cell r="F14">
            <v>2723</v>
          </cell>
          <cell r="G14">
            <v>639</v>
          </cell>
          <cell r="H14">
            <v>511.5</v>
          </cell>
          <cell r="I14">
            <v>481.95</v>
          </cell>
          <cell r="J14">
            <v>457.85249999999996</v>
          </cell>
          <cell r="K14">
            <v>438.35849999999994</v>
          </cell>
          <cell r="L14">
            <v>419.83920000000001</v>
          </cell>
          <cell r="N14">
            <v>-2056.7691199999999</v>
          </cell>
          <cell r="O14">
            <v>-2056.7691199999999</v>
          </cell>
          <cell r="P14">
            <v>-2244.1475</v>
          </cell>
        </row>
        <row r="15">
          <cell r="B15" t="str">
            <v>Xanax / Xanax XR</v>
          </cell>
          <cell r="C15">
            <v>323</v>
          </cell>
          <cell r="D15">
            <v>314</v>
          </cell>
          <cell r="E15">
            <v>237</v>
          </cell>
          <cell r="F15">
            <v>378</v>
          </cell>
          <cell r="G15">
            <v>428.1</v>
          </cell>
          <cell r="H15">
            <v>456.88500000000005</v>
          </cell>
          <cell r="I15">
            <v>484.60005000000007</v>
          </cell>
          <cell r="J15">
            <v>508.83005250000008</v>
          </cell>
          <cell r="K15">
            <v>534.27155512500008</v>
          </cell>
          <cell r="L15">
            <v>362.30627193750007</v>
          </cell>
          <cell r="N15">
            <v>187.83414200624998</v>
          </cell>
          <cell r="O15">
            <v>271.83005250000008</v>
          </cell>
          <cell r="P15">
            <v>96.221715000000017</v>
          </cell>
        </row>
        <row r="16">
          <cell r="B16" t="str">
            <v xml:space="preserve">Geodon </v>
          </cell>
          <cell r="C16">
            <v>149</v>
          </cell>
          <cell r="D16">
            <v>222</v>
          </cell>
          <cell r="E16">
            <v>353</v>
          </cell>
          <cell r="F16">
            <v>466</v>
          </cell>
          <cell r="G16">
            <v>590</v>
          </cell>
          <cell r="H16">
            <v>736.43000000000006</v>
          </cell>
          <cell r="I16">
            <v>883.71600000000001</v>
          </cell>
          <cell r="J16">
            <v>1011.4969199999999</v>
          </cell>
          <cell r="K16">
            <v>1110.8633927999999</v>
          </cell>
          <cell r="L16">
            <v>1172.237689224</v>
          </cell>
          <cell r="N16">
            <v>-97.936419999999998</v>
          </cell>
          <cell r="O16">
            <v>-97.936419999999998</v>
          </cell>
          <cell r="P16">
            <v>658.49691999999993</v>
          </cell>
        </row>
        <row r="17">
          <cell r="B17" t="str">
            <v>Aricept (Int'l revenues)</v>
          </cell>
          <cell r="C17">
            <v>0</v>
          </cell>
          <cell r="D17">
            <v>0</v>
          </cell>
          <cell r="E17">
            <v>253</v>
          </cell>
          <cell r="F17">
            <v>309</v>
          </cell>
          <cell r="G17">
            <v>346</v>
          </cell>
          <cell r="H17">
            <v>380.6</v>
          </cell>
          <cell r="I17">
            <v>399.63</v>
          </cell>
          <cell r="J17">
            <v>415.61520000000002</v>
          </cell>
          <cell r="K17">
            <v>428.08365600000002</v>
          </cell>
          <cell r="L17">
            <v>440.92616568</v>
          </cell>
          <cell r="N17">
            <v>170.45591749999994</v>
          </cell>
          <cell r="O17">
            <v>170.45591749999994</v>
          </cell>
          <cell r="P17">
            <v>162.61520000000002</v>
          </cell>
        </row>
        <row r="18">
          <cell r="B18" t="str">
            <v>Relpax</v>
          </cell>
          <cell r="C18">
            <v>0</v>
          </cell>
          <cell r="D18">
            <v>0</v>
          </cell>
          <cell r="E18">
            <v>52</v>
          </cell>
          <cell r="F18">
            <v>169</v>
          </cell>
          <cell r="G18">
            <v>231.57999999999998</v>
          </cell>
          <cell r="H18">
            <v>284.92499999999995</v>
          </cell>
          <cell r="I18">
            <v>335.11949999999996</v>
          </cell>
          <cell r="J18">
            <v>379.48094999999995</v>
          </cell>
          <cell r="K18">
            <v>429.74636939999994</v>
          </cell>
          <cell r="L18">
            <v>480.804531075</v>
          </cell>
          <cell r="N18">
            <v>288.81850465999997</v>
          </cell>
          <cell r="O18">
            <v>327.48094999999995</v>
          </cell>
          <cell r="P18">
            <v>340.79843000000005</v>
          </cell>
        </row>
        <row r="19">
          <cell r="B19" t="str">
            <v>Lyrica (Pregabalin)</v>
          </cell>
          <cell r="C19">
            <v>0</v>
          </cell>
          <cell r="D19">
            <v>0</v>
          </cell>
          <cell r="E19">
            <v>0</v>
          </cell>
          <cell r="F19">
            <v>10</v>
          </cell>
          <cell r="G19">
            <v>291</v>
          </cell>
          <cell r="H19">
            <v>926.09999999999991</v>
          </cell>
          <cell r="I19">
            <v>1399.4549999999999</v>
          </cell>
          <cell r="J19">
            <v>1793.1914999999999</v>
          </cell>
          <cell r="K19">
            <v>1995.3244799999998</v>
          </cell>
          <cell r="L19">
            <v>2147.7729383999995</v>
          </cell>
          <cell r="N19">
            <v>1200</v>
          </cell>
          <cell r="O19">
            <v>850</v>
          </cell>
          <cell r="P19">
            <v>1793.1914999999999</v>
          </cell>
        </row>
        <row r="20">
          <cell r="A20" t="str">
            <v>Arthritis and Pain</v>
          </cell>
          <cell r="B20" t="str">
            <v>Celebrex</v>
          </cell>
          <cell r="C20">
            <v>0</v>
          </cell>
          <cell r="D20">
            <v>0</v>
          </cell>
          <cell r="E20">
            <v>1855</v>
          </cell>
          <cell r="F20">
            <v>3302</v>
          </cell>
          <cell r="G20">
            <v>1862.24</v>
          </cell>
          <cell r="H20">
            <v>1918.1071999999999</v>
          </cell>
          <cell r="I20">
            <v>1955.361476</v>
          </cell>
          <cell r="J20">
            <v>1993.7333802800003</v>
          </cell>
          <cell r="K20">
            <v>2033.2564416884002</v>
          </cell>
          <cell r="L20">
            <v>1671.9533779186559</v>
          </cell>
          <cell r="N20">
            <v>-342.10199999999986</v>
          </cell>
          <cell r="O20">
            <v>138.73338028000035</v>
          </cell>
          <cell r="P20">
            <v>302.68962800000008</v>
          </cell>
        </row>
        <row r="21">
          <cell r="B21" t="str">
            <v>Bextra</v>
          </cell>
          <cell r="C21">
            <v>0</v>
          </cell>
          <cell r="D21">
            <v>0</v>
          </cell>
          <cell r="E21">
            <v>687</v>
          </cell>
          <cell r="F21">
            <v>1247.75</v>
          </cell>
          <cell r="G21">
            <v>1632.75</v>
          </cell>
          <cell r="H21">
            <v>2033.4649999999999</v>
          </cell>
          <cell r="I21">
            <v>2329.5177499999995</v>
          </cell>
          <cell r="J21">
            <v>2498.5022125</v>
          </cell>
          <cell r="K21">
            <v>530.91</v>
          </cell>
          <cell r="L21">
            <v>0</v>
          </cell>
          <cell r="N21">
            <v>1258.7745780000005</v>
          </cell>
          <cell r="O21">
            <v>-156.09000000000003</v>
          </cell>
          <cell r="P21">
            <v>-687</v>
          </cell>
        </row>
        <row r="22">
          <cell r="B22" t="str">
            <v>Dynastat/Parecoxib</v>
          </cell>
          <cell r="C22">
            <v>0</v>
          </cell>
          <cell r="D22">
            <v>0</v>
          </cell>
          <cell r="E22">
            <v>0</v>
          </cell>
          <cell r="F22">
            <v>0</v>
          </cell>
          <cell r="G22">
            <v>0</v>
          </cell>
          <cell r="H22">
            <v>0</v>
          </cell>
          <cell r="I22">
            <v>0</v>
          </cell>
          <cell r="J22">
            <v>0</v>
          </cell>
          <cell r="K22">
            <v>0</v>
          </cell>
          <cell r="L22">
            <v>0</v>
          </cell>
          <cell r="N22">
            <v>150</v>
          </cell>
          <cell r="O22">
            <v>150</v>
          </cell>
          <cell r="P22">
            <v>0</v>
          </cell>
        </row>
        <row r="23">
          <cell r="A23" t="str">
            <v>Anti-Infectives</v>
          </cell>
          <cell r="B23" t="str">
            <v>Zithromax</v>
          </cell>
          <cell r="C23">
            <v>1507</v>
          </cell>
          <cell r="D23">
            <v>1515.5</v>
          </cell>
          <cell r="E23">
            <v>2009</v>
          </cell>
          <cell r="F23">
            <v>1850.8</v>
          </cell>
          <cell r="G23">
            <v>1617.68</v>
          </cell>
          <cell r="H23">
            <v>852.11440000000005</v>
          </cell>
          <cell r="I23">
            <v>808.30731200000002</v>
          </cell>
          <cell r="J23">
            <v>768.05284576000008</v>
          </cell>
          <cell r="K23">
            <v>731.01230084480005</v>
          </cell>
          <cell r="L23">
            <v>630.71248390176015</v>
          </cell>
          <cell r="N23">
            <v>-1429.8554022464</v>
          </cell>
          <cell r="O23">
            <v>-1240.9471542399999</v>
          </cell>
          <cell r="P23">
            <v>-1328.7048055999999</v>
          </cell>
        </row>
        <row r="24">
          <cell r="B24" t="str">
            <v>Diflucan</v>
          </cell>
          <cell r="C24">
            <v>1067</v>
          </cell>
          <cell r="D24">
            <v>1112</v>
          </cell>
          <cell r="E24">
            <v>1175</v>
          </cell>
          <cell r="F24">
            <v>945</v>
          </cell>
          <cell r="G24">
            <v>498</v>
          </cell>
          <cell r="H24">
            <v>446.25</v>
          </cell>
          <cell r="I24">
            <v>423.51249999999999</v>
          </cell>
          <cell r="J24">
            <v>401.95437500000003</v>
          </cell>
          <cell r="K24">
            <v>381.51240625000003</v>
          </cell>
          <cell r="L24">
            <v>362.12696093749997</v>
          </cell>
          <cell r="N24">
            <v>-592.08640000000003</v>
          </cell>
          <cell r="O24">
            <v>-592.08640000000003</v>
          </cell>
          <cell r="P24">
            <v>-773.04562499999997</v>
          </cell>
        </row>
        <row r="25">
          <cell r="B25" t="str">
            <v>Viracept</v>
          </cell>
          <cell r="C25">
            <v>365</v>
          </cell>
          <cell r="D25">
            <v>337</v>
          </cell>
          <cell r="E25">
            <v>258</v>
          </cell>
          <cell r="F25">
            <v>0</v>
          </cell>
          <cell r="G25">
            <v>0</v>
          </cell>
          <cell r="H25">
            <v>0</v>
          </cell>
          <cell r="I25">
            <v>0</v>
          </cell>
          <cell r="J25">
            <v>0</v>
          </cell>
          <cell r="K25">
            <v>0</v>
          </cell>
          <cell r="L25">
            <v>0</v>
          </cell>
          <cell r="N25">
            <v>-258</v>
          </cell>
          <cell r="O25">
            <v>-258</v>
          </cell>
          <cell r="P25">
            <v>-258</v>
          </cell>
        </row>
        <row r="26">
          <cell r="B26" t="str">
            <v>Zyvox</v>
          </cell>
          <cell r="C26">
            <v>0</v>
          </cell>
          <cell r="D26">
            <v>0</v>
          </cell>
          <cell r="E26">
            <v>181</v>
          </cell>
          <cell r="F26">
            <v>462</v>
          </cell>
          <cell r="G26">
            <v>619.20000000000005</v>
          </cell>
          <cell r="H26">
            <v>699.1</v>
          </cell>
          <cell r="I26">
            <v>763.65840000000014</v>
          </cell>
          <cell r="J26">
            <v>814.3109280000001</v>
          </cell>
          <cell r="K26">
            <v>868.3892496000002</v>
          </cell>
          <cell r="L26">
            <v>1104.9936122880001</v>
          </cell>
          <cell r="N26">
            <v>458.39739395840013</v>
          </cell>
          <cell r="O26">
            <v>633.3109280000001</v>
          </cell>
          <cell r="P26">
            <v>766.35392000000002</v>
          </cell>
        </row>
        <row r="27">
          <cell r="B27" t="str">
            <v>Vfend</v>
          </cell>
          <cell r="C27">
            <v>0</v>
          </cell>
          <cell r="D27">
            <v>41.5</v>
          </cell>
          <cell r="E27">
            <v>199.6</v>
          </cell>
          <cell r="F27">
            <v>287</v>
          </cell>
          <cell r="G27">
            <v>367.1</v>
          </cell>
          <cell r="H27">
            <v>440.52</v>
          </cell>
          <cell r="I27">
            <v>484.572</v>
          </cell>
          <cell r="J27">
            <v>508.80060000000003</v>
          </cell>
          <cell r="K27">
            <v>534.24063000000001</v>
          </cell>
          <cell r="L27">
            <v>622.03624143075001</v>
          </cell>
          <cell r="N27">
            <v>354.53998639999998</v>
          </cell>
          <cell r="O27">
            <v>309.20060000000001</v>
          </cell>
          <cell r="P27">
            <v>374.02856750000001</v>
          </cell>
        </row>
        <row r="28">
          <cell r="A28" t="str">
            <v>Urology</v>
          </cell>
          <cell r="B28" t="str">
            <v>Viagra</v>
          </cell>
          <cell r="C28">
            <v>1518</v>
          </cell>
          <cell r="D28">
            <v>1735</v>
          </cell>
          <cell r="E28">
            <v>1878.6</v>
          </cell>
          <cell r="F28">
            <v>1677</v>
          </cell>
          <cell r="G28">
            <v>1654.85</v>
          </cell>
          <cell r="H28">
            <v>1678.58</v>
          </cell>
          <cell r="I28">
            <v>1703.0219000000002</v>
          </cell>
          <cell r="J28">
            <v>1728.1970570000001</v>
          </cell>
          <cell r="K28">
            <v>1754.1274687100001</v>
          </cell>
          <cell r="L28">
            <v>1470.9863129456398</v>
          </cell>
          <cell r="N28">
            <v>57.68853182410021</v>
          </cell>
          <cell r="O28">
            <v>-150.40294299999982</v>
          </cell>
          <cell r="P28">
            <v>-368.99267748000011</v>
          </cell>
        </row>
        <row r="29">
          <cell r="B29" t="str">
            <v>Detrol</v>
          </cell>
          <cell r="C29">
            <v>0</v>
          </cell>
          <cell r="D29">
            <v>0</v>
          </cell>
          <cell r="E29">
            <v>543</v>
          </cell>
          <cell r="F29">
            <v>904</v>
          </cell>
          <cell r="G29">
            <v>988</v>
          </cell>
          <cell r="H29">
            <v>1023.9000000000001</v>
          </cell>
          <cell r="I29">
            <v>1054.6170000000002</v>
          </cell>
          <cell r="J29">
            <v>1079.094435</v>
          </cell>
          <cell r="K29">
            <v>1104.1629715500001</v>
          </cell>
          <cell r="L29">
            <v>1129.8374782665001</v>
          </cell>
          <cell r="N29">
            <v>652.14725520000025</v>
          </cell>
          <cell r="O29">
            <v>652.14725520000025</v>
          </cell>
          <cell r="P29">
            <v>536.09443499999998</v>
          </cell>
        </row>
        <row r="30">
          <cell r="A30" t="str">
            <v>Opthamology</v>
          </cell>
          <cell r="B30" t="str">
            <v>Xalatan</v>
          </cell>
          <cell r="C30">
            <v>0</v>
          </cell>
          <cell r="D30">
            <v>0</v>
          </cell>
          <cell r="E30">
            <v>623</v>
          </cell>
          <cell r="F30">
            <v>1227</v>
          </cell>
          <cell r="G30">
            <v>1344.71</v>
          </cell>
          <cell r="H30">
            <v>1411.9455</v>
          </cell>
          <cell r="I30">
            <v>1472.9439900000002</v>
          </cell>
          <cell r="J30">
            <v>1536.6084531000004</v>
          </cell>
          <cell r="K30">
            <v>1603.0568298990001</v>
          </cell>
          <cell r="L30">
            <v>1514.6626050240002</v>
          </cell>
          <cell r="N30">
            <v>886.71147959500036</v>
          </cell>
          <cell r="O30">
            <v>913.60845310000036</v>
          </cell>
          <cell r="P30">
            <v>850.13442160000022</v>
          </cell>
        </row>
        <row r="31">
          <cell r="A31" t="str">
            <v>Oncology</v>
          </cell>
          <cell r="B31" t="str">
            <v>Camptosar</v>
          </cell>
          <cell r="C31">
            <v>0</v>
          </cell>
          <cell r="D31">
            <v>0</v>
          </cell>
          <cell r="E31">
            <v>299</v>
          </cell>
          <cell r="F31">
            <v>553</v>
          </cell>
          <cell r="G31">
            <v>911</v>
          </cell>
          <cell r="H31">
            <v>933.63000000000011</v>
          </cell>
          <cell r="I31">
            <v>977.79449999999997</v>
          </cell>
          <cell r="J31">
            <v>734.00145000000009</v>
          </cell>
          <cell r="K31">
            <v>711.76129500000013</v>
          </cell>
          <cell r="L31">
            <v>759.02734950000013</v>
          </cell>
          <cell r="N31">
            <v>42.033560401600027</v>
          </cell>
          <cell r="O31">
            <v>693.51042000000007</v>
          </cell>
          <cell r="P31">
            <v>435.00145000000009</v>
          </cell>
        </row>
        <row r="32">
          <cell r="B32" t="str">
            <v>Ellence</v>
          </cell>
          <cell r="C32">
            <v>261</v>
          </cell>
          <cell r="D32">
            <v>333</v>
          </cell>
          <cell r="E32">
            <v>215</v>
          </cell>
          <cell r="F32">
            <v>344</v>
          </cell>
          <cell r="G32">
            <v>366</v>
          </cell>
          <cell r="H32">
            <v>336.8</v>
          </cell>
          <cell r="I32">
            <v>319.31</v>
          </cell>
          <cell r="J32">
            <v>317.85169999999999</v>
          </cell>
          <cell r="K32">
            <v>322.97221100000002</v>
          </cell>
          <cell r="L32">
            <v>330.89536133000001</v>
          </cell>
          <cell r="N32">
            <v>97.78800063999995</v>
          </cell>
          <cell r="O32">
            <v>97.78800063999995</v>
          </cell>
          <cell r="P32">
            <v>102.85169999999999</v>
          </cell>
        </row>
        <row r="33">
          <cell r="A33" t="str">
            <v>Endocrinology</v>
          </cell>
          <cell r="B33" t="str">
            <v>Aromasin</v>
          </cell>
          <cell r="C33">
            <v>0</v>
          </cell>
          <cell r="D33">
            <v>0</v>
          </cell>
          <cell r="E33">
            <v>481</v>
          </cell>
          <cell r="F33">
            <v>735</v>
          </cell>
          <cell r="G33">
            <v>134</v>
          </cell>
          <cell r="H33">
            <v>323.60000000000002</v>
          </cell>
          <cell r="I33">
            <v>377.66249999999997</v>
          </cell>
          <cell r="J33">
            <v>426.95819999999998</v>
          </cell>
          <cell r="K33">
            <v>469.65402000000006</v>
          </cell>
          <cell r="L33">
            <v>508.23626700000005</v>
          </cell>
          <cell r="N33">
            <v>486.22311968000008</v>
          </cell>
          <cell r="O33">
            <v>486.22311968000008</v>
          </cell>
          <cell r="P33">
            <v>426.95819999999998</v>
          </cell>
        </row>
        <row r="34">
          <cell r="A34" t="str">
            <v>Other</v>
          </cell>
          <cell r="B34" t="str">
            <v>Zyrtec/Reactine</v>
          </cell>
          <cell r="C34">
            <v>989</v>
          </cell>
          <cell r="D34">
            <v>1115</v>
          </cell>
          <cell r="E34">
            <v>1337.6</v>
          </cell>
          <cell r="F34">
            <v>1287</v>
          </cell>
          <cell r="G34">
            <v>1299.8699999999999</v>
          </cell>
          <cell r="H34">
            <v>1299.8699999999999</v>
          </cell>
          <cell r="I34">
            <v>779.92199999999991</v>
          </cell>
          <cell r="J34">
            <v>467.95319999999992</v>
          </cell>
          <cell r="K34">
            <v>280.77191999999991</v>
          </cell>
          <cell r="L34">
            <v>990.82697336092815</v>
          </cell>
          <cell r="N34">
            <v>-804.06533503999992</v>
          </cell>
          <cell r="O34">
            <v>-869.64679999999998</v>
          </cell>
          <cell r="P34">
            <v>453.39185912000016</v>
          </cell>
        </row>
        <row r="35">
          <cell r="A35" t="str">
            <v>Endocrinology</v>
          </cell>
          <cell r="B35" t="str">
            <v>Genotropin</v>
          </cell>
          <cell r="C35">
            <v>323</v>
          </cell>
          <cell r="D35">
            <v>0</v>
          </cell>
          <cell r="E35">
            <v>481</v>
          </cell>
          <cell r="F35">
            <v>735</v>
          </cell>
          <cell r="G35">
            <v>808</v>
          </cell>
          <cell r="H35">
            <v>857.92000000000007</v>
          </cell>
          <cell r="I35">
            <v>888.04940000000011</v>
          </cell>
          <cell r="J35">
            <v>914.13777000000005</v>
          </cell>
          <cell r="K35">
            <v>941.16427650000003</v>
          </cell>
          <cell r="L35">
            <v>969.16850068500003</v>
          </cell>
          <cell r="N35">
            <v>-242</v>
          </cell>
          <cell r="O35">
            <v>-242</v>
          </cell>
          <cell r="P35">
            <v>433.13777000000005</v>
          </cell>
        </row>
        <row r="36">
          <cell r="A36" t="str">
            <v>Other</v>
          </cell>
          <cell r="B36" t="str">
            <v>Zyrtec/Reactine</v>
          </cell>
          <cell r="C36">
            <v>3050</v>
          </cell>
          <cell r="D36">
            <v>1115</v>
          </cell>
          <cell r="E36">
            <v>1337.6</v>
          </cell>
          <cell r="F36">
            <v>1287</v>
          </cell>
          <cell r="G36">
            <v>1362</v>
          </cell>
          <cell r="H36">
            <v>1402.86</v>
          </cell>
          <cell r="I36">
            <v>1262.5739999999998</v>
          </cell>
          <cell r="J36">
            <v>252.51479999999992</v>
          </cell>
          <cell r="K36">
            <v>151.50887999999995</v>
          </cell>
          <cell r="L36">
            <v>128.78254799999996</v>
          </cell>
          <cell r="N36">
            <v>2619.7139027800013</v>
          </cell>
          <cell r="O36">
            <v>2619.7139027800013</v>
          </cell>
          <cell r="P36">
            <v>-1085.0852</v>
          </cell>
        </row>
        <row r="37">
          <cell r="B37" t="str">
            <v>Medrol</v>
          </cell>
          <cell r="C37">
            <v>3050</v>
          </cell>
          <cell r="D37">
            <v>329</v>
          </cell>
          <cell r="E37">
            <v>242</v>
          </cell>
          <cell r="F37">
            <v>0</v>
          </cell>
          <cell r="G37">
            <v>0</v>
          </cell>
          <cell r="H37">
            <v>0</v>
          </cell>
          <cell r="I37">
            <v>0</v>
          </cell>
          <cell r="J37">
            <v>0</v>
          </cell>
          <cell r="K37">
            <v>0</v>
          </cell>
          <cell r="L37">
            <v>0</v>
          </cell>
          <cell r="M37" t="str">
            <v>Aventis</v>
          </cell>
          <cell r="N37">
            <v>750</v>
          </cell>
          <cell r="O37">
            <v>500</v>
          </cell>
          <cell r="P37">
            <v>-242</v>
          </cell>
        </row>
        <row r="38">
          <cell r="B38" t="str">
            <v>Other Pharmaceuticals</v>
          </cell>
          <cell r="C38">
            <v>3050</v>
          </cell>
          <cell r="D38">
            <v>2733.8999999999996</v>
          </cell>
          <cell r="E38">
            <v>4974.5</v>
          </cell>
          <cell r="F38">
            <v>6465</v>
          </cell>
          <cell r="G38">
            <v>6702</v>
          </cell>
          <cell r="H38">
            <v>6288.3700000000008</v>
          </cell>
          <cell r="I38">
            <v>6381.8646000000008</v>
          </cell>
          <cell r="J38">
            <v>6444.5412660000002</v>
          </cell>
          <cell r="K38">
            <v>6479.0700325400012</v>
          </cell>
          <cell r="L38">
            <v>6508.4786425193997</v>
          </cell>
          <cell r="M38" t="str">
            <v>royalty to Ligand</v>
          </cell>
          <cell r="N38" t="str">
            <v>With Nektar</v>
          </cell>
          <cell r="O38">
            <v>450</v>
          </cell>
          <cell r="P38">
            <v>1470.0412660000002</v>
          </cell>
        </row>
        <row r="39">
          <cell r="B39" t="str">
            <v xml:space="preserve">  Roflumilast</v>
          </cell>
          <cell r="G39" t="str">
            <v xml:space="preserve"> </v>
          </cell>
          <cell r="H39">
            <v>150</v>
          </cell>
          <cell r="I39">
            <v>250</v>
          </cell>
          <cell r="J39">
            <v>300</v>
          </cell>
          <cell r="K39">
            <v>400</v>
          </cell>
          <cell r="L39" t="str">
            <v>Altana; prob alliance revenue</v>
          </cell>
          <cell r="M39" t="str">
            <v>Altana; prob alliance revenue</v>
          </cell>
          <cell r="N39">
            <v>650</v>
          </cell>
          <cell r="O39">
            <v>300</v>
          </cell>
          <cell r="P39">
            <v>0</v>
          </cell>
        </row>
        <row r="40">
          <cell r="B40" t="str">
            <v xml:space="preserve">   Capravirine</v>
          </cell>
          <cell r="G40" t="str">
            <v xml:space="preserve"> </v>
          </cell>
          <cell r="H40">
            <v>150</v>
          </cell>
          <cell r="I40">
            <v>300</v>
          </cell>
          <cell r="J40">
            <v>400</v>
          </cell>
          <cell r="K40">
            <v>500</v>
          </cell>
          <cell r="L40" t="str">
            <v>internally developed</v>
          </cell>
          <cell r="M40" t="str">
            <v>internally developed</v>
          </cell>
          <cell r="N40" t="str">
            <v>royalty to Ligand</v>
          </cell>
          <cell r="O40">
            <v>400</v>
          </cell>
          <cell r="P40">
            <v>0</v>
          </cell>
        </row>
        <row r="41">
          <cell r="B41" t="str">
            <v xml:space="preserve">   CETP Inhibitor</v>
          </cell>
          <cell r="G41">
            <v>0</v>
          </cell>
          <cell r="H41">
            <v>0</v>
          </cell>
          <cell r="I41">
            <v>0</v>
          </cell>
          <cell r="J41">
            <v>500</v>
          </cell>
          <cell r="K41">
            <v>1000</v>
          </cell>
          <cell r="L41" t="str">
            <v>internally developed</v>
          </cell>
          <cell r="M41" t="str">
            <v>internally developed</v>
          </cell>
          <cell r="N41" t="str">
            <v>Vicuron</v>
          </cell>
          <cell r="O41">
            <v>500</v>
          </cell>
          <cell r="P41">
            <v>300</v>
          </cell>
        </row>
        <row r="42">
          <cell r="B42" t="str">
            <v xml:space="preserve">   Revatio</v>
          </cell>
          <cell r="G42">
            <v>0</v>
          </cell>
          <cell r="H42">
            <v>15</v>
          </cell>
          <cell r="I42">
            <v>45</v>
          </cell>
          <cell r="J42">
            <v>75</v>
          </cell>
          <cell r="K42">
            <v>100</v>
          </cell>
          <cell r="L42" t="str">
            <v>internally developed</v>
          </cell>
          <cell r="M42" t="str">
            <v>internally developed</v>
          </cell>
          <cell r="N42">
            <v>500</v>
          </cell>
          <cell r="O42">
            <v>75</v>
          </cell>
          <cell r="P42">
            <v>500</v>
          </cell>
        </row>
        <row r="43">
          <cell r="B43" t="str">
            <v xml:space="preserve">  Lipitor/ Torcetrapib combo</v>
          </cell>
          <cell r="F43">
            <v>0</v>
          </cell>
          <cell r="G43">
            <v>10</v>
          </cell>
          <cell r="H43">
            <v>20</v>
          </cell>
          <cell r="I43">
            <v>45</v>
          </cell>
          <cell r="J43">
            <v>500</v>
          </cell>
          <cell r="K43">
            <v>1000</v>
          </cell>
          <cell r="L43">
            <v>2000</v>
          </cell>
          <cell r="M43" t="str">
            <v>internally developed</v>
          </cell>
          <cell r="N43" t="str">
            <v>internally developed</v>
          </cell>
          <cell r="O43">
            <v>750</v>
          </cell>
          <cell r="P43">
            <v>500</v>
          </cell>
        </row>
        <row r="44">
          <cell r="B44" t="str">
            <v xml:space="preserve">  Sutent</v>
          </cell>
          <cell r="E44">
            <v>0</v>
          </cell>
          <cell r="F44">
            <v>0</v>
          </cell>
          <cell r="G44">
            <v>775</v>
          </cell>
          <cell r="H44">
            <v>50</v>
          </cell>
          <cell r="I44">
            <v>100</v>
          </cell>
          <cell r="J44">
            <v>250</v>
          </cell>
          <cell r="K44">
            <v>300</v>
          </cell>
          <cell r="L44">
            <v>800</v>
          </cell>
          <cell r="M44" t="str">
            <v>internally developed</v>
          </cell>
          <cell r="N44">
            <v>4350</v>
          </cell>
          <cell r="O44">
            <v>3750</v>
          </cell>
          <cell r="P44">
            <v>500</v>
          </cell>
        </row>
        <row r="45">
          <cell r="B45" t="str">
            <v xml:space="preserve">  Champix</v>
          </cell>
          <cell r="C45">
            <v>1378</v>
          </cell>
          <cell r="D45">
            <v>1596</v>
          </cell>
          <cell r="E45">
            <v>759</v>
          </cell>
          <cell r="F45">
            <v>721</v>
          </cell>
          <cell r="G45">
            <v>1058.0098902236425</v>
          </cell>
          <cell r="H45">
            <v>100</v>
          </cell>
          <cell r="I45">
            <v>200</v>
          </cell>
          <cell r="J45">
            <v>450</v>
          </cell>
          <cell r="K45">
            <v>650</v>
          </cell>
          <cell r="L45">
            <v>800</v>
          </cell>
          <cell r="N45" t="str">
            <v>internally developed</v>
          </cell>
          <cell r="O45">
            <v>1705.8984386348302</v>
          </cell>
          <cell r="P45">
            <v>450</v>
          </cell>
        </row>
        <row r="47">
          <cell r="C47">
            <v>1378</v>
          </cell>
        </row>
        <row r="48">
          <cell r="C48">
            <v>1201.5</v>
          </cell>
        </row>
        <row r="49">
          <cell r="C49">
            <v>24116</v>
          </cell>
        </row>
        <row r="50">
          <cell r="C50">
            <v>1201.5</v>
          </cell>
        </row>
        <row r="51">
          <cell r="C51">
            <v>2986</v>
          </cell>
        </row>
        <row r="52">
          <cell r="C52">
            <v>1880.25</v>
          </cell>
        </row>
        <row r="53">
          <cell r="C53">
            <v>5033.5</v>
          </cell>
        </row>
        <row r="54">
          <cell r="B54" t="str">
            <v xml:space="preserve">   Animal Health</v>
          </cell>
          <cell r="C54">
            <v>31803.75</v>
          </cell>
          <cell r="D54">
            <v>1260.2</v>
          </cell>
          <cell r="E54">
            <v>1598.364</v>
          </cell>
          <cell r="F54">
            <v>1953</v>
          </cell>
          <cell r="G54">
            <v>2207</v>
          </cell>
          <cell r="H54">
            <v>2353.7700000000004</v>
          </cell>
          <cell r="I54">
            <v>2474.1432000000004</v>
          </cell>
          <cell r="J54">
            <v>2576.1632400000008</v>
          </cell>
          <cell r="K54">
            <v>2668.0409028000004</v>
          </cell>
          <cell r="L54">
            <v>2763.2586061080005</v>
          </cell>
          <cell r="N54">
            <v>4.7836558476302082E-2</v>
          </cell>
          <cell r="O54">
            <v>2.1058624615309718E-2</v>
          </cell>
          <cell r="P54">
            <v>3.457691146959152E-2</v>
          </cell>
        </row>
        <row r="55">
          <cell r="C55">
            <v>5033.5</v>
          </cell>
        </row>
        <row r="56">
          <cell r="C56">
            <v>26770.25</v>
          </cell>
        </row>
        <row r="57">
          <cell r="B57" t="str">
            <v>Other</v>
          </cell>
          <cell r="C57">
            <v>11023</v>
          </cell>
          <cell r="D57">
            <v>12637.3</v>
          </cell>
          <cell r="E57">
            <v>918</v>
          </cell>
          <cell r="F57">
            <v>914.2</v>
          </cell>
          <cell r="G57">
            <v>927</v>
          </cell>
          <cell r="H57">
            <v>927</v>
          </cell>
          <cell r="I57">
            <v>927</v>
          </cell>
          <cell r="J57">
            <v>927</v>
          </cell>
          <cell r="K57">
            <v>927</v>
          </cell>
          <cell r="L57">
            <v>927</v>
          </cell>
          <cell r="M57">
            <v>1.9022981639181813E-2</v>
          </cell>
          <cell r="N57">
            <v>1.9022981639181813E-2</v>
          </cell>
          <cell r="O57" t="str">
            <v xml:space="preserve">5-yr </v>
          </cell>
          <cell r="P57" t="str">
            <v>4-yr</v>
          </cell>
          <cell r="Q57" t="str">
            <v>3-yr</v>
          </cell>
        </row>
        <row r="58">
          <cell r="B58" t="str">
            <v>Total Revenues</v>
          </cell>
          <cell r="C58">
            <v>278</v>
          </cell>
          <cell r="D58">
            <v>34504.300000000003</v>
          </cell>
          <cell r="E58">
            <v>45188.364000000001</v>
          </cell>
          <cell r="F58">
            <v>52516</v>
          </cell>
          <cell r="G58">
            <v>51307</v>
          </cell>
          <cell r="H58">
            <v>51447.437212663077</v>
          </cell>
          <cell r="I58">
            <v>51078.053269491807</v>
          </cell>
          <cell r="J58">
            <v>53032.429129876822</v>
          </cell>
          <cell r="K58">
            <v>55601.585416849426</v>
          </cell>
          <cell r="L58">
            <v>57394.736318321411</v>
          </cell>
          <cell r="O58">
            <v>3.2530716810986737E-2</v>
          </cell>
          <cell r="P58">
            <v>2.4494228813634056E-3</v>
          </cell>
          <cell r="Q58">
            <v>1.1086471692310251E-2</v>
          </cell>
        </row>
        <row r="59">
          <cell r="B59" t="str">
            <v>COGS</v>
          </cell>
          <cell r="C59">
            <v>11178.25</v>
          </cell>
          <cell r="D59">
            <v>4895</v>
          </cell>
          <cell r="E59">
            <v>6932</v>
          </cell>
          <cell r="F59">
            <v>7502</v>
          </cell>
          <cell r="G59">
            <v>8326</v>
          </cell>
          <cell r="H59">
            <v>8231.5899540260907</v>
          </cell>
          <cell r="I59">
            <v>8172.488523118689</v>
          </cell>
          <cell r="J59">
            <v>8273.0589442607834</v>
          </cell>
          <cell r="K59">
            <v>8562.6441541948116</v>
          </cell>
          <cell r="L59">
            <v>8723.9999203848529</v>
          </cell>
          <cell r="N59">
            <v>2.0299416805708237E-2</v>
          </cell>
          <cell r="O59">
            <v>2.7371940020479713E-3</v>
          </cell>
          <cell r="P59">
            <v>-7.1798317503043441E-3</v>
          </cell>
          <cell r="Q59">
            <v>3.8262536163498062E-2</v>
          </cell>
        </row>
        <row r="60">
          <cell r="C60">
            <v>278</v>
          </cell>
        </row>
        <row r="61">
          <cell r="C61">
            <v>11178.25</v>
          </cell>
        </row>
        <row r="62">
          <cell r="B62" t="str">
            <v>R&amp;D</v>
          </cell>
          <cell r="C62">
            <v>16</v>
          </cell>
          <cell r="D62">
            <v>5232</v>
          </cell>
          <cell r="E62">
            <v>6964</v>
          </cell>
          <cell r="F62">
            <v>7619</v>
          </cell>
          <cell r="G62">
            <v>7391</v>
          </cell>
          <cell r="H62">
            <v>7717.1155818994603</v>
          </cell>
          <cell r="I62">
            <v>7559.5518838847875</v>
          </cell>
          <cell r="J62">
            <v>7742.7346529620145</v>
          </cell>
          <cell r="K62">
            <v>8006.6283000263165</v>
          </cell>
          <cell r="L62">
            <v>8264.8420298382807</v>
          </cell>
        </row>
        <row r="63">
          <cell r="C63">
            <v>2850.8362414456324</v>
          </cell>
        </row>
        <row r="64">
          <cell r="C64">
            <v>16</v>
          </cell>
        </row>
        <row r="65">
          <cell r="B65" t="str">
            <v>Net Income</v>
          </cell>
          <cell r="C65">
            <v>8311.4137585543685</v>
          </cell>
          <cell r="D65">
            <v>9839.658730907031</v>
          </cell>
          <cell r="E65">
            <v>12706.000000000004</v>
          </cell>
          <cell r="F65">
            <v>16139</v>
          </cell>
          <cell r="G65">
            <v>14688.548148955091</v>
          </cell>
          <cell r="H65">
            <v>15823.914018236352</v>
          </cell>
          <cell r="I65">
            <v>17073.736283529113</v>
          </cell>
          <cell r="J65">
            <v>18688.197535643285</v>
          </cell>
          <cell r="K65">
            <v>19757.138609490099</v>
          </cell>
          <cell r="L65">
            <v>5458.4769783143311</v>
          </cell>
        </row>
        <row r="66">
          <cell r="B66" t="str">
            <v>Tax Rate</v>
          </cell>
          <cell r="C66">
            <v>8311.4137585543685</v>
          </cell>
          <cell r="D66">
            <v>0.22675843861964926</v>
          </cell>
          <cell r="E66">
            <v>0.22449353185257501</v>
          </cell>
          <cell r="F66">
            <v>0.2178524725141667</v>
          </cell>
          <cell r="G66">
            <v>0.22253287770529151</v>
          </cell>
          <cell r="H66">
            <v>0.22253287770529151</v>
          </cell>
          <cell r="I66">
            <v>0.22253287770529151</v>
          </cell>
          <cell r="J66">
            <v>0.22253287770529151</v>
          </cell>
          <cell r="K66">
            <v>0.22253287770529151</v>
          </cell>
          <cell r="L66">
            <v>0.22253287770529151</v>
          </cell>
        </row>
        <row r="67">
          <cell r="B67" t="str">
            <v>Taxes</v>
          </cell>
          <cell r="C67">
            <v>8311.4137585543685</v>
          </cell>
          <cell r="D67">
            <v>2885.8412690929654</v>
          </cell>
          <cell r="E67">
            <v>3679</v>
          </cell>
          <cell r="F67">
            <v>4498</v>
          </cell>
          <cell r="G67">
            <v>4300.2253287770527</v>
          </cell>
          <cell r="H67">
            <v>4178.4093765221669</v>
          </cell>
          <cell r="I67">
            <v>4342.8202118084519</v>
          </cell>
          <cell r="J67">
            <v>4649.8091081510256</v>
          </cell>
          <cell r="K67">
            <v>4948.1624534593402</v>
          </cell>
          <cell r="L67">
            <v>5141.807559577871</v>
          </cell>
        </row>
        <row r="68">
          <cell r="C68">
            <v>-523</v>
          </cell>
        </row>
        <row r="69">
          <cell r="C69">
            <v>8311.4137585543685</v>
          </cell>
        </row>
        <row r="70">
          <cell r="C70">
            <v>-523</v>
          </cell>
        </row>
        <row r="71">
          <cell r="C71">
            <v>-523</v>
          </cell>
        </row>
        <row r="72">
          <cell r="C72">
            <v>7788</v>
          </cell>
        </row>
        <row r="73">
          <cell r="B73" t="str">
            <v>IPR &amp; D / Product Licensing Charges</v>
          </cell>
          <cell r="C73">
            <v>0.24</v>
          </cell>
          <cell r="D73">
            <v>0.22399999999999998</v>
          </cell>
          <cell r="E73">
            <v>-5052</v>
          </cell>
          <cell r="F73">
            <v>-822</v>
          </cell>
          <cell r="G73">
            <v>-1434.88</v>
          </cell>
          <cell r="H73">
            <v>0</v>
          </cell>
          <cell r="I73">
            <v>0</v>
          </cell>
          <cell r="J73">
            <v>0</v>
          </cell>
          <cell r="K73">
            <v>0</v>
          </cell>
          <cell r="L73">
            <v>0</v>
          </cell>
          <cell r="M73" t="str">
            <v>5-yr growth</v>
          </cell>
        </row>
        <row r="74">
          <cell r="C74">
            <v>1.3066206191722007</v>
          </cell>
        </row>
        <row r="75">
          <cell r="C75">
            <v>0.24</v>
          </cell>
        </row>
        <row r="76">
          <cell r="B76" t="str">
            <v>Disc. Operations</v>
          </cell>
          <cell r="C76" t="str">
            <v>--</v>
          </cell>
          <cell r="D76">
            <v>1.4E-2</v>
          </cell>
          <cell r="E76">
            <v>0</v>
          </cell>
          <cell r="F76">
            <v>0</v>
          </cell>
          <cell r="G76">
            <v>0</v>
          </cell>
          <cell r="H76">
            <v>0</v>
          </cell>
          <cell r="I76">
            <v>0</v>
          </cell>
          <cell r="J76">
            <v>0</v>
          </cell>
          <cell r="K76">
            <v>0</v>
          </cell>
          <cell r="L76" t="e">
            <v>#VALUE!</v>
          </cell>
          <cell r="N76" t="str">
            <v xml:space="preserve">5-yr </v>
          </cell>
          <cell r="O76" t="str">
            <v>4-yr</v>
          </cell>
          <cell r="P76" t="str">
            <v>3-yr</v>
          </cell>
        </row>
        <row r="77">
          <cell r="C77">
            <v>1.3066206191722007</v>
          </cell>
        </row>
        <row r="78">
          <cell r="A78" t="str">
            <v>E = Morgan Stanley Research Estimates       A = Actual       NM = Not Meaningful</v>
          </cell>
          <cell r="B78" t="str">
            <v>Annual EPS Growth</v>
          </cell>
          <cell r="C78" t="str">
            <v>--</v>
          </cell>
          <cell r="D78">
            <v>0.21730251857770955</v>
          </cell>
          <cell r="E78">
            <v>9.6466833783490857E-2</v>
          </cell>
          <cell r="F78">
            <v>0.21541873260468503</v>
          </cell>
          <cell r="G78">
            <v>-6.6884112980431509E-2</v>
          </cell>
          <cell r="H78">
            <v>9.5476329711248864E-2</v>
          </cell>
          <cell r="I78">
            <v>9.7351363477136355E-2</v>
          </cell>
          <cell r="J78">
            <v>0.11319820092536625</v>
          </cell>
          <cell r="K78">
            <v>7.5359194018708164E-2</v>
          </cell>
          <cell r="L78">
            <v>0</v>
          </cell>
          <cell r="M78">
            <v>0.36119642176862454</v>
          </cell>
          <cell r="N78">
            <v>0.10862324730854733</v>
          </cell>
          <cell r="O78" t="str">
            <v>3-yr</v>
          </cell>
          <cell r="P78" t="str">
            <v>3-yr</v>
          </cell>
          <cell r="Q78" t="str">
            <v>3-yr</v>
          </cell>
        </row>
        <row r="79">
          <cell r="C79">
            <v>6361</v>
          </cell>
        </row>
        <row r="80">
          <cell r="C80">
            <v>6361</v>
          </cell>
        </row>
        <row r="81">
          <cell r="C81" t="str">
            <v>2001A</v>
          </cell>
        </row>
        <row r="82">
          <cell r="A82" t="str">
            <v>E = Morgan Stanley Research Estimates       A = Actual       NM = Not Meaningful</v>
          </cell>
          <cell r="B82" t="str">
            <v>Annual EPS Growth</v>
          </cell>
          <cell r="C82" t="str">
            <v>--</v>
          </cell>
          <cell r="D82">
            <v>0.21730251857770955</v>
          </cell>
          <cell r="E82">
            <v>9.6466833783490857E-2</v>
          </cell>
          <cell r="F82">
            <v>0.21541873260468503</v>
          </cell>
          <cell r="G82">
            <v>-4.5128364617502137E-2</v>
          </cell>
          <cell r="H82">
            <v>-1.1417267627672367E-2</v>
          </cell>
          <cell r="I82">
            <v>6.0022056384030797E-2</v>
          </cell>
          <cell r="J82">
            <v>8.8910689479803073E-2</v>
          </cell>
          <cell r="K82">
            <v>8.2443417718437439E-2</v>
          </cell>
          <cell r="L82">
            <v>5.7270013899494154E-2</v>
          </cell>
          <cell r="N82">
            <v>0.32202092269528504</v>
          </cell>
          <cell r="O82" t="str">
            <v xml:space="preserve">5-yr </v>
          </cell>
          <cell r="P82" t="str">
            <v>4-yr</v>
          </cell>
          <cell r="Q82" t="str">
            <v>3-yr</v>
          </cell>
        </row>
        <row r="83">
          <cell r="B83" t="str">
            <v>Shares</v>
          </cell>
          <cell r="C83">
            <v>0.84173250009825884</v>
          </cell>
          <cell r="D83">
            <v>6241.25</v>
          </cell>
          <cell r="E83">
            <v>7285.6</v>
          </cell>
          <cell r="F83">
            <v>7613.9</v>
          </cell>
          <cell r="G83">
            <v>7411</v>
          </cell>
          <cell r="H83">
            <v>7285.7784999999994</v>
          </cell>
          <cell r="I83">
            <v>7142.6354999999994</v>
          </cell>
          <cell r="J83">
            <v>7022.5154999999995</v>
          </cell>
          <cell r="K83">
            <v>6903.3964999999989</v>
          </cell>
          <cell r="L83">
            <v>6784.2774999999992</v>
          </cell>
          <cell r="N83">
            <v>0.27389427162905911</v>
          </cell>
          <cell r="O83">
            <v>0.27674220698375618</v>
          </cell>
          <cell r="P83">
            <v>5.1004390405978484E-2</v>
          </cell>
          <cell r="Q83">
            <v>0.17947633737473057</v>
          </cell>
        </row>
        <row r="84">
          <cell r="A84" t="str">
            <v>E = Morgan Stanley Research Estimates       A = Actual       NM = Not Meaningful</v>
          </cell>
          <cell r="B84" t="str">
            <v>ADDITIONAL DATA</v>
          </cell>
          <cell r="C84">
            <v>0.84173250009825884</v>
          </cell>
          <cell r="D84" t="str">
            <v>2002E</v>
          </cell>
          <cell r="E84" t="str">
            <v>2003E</v>
          </cell>
          <cell r="F84" t="str">
            <v>2004E</v>
          </cell>
          <cell r="G84" t="str">
            <v>2005E</v>
          </cell>
          <cell r="H84" t="str">
            <v>2006E</v>
          </cell>
          <cell r="I84" t="str">
            <v>2007E</v>
          </cell>
          <cell r="J84" t="str">
            <v>2008E</v>
          </cell>
          <cell r="K84" t="str">
            <v>2008E</v>
          </cell>
          <cell r="L84" t="e">
            <v>#VALUE!</v>
          </cell>
          <cell r="O84" t="str">
            <v xml:space="preserve">5-yr </v>
          </cell>
          <cell r="P84" t="str">
            <v>4-yr</v>
          </cell>
          <cell r="Q84" t="str">
            <v>3-yr</v>
          </cell>
        </row>
        <row r="85">
          <cell r="B85" t="str">
            <v>Reported EPS</v>
          </cell>
          <cell r="C85">
            <v>0.34273474040011004</v>
          </cell>
          <cell r="D85">
            <v>0.36625290181223785</v>
          </cell>
          <cell r="E85">
            <v>0.53667508509937456</v>
          </cell>
          <cell r="F85">
            <v>1.4921393766663602</v>
          </cell>
          <cell r="G85">
            <v>1.1095830522196732</v>
          </cell>
          <cell r="H85">
            <v>1.4510630655492163</v>
          </cell>
          <cell r="I85">
            <v>1.4872086334427135</v>
          </cell>
          <cell r="J85">
            <v>1.838532334554182</v>
          </cell>
          <cell r="K85">
            <v>2.1395966857793569</v>
          </cell>
          <cell r="L85">
            <v>2.2764436841654829</v>
          </cell>
          <cell r="O85">
            <v>0.27923981435226786</v>
          </cell>
          <cell r="P85">
            <v>5.3575032574772807E-2</v>
          </cell>
          <cell r="Q85">
            <v>0.18332439860263916</v>
          </cell>
        </row>
        <row r="86">
          <cell r="B86" t="str">
            <v>Pre-tax margin</v>
          </cell>
          <cell r="C86">
            <v>0.35147584797390247</v>
          </cell>
          <cell r="D86">
            <v>0.36883808684714653</v>
          </cell>
          <cell r="E86">
            <v>0.36265973249219652</v>
          </cell>
          <cell r="F86">
            <v>20.105360443622921</v>
          </cell>
          <cell r="G86">
            <v>27.037182967049009</v>
          </cell>
          <cell r="H86">
            <v>20.674497692245534</v>
          </cell>
          <cell r="I86">
            <v>20.172018454837449</v>
          </cell>
          <cell r="J86">
            <v>16.317363277309219</v>
          </cell>
          <cell r="K86">
            <v>14.021334113757227</v>
          </cell>
          <cell r="L86">
            <v>13.178450320855463</v>
          </cell>
        </row>
        <row r="87">
          <cell r="C87">
            <v>0.34273474040011004</v>
          </cell>
        </row>
        <row r="88">
          <cell r="B88" t="str">
            <v>ADDITIONAL DATA</v>
          </cell>
          <cell r="C88">
            <v>0.35147584797390247</v>
          </cell>
          <cell r="D88" t="str">
            <v>2002E</v>
          </cell>
          <cell r="E88" t="str">
            <v>2003E</v>
          </cell>
          <cell r="F88" t="str">
            <v>2004E</v>
          </cell>
          <cell r="G88" t="str">
            <v>2005E</v>
          </cell>
          <cell r="H88" t="str">
            <v>2006E</v>
          </cell>
          <cell r="I88" t="str">
            <v>2007E</v>
          </cell>
          <cell r="J88" t="str">
            <v>2008E</v>
          </cell>
          <cell r="K88" t="str">
            <v>2009E</v>
          </cell>
          <cell r="L88" t="str">
            <v>2010E</v>
          </cell>
        </row>
        <row r="89">
          <cell r="B89" t="str">
            <v>Growth</v>
          </cell>
          <cell r="C89" t="str">
            <v>--</v>
          </cell>
          <cell r="D89">
            <v>0.11763974125062204</v>
          </cell>
          <cell r="E89">
            <v>0.4703372537379884</v>
          </cell>
          <cell r="F89">
            <v>0.16203414266607674</v>
          </cell>
          <cell r="G89">
            <v>4.8362036422100019E-2</v>
          </cell>
          <cell r="H89">
            <v>5.0536885426534228E-2</v>
          </cell>
          <cell r="I89">
            <v>1.2784324596068597E-2</v>
          </cell>
          <cell r="J89">
            <v>5.7327265370455072E-2</v>
          </cell>
          <cell r="K89">
            <v>0.3314167839128373</v>
          </cell>
          <cell r="L89">
            <v>0.44686978704254876</v>
          </cell>
        </row>
        <row r="90">
          <cell r="C90" t="str">
            <v>--</v>
          </cell>
        </row>
        <row r="91">
          <cell r="B91" t="str">
            <v xml:space="preserve">   Animal Health</v>
          </cell>
          <cell r="C91">
            <v>0.26133439479792064</v>
          </cell>
          <cell r="D91">
            <v>4.8855597170204046E-2</v>
          </cell>
          <cell r="E91">
            <v>0.26834153308998565</v>
          </cell>
          <cell r="F91">
            <v>0.17847799374860784</v>
          </cell>
          <cell r="G91">
            <v>9.9999999999999867E-2</v>
          </cell>
          <cell r="H91">
            <v>8.0000000000000293E-2</v>
          </cell>
          <cell r="I91">
            <v>6.5888413307703564E-2</v>
          </cell>
          <cell r="J91">
            <v>-0.23457019658113643</v>
          </cell>
          <cell r="K91">
            <v>5.5597331095601721E-2</v>
          </cell>
          <cell r="L91">
            <v>0.29035026674814912</v>
          </cell>
        </row>
        <row r="92">
          <cell r="B92" t="str">
            <v>Pre-tax margin</v>
          </cell>
          <cell r="C92" t="str">
            <v>--</v>
          </cell>
          <cell r="D92">
            <v>0.36883808684714653</v>
          </cell>
          <cell r="E92">
            <v>0.36265973249219652</v>
          </cell>
          <cell r="F92">
            <v>0.39315637139157589</v>
          </cell>
          <cell r="G92">
            <v>0.37663476718576411</v>
          </cell>
          <cell r="H92">
            <v>0.36496654603085166</v>
          </cell>
          <cell r="I92">
            <v>0.38207034418438063</v>
          </cell>
          <cell r="J92">
            <v>0.39400290101057062</v>
          </cell>
          <cell r="K92">
            <v>0.39991030037682868</v>
          </cell>
          <cell r="L92">
            <v>0.40257756561385377</v>
          </cell>
        </row>
        <row r="93">
          <cell r="B93" t="str">
            <v>Net income margin</v>
          </cell>
          <cell r="C93" t="str">
            <v>--</v>
          </cell>
          <cell r="D93">
            <v>0.28517195627521874</v>
          </cell>
          <cell r="E93">
            <v>0.28117857951219483</v>
          </cell>
          <cell r="F93">
            <v>0.30731586564094754</v>
          </cell>
          <cell r="G93">
            <v>0.2923577679458943</v>
          </cell>
          <cell r="H93">
            <v>0.28336074399317895</v>
          </cell>
          <cell r="I93">
            <v>0.29659683976607315</v>
          </cell>
          <cell r="J93">
            <v>0.30583403556599631</v>
          </cell>
          <cell r="K93">
            <v>0.3103955425485192</v>
          </cell>
          <cell r="L93">
            <v>0.31243327902138601</v>
          </cell>
        </row>
        <row r="94">
          <cell r="C94" t="str">
            <v>--</v>
          </cell>
        </row>
        <row r="95">
          <cell r="C95" t="str">
            <v>--</v>
          </cell>
        </row>
        <row r="96">
          <cell r="C96" t="str">
            <v>--</v>
          </cell>
        </row>
        <row r="97">
          <cell r="B97" t="str">
            <v xml:space="preserve">   Animal Health</v>
          </cell>
          <cell r="C97" t="str">
            <v>--</v>
          </cell>
          <cell r="D97">
            <v>4.8855597170204046E-2</v>
          </cell>
          <cell r="E97">
            <v>0.26834153308998565</v>
          </cell>
          <cell r="F97">
            <v>0.22187436653978687</v>
          </cell>
          <cell r="G97">
            <v>0.13005632360471076</v>
          </cell>
          <cell r="H97">
            <v>6.6502038966923527E-2</v>
          </cell>
          <cell r="I97">
            <v>5.1140595725155835E-2</v>
          </cell>
          <cell r="J97">
            <v>4.1234492813512214E-2</v>
          </cell>
          <cell r="K97">
            <v>3.5664534519171065E-2</v>
          </cell>
          <cell r="L97">
            <v>3.5688247210930335E-2</v>
          </cell>
        </row>
        <row r="98">
          <cell r="B98" t="str">
            <v xml:space="preserve">   Consumer Health</v>
          </cell>
          <cell r="C98" t="str">
            <v>--</v>
          </cell>
          <cell r="D98">
            <v>4.6885465505692725E-3</v>
          </cell>
          <cell r="E98">
            <v>1.4000000000000012E-2</v>
          </cell>
          <cell r="F98">
            <v>0.15581854043392496</v>
          </cell>
          <cell r="G98">
            <v>0.10295790671217286</v>
          </cell>
          <cell r="H98">
            <v>1.0015471892728334E-2</v>
          </cell>
          <cell r="I98">
            <v>2.4942759979983853E-2</v>
          </cell>
          <cell r="J98">
            <v>1.496714838932367E-2</v>
          </cell>
          <cell r="K98">
            <v>4.9917786651028084E-3</v>
          </cell>
          <cell r="L98">
            <v>5.0166544232337351E-3</v>
          </cell>
        </row>
        <row r="99">
          <cell r="C99" t="str">
            <v>--</v>
          </cell>
        </row>
        <row r="100">
          <cell r="C100" t="str">
            <v>--</v>
          </cell>
        </row>
        <row r="101">
          <cell r="B101" t="str">
            <v>Pre-tax profit</v>
          </cell>
          <cell r="C101" t="str">
            <v>--</v>
          </cell>
          <cell r="D101">
            <v>0.13850558003265268</v>
          </cell>
          <cell r="E101">
            <v>0.2877067536243274</v>
          </cell>
          <cell r="F101">
            <v>0.25988528191359506</v>
          </cell>
          <cell r="G101">
            <v>-7.5757797022485973E-2</v>
          </cell>
          <cell r="H101">
            <v>7.7269687196825476E-2</v>
          </cell>
          <cell r="I101">
            <v>7.8958181455333287E-2</v>
          </cell>
          <cell r="J101">
            <v>9.4530486642104616E-2</v>
          </cell>
          <cell r="K101">
            <v>5.7236921174491862E-2</v>
          </cell>
          <cell r="L101">
            <v>-0.13499220847389848</v>
          </cell>
        </row>
        <row r="102">
          <cell r="B102" t="str">
            <v>Sales of Products:</v>
          </cell>
          <cell r="C102" t="str">
            <v>--</v>
          </cell>
          <cell r="D102">
            <v>10</v>
          </cell>
          <cell r="E102">
            <v>14</v>
          </cell>
          <cell r="F102">
            <v>15</v>
          </cell>
          <cell r="G102">
            <v>17</v>
          </cell>
          <cell r="H102">
            <v>19</v>
          </cell>
          <cell r="I102">
            <v>21</v>
          </cell>
          <cell r="J102">
            <v>23</v>
          </cell>
          <cell r="K102">
            <v>5.7198725120925387E-2</v>
          </cell>
          <cell r="L102">
            <v>0.10228355392021737</v>
          </cell>
        </row>
        <row r="103">
          <cell r="C103">
            <v>10</v>
          </cell>
        </row>
        <row r="104">
          <cell r="C104">
            <v>7</v>
          </cell>
        </row>
        <row r="105">
          <cell r="B105" t="str">
            <v>Concentration of Pharmaceutical Revenues</v>
          </cell>
          <cell r="C105">
            <v>10</v>
          </cell>
          <cell r="D105">
            <v>10</v>
          </cell>
          <cell r="E105">
            <v>14</v>
          </cell>
          <cell r="F105">
            <v>16</v>
          </cell>
          <cell r="G105">
            <v>16</v>
          </cell>
          <cell r="H105">
            <v>16</v>
          </cell>
          <cell r="I105">
            <v>18</v>
          </cell>
          <cell r="J105">
            <v>20</v>
          </cell>
          <cell r="K105">
            <v>22</v>
          </cell>
          <cell r="L105">
            <v>3.9134751120216471E-2</v>
          </cell>
        </row>
        <row r="106">
          <cell r="C106">
            <v>7</v>
          </cell>
        </row>
        <row r="107">
          <cell r="C107">
            <v>0.26741582351965498</v>
          </cell>
        </row>
        <row r="108">
          <cell r="C108">
            <v>0.41594791839442691</v>
          </cell>
        </row>
        <row r="109">
          <cell r="C109" t="e">
            <v>#NULL!</v>
          </cell>
        </row>
        <row r="110">
          <cell r="C110" t="e">
            <v>#NULL!</v>
          </cell>
        </row>
        <row r="111">
          <cell r="C111" t="e">
            <v>#NULL!</v>
          </cell>
        </row>
        <row r="112">
          <cell r="C112" t="e">
            <v>#NULL!</v>
          </cell>
        </row>
        <row r="113">
          <cell r="B113" t="str">
            <v>Top Product</v>
          </cell>
          <cell r="C113" t="e">
            <v>#REF!</v>
          </cell>
          <cell r="D113" t="e">
            <v>#REF!</v>
          </cell>
          <cell r="E113" t="e">
            <v>#REF!</v>
          </cell>
          <cell r="F113" t="e">
            <v>#REF!</v>
          </cell>
          <cell r="G113" t="e">
            <v>#REF!</v>
          </cell>
          <cell r="H113" t="e">
            <v>#REF!</v>
          </cell>
          <cell r="I113" t="e">
            <v>#REF!</v>
          </cell>
          <cell r="J113" t="e">
            <v>#REF!</v>
          </cell>
          <cell r="K113" t="e">
            <v>#REF!</v>
          </cell>
          <cell r="L113" t="e">
            <v>#REF!</v>
          </cell>
        </row>
        <row r="114">
          <cell r="C114" t="e">
            <v>#REF!</v>
          </cell>
        </row>
        <row r="115">
          <cell r="C115" t="e">
            <v>#REF!</v>
          </cell>
        </row>
        <row r="116">
          <cell r="C116" t="e">
            <v>#REF!</v>
          </cell>
        </row>
        <row r="117">
          <cell r="C117" t="e">
            <v>#REF!</v>
          </cell>
        </row>
        <row r="120">
          <cell r="B120" t="str">
            <v>P&amp;L 2003-2005E ($millions)  (Assume $4.0 billion Cost Savings From PHA Merger)</v>
          </cell>
          <cell r="C120" t="str">
            <v>2001A</v>
          </cell>
          <cell r="D120" t="str">
            <v>2002A</v>
          </cell>
          <cell r="E120">
            <v>225</v>
          </cell>
          <cell r="F120">
            <v>400</v>
          </cell>
          <cell r="G120">
            <v>200</v>
          </cell>
          <cell r="H120" t="str">
            <v>2006E</v>
          </cell>
          <cell r="I120" t="str">
            <v>2007E</v>
          </cell>
          <cell r="J120" t="str">
            <v>2008E</v>
          </cell>
        </row>
        <row r="121">
          <cell r="C121" t="str">
            <v>2001A</v>
          </cell>
        </row>
        <row r="122">
          <cell r="B122" t="str">
            <v>COGS</v>
          </cell>
          <cell r="C122">
            <v>0.15826749990174116</v>
          </cell>
          <cell r="D122">
            <v>0.14186637607486602</v>
          </cell>
          <cell r="E122">
            <v>225</v>
          </cell>
          <cell r="F122">
            <v>400</v>
          </cell>
          <cell r="G122">
            <v>200</v>
          </cell>
          <cell r="H122">
            <v>0.14300000000000002</v>
          </cell>
          <cell r="I122">
            <v>0.16000000000000003</v>
          </cell>
          <cell r="J122">
            <v>0.1415495516427559</v>
          </cell>
          <cell r="K122">
            <v>0.16400000000000003</v>
          </cell>
        </row>
        <row r="123">
          <cell r="B123" t="str">
            <v>COGS ex. cost savings</v>
          </cell>
          <cell r="C123">
            <v>0.15826749990174116</v>
          </cell>
          <cell r="D123">
            <v>0.14186637607486602</v>
          </cell>
          <cell r="E123">
            <v>425</v>
          </cell>
          <cell r="F123">
            <v>1400</v>
          </cell>
          <cell r="G123">
            <v>700</v>
          </cell>
          <cell r="H123">
            <v>0</v>
          </cell>
          <cell r="I123">
            <v>0</v>
          </cell>
          <cell r="J123">
            <v>0</v>
          </cell>
          <cell r="K123" t="str">
            <v>2009E</v>
          </cell>
        </row>
        <row r="124">
          <cell r="C124">
            <v>0.15826749990174116</v>
          </cell>
        </row>
        <row r="125">
          <cell r="B125" t="str">
            <v>COGS ex. cost savings</v>
          </cell>
          <cell r="C125">
            <v>0.15826749990174116</v>
          </cell>
          <cell r="D125">
            <v>0.14186637607486602</v>
          </cell>
          <cell r="E125">
            <v>0.15838148068383268</v>
          </cell>
          <cell r="F125">
            <v>0.15046842866935792</v>
          </cell>
          <cell r="G125">
            <v>0.16587993089117409</v>
          </cell>
          <cell r="H125">
            <v>0.30200000000000005</v>
          </cell>
          <cell r="I125">
            <v>0.29400000000000004</v>
          </cell>
          <cell r="J125">
            <v>0.29320978554570865</v>
          </cell>
          <cell r="K125">
            <v>0.32000000000000006</v>
          </cell>
          <cell r="L125" t="str">
            <v>2010E</v>
          </cell>
        </row>
        <row r="126">
          <cell r="C126">
            <v>0</v>
          </cell>
        </row>
        <row r="127">
          <cell r="B127" t="str">
            <v xml:space="preserve">SG&amp;A </v>
          </cell>
          <cell r="C127">
            <v>0.34659434815076839</v>
          </cell>
          <cell r="D127">
            <v>0.34024744741959695</v>
          </cell>
          <cell r="E127">
            <v>0.33641403791471625</v>
          </cell>
          <cell r="F127">
            <v>0.32186381293320132</v>
          </cell>
          <cell r="G127">
            <v>0.31900000000000006</v>
          </cell>
          <cell r="H127">
            <v>0.31400000000000011</v>
          </cell>
          <cell r="I127">
            <v>0.30150000000000005</v>
          </cell>
          <cell r="J127">
            <v>0.29649999999999993</v>
          </cell>
          <cell r="K127">
            <v>0.29719999999999996</v>
          </cell>
          <cell r="L127" t="str">
            <v>2010E</v>
          </cell>
        </row>
        <row r="128">
          <cell r="C128">
            <v>0.34659434815076839</v>
          </cell>
        </row>
        <row r="129">
          <cell r="C129">
            <v>0.15240341154738041</v>
          </cell>
        </row>
        <row r="130">
          <cell r="B130" t="str">
            <v>R&amp;D ex. Cost savings</v>
          </cell>
          <cell r="C130">
            <v>0.15240341154738041</v>
          </cell>
          <cell r="D130">
            <v>0.1516332746932991</v>
          </cell>
          <cell r="E130">
            <v>0.1618558264246964</v>
          </cell>
          <cell r="F130">
            <v>0.14888795795567064</v>
          </cell>
          <cell r="G130">
            <v>0.15543996544558705</v>
          </cell>
          <cell r="H130">
            <v>0.14700000000000002</v>
          </cell>
          <cell r="I130">
            <v>0.13770000000000002</v>
          </cell>
          <cell r="J130">
            <v>0.1358</v>
          </cell>
          <cell r="K130">
            <v>0.13600000000000001</v>
          </cell>
          <cell r="L130">
            <v>0</v>
          </cell>
        </row>
        <row r="131">
          <cell r="C131">
            <v>0.15240341154738041</v>
          </cell>
        </row>
        <row r="132">
          <cell r="C132">
            <v>0.15240341154738041</v>
          </cell>
        </row>
        <row r="133">
          <cell r="C133">
            <v>6449</v>
          </cell>
        </row>
        <row r="134">
          <cell r="C134">
            <v>6449</v>
          </cell>
        </row>
        <row r="135">
          <cell r="C135">
            <v>3582</v>
          </cell>
        </row>
        <row r="136">
          <cell r="C136">
            <v>551</v>
          </cell>
        </row>
        <row r="137">
          <cell r="C137">
            <v>604</v>
          </cell>
        </row>
        <row r="138">
          <cell r="C138">
            <v>284</v>
          </cell>
        </row>
        <row r="139">
          <cell r="C139">
            <v>0</v>
          </cell>
        </row>
        <row r="140">
          <cell r="C140">
            <v>0</v>
          </cell>
        </row>
        <row r="141">
          <cell r="C141" t="str">
            <v>_2001</v>
          </cell>
        </row>
        <row r="142">
          <cell r="C142" t="str">
            <v>2001-fy</v>
          </cell>
        </row>
        <row r="143">
          <cell r="C143">
            <v>323</v>
          </cell>
        </row>
        <row r="144">
          <cell r="C144">
            <v>149</v>
          </cell>
        </row>
        <row r="145">
          <cell r="C145">
            <v>0</v>
          </cell>
        </row>
        <row r="146">
          <cell r="C146">
            <v>0</v>
          </cell>
        </row>
        <row r="147">
          <cell r="C147">
            <v>0</v>
          </cell>
        </row>
        <row r="148">
          <cell r="C148">
            <v>0</v>
          </cell>
        </row>
        <row r="149">
          <cell r="C149">
            <v>0</v>
          </cell>
        </row>
        <row r="150">
          <cell r="C150">
            <v>0</v>
          </cell>
        </row>
        <row r="151">
          <cell r="C151">
            <v>1507</v>
          </cell>
        </row>
        <row r="152">
          <cell r="C152">
            <v>1067</v>
          </cell>
        </row>
        <row r="153">
          <cell r="C153">
            <v>365</v>
          </cell>
        </row>
        <row r="154">
          <cell r="C154">
            <v>0</v>
          </cell>
        </row>
        <row r="155">
          <cell r="C155">
            <v>0</v>
          </cell>
        </row>
        <row r="156">
          <cell r="C156">
            <v>1518</v>
          </cell>
        </row>
        <row r="157">
          <cell r="C157">
            <v>0</v>
          </cell>
        </row>
        <row r="158">
          <cell r="C158">
            <v>2004</v>
          </cell>
        </row>
        <row r="159">
          <cell r="C159">
            <v>0</v>
          </cell>
        </row>
        <row r="160">
          <cell r="C160">
            <v>10862</v>
          </cell>
        </row>
        <row r="161">
          <cell r="C161">
            <v>50</v>
          </cell>
        </row>
        <row r="162">
          <cell r="C162">
            <v>5</v>
          </cell>
        </row>
        <row r="163">
          <cell r="C163">
            <v>323</v>
          </cell>
        </row>
        <row r="164">
          <cell r="C164">
            <v>2723</v>
          </cell>
        </row>
        <row r="165">
          <cell r="C165">
            <v>10</v>
          </cell>
        </row>
        <row r="166">
          <cell r="C166">
            <v>0</v>
          </cell>
        </row>
        <row r="167">
          <cell r="C167">
            <v>4588</v>
          </cell>
        </row>
        <row r="168">
          <cell r="C168">
            <v>0</v>
          </cell>
        </row>
        <row r="169">
          <cell r="C169">
            <v>0</v>
          </cell>
        </row>
        <row r="170">
          <cell r="C170">
            <v>721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
      <sheetName val="BS"/>
      <sheetName val="CF"/>
      <sheetName val="Exhibit pipe1"/>
      <sheetName val="Exhibit pipe2"/>
      <sheetName val="Exhibit pipe3"/>
      <sheetName val="DCF"/>
      <sheetName val="ESO"/>
      <sheetName val="old pipe, dont use"/>
      <sheetName val="__FDSCACHE__"/>
      <sheetName val="valuation"/>
      <sheetName val="OLD dont use"/>
      <sheetName val="EQRP"/>
      <sheetName val="Valuation Model"/>
      <sheetName val="pipeline_simulation"/>
      <sheetName val="Val_drug"/>
      <sheetName val="Val_royalty"/>
    </sheetNames>
    <sheetDataSet>
      <sheetData sheetId="0" refreshError="1">
        <row r="8">
          <cell r="AE8">
            <v>0</v>
          </cell>
          <cell r="AF8">
            <v>0</v>
          </cell>
          <cell r="AG8">
            <v>0</v>
          </cell>
          <cell r="AH8">
            <v>0</v>
          </cell>
        </row>
        <row r="9">
          <cell r="U9">
            <v>29.562000000000001</v>
          </cell>
          <cell r="AB9">
            <v>24.523999999999997</v>
          </cell>
          <cell r="AI9">
            <v>22.1</v>
          </cell>
          <cell r="AP9">
            <v>12.818</v>
          </cell>
          <cell r="AQ9">
            <v>-0.42000000000000004</v>
          </cell>
          <cell r="AW9">
            <v>3.56</v>
          </cell>
          <cell r="AX9">
            <v>-0.72226556405055398</v>
          </cell>
        </row>
        <row r="10">
          <cell r="Q10">
            <v>0</v>
          </cell>
          <cell r="R10">
            <v>0</v>
          </cell>
          <cell r="T10">
            <v>0</v>
          </cell>
          <cell r="AB10">
            <v>0</v>
          </cell>
          <cell r="AE10">
            <v>0</v>
          </cell>
          <cell r="AF10">
            <v>0</v>
          </cell>
          <cell r="AG10">
            <v>0</v>
          </cell>
          <cell r="AH10">
            <v>0</v>
          </cell>
          <cell r="AI10">
            <v>0</v>
          </cell>
          <cell r="AP10">
            <v>2.5680000000000001</v>
          </cell>
          <cell r="AW10">
            <v>2.56</v>
          </cell>
        </row>
        <row r="11">
          <cell r="Q11">
            <v>0</v>
          </cell>
          <cell r="R11">
            <v>0</v>
          </cell>
          <cell r="AB11">
            <v>0</v>
          </cell>
          <cell r="AE11">
            <v>0</v>
          </cell>
          <cell r="AF11">
            <v>0</v>
          </cell>
          <cell r="AG11">
            <v>0</v>
          </cell>
          <cell r="AH11">
            <v>0</v>
          </cell>
          <cell r="AI11">
            <v>0</v>
          </cell>
          <cell r="AP11">
            <v>0</v>
          </cell>
          <cell r="AW11">
            <v>1</v>
          </cell>
        </row>
        <row r="12">
          <cell r="AB12">
            <v>0</v>
          </cell>
          <cell r="AE12">
            <v>4.6580000000000004</v>
          </cell>
          <cell r="AF12">
            <v>-7.4</v>
          </cell>
          <cell r="AG12">
            <v>-1.9</v>
          </cell>
          <cell r="AH12">
            <v>4.6580000000000004</v>
          </cell>
          <cell r="AI12">
            <v>1.6000000000000902E-2</v>
          </cell>
          <cell r="AP12">
            <v>8.25</v>
          </cell>
          <cell r="AW12">
            <v>0</v>
          </cell>
        </row>
        <row r="13">
          <cell r="I13">
            <v>36.46</v>
          </cell>
          <cell r="J13">
            <v>6.2919999999999998</v>
          </cell>
          <cell r="K13">
            <v>1.272</v>
          </cell>
          <cell r="L13">
            <v>14.827999999999999</v>
          </cell>
          <cell r="M13">
            <v>6.5389999999999997</v>
          </cell>
          <cell r="N13">
            <v>2.9660000000000002</v>
          </cell>
          <cell r="O13">
            <v>25.604999999999997</v>
          </cell>
          <cell r="P13">
            <v>-0.29772353263850804</v>
          </cell>
          <cell r="Q13">
            <v>1.9910000000000001</v>
          </cell>
          <cell r="R13">
            <v>13.9</v>
          </cell>
          <cell r="S13">
            <v>11.279</v>
          </cell>
          <cell r="T13">
            <v>2.3919999999999999</v>
          </cell>
          <cell r="U13">
            <v>29.562000000000001</v>
          </cell>
          <cell r="V13">
            <v>0.15454012888107815</v>
          </cell>
          <cell r="X13">
            <v>1.4219999999999999</v>
          </cell>
          <cell r="Y13">
            <v>14.798</v>
          </cell>
          <cell r="Z13">
            <v>7.4420000000000002</v>
          </cell>
          <cell r="AA13">
            <v>0.86199999999999999</v>
          </cell>
          <cell r="AB13">
            <v>24.523999999999997</v>
          </cell>
          <cell r="AE13">
            <v>0.64200000000000002</v>
          </cell>
          <cell r="AF13">
            <v>12.7</v>
          </cell>
          <cell r="AG13">
            <v>8.1</v>
          </cell>
          <cell r="AH13">
            <v>0.64200000000000002</v>
          </cell>
          <cell r="AI13">
            <v>22.084</v>
          </cell>
          <cell r="AP13">
            <v>2</v>
          </cell>
        </row>
        <row r="14">
          <cell r="I14">
            <v>36.46</v>
          </cell>
          <cell r="J14" t="e">
            <v>#REF!</v>
          </cell>
          <cell r="K14" t="e">
            <v>#REF!</v>
          </cell>
          <cell r="L14" t="e">
            <v>#REF!</v>
          </cell>
          <cell r="M14" t="e">
            <v>#REF!</v>
          </cell>
          <cell r="N14" t="e">
            <v>#REF!</v>
          </cell>
          <cell r="O14">
            <v>25.604999999999997</v>
          </cell>
          <cell r="P14">
            <v>-0.29772353263850804</v>
          </cell>
          <cell r="Q14">
            <v>1.9910000000000001</v>
          </cell>
          <cell r="R14" t="e">
            <v>#REF!</v>
          </cell>
          <cell r="S14">
            <v>11.279</v>
          </cell>
          <cell r="T14">
            <v>2.3919999999999999</v>
          </cell>
          <cell r="U14">
            <v>29.562000000000001</v>
          </cell>
          <cell r="V14">
            <v>0.15454012888107815</v>
          </cell>
          <cell r="X14">
            <v>1.4219999999999999</v>
          </cell>
          <cell r="Y14">
            <v>14.798</v>
          </cell>
          <cell r="Z14">
            <v>7.4420000000000002</v>
          </cell>
          <cell r="AA14">
            <v>0.86199999999999999</v>
          </cell>
          <cell r="AB14">
            <v>24.523999999999997</v>
          </cell>
          <cell r="AE14">
            <v>5.3000000000000007</v>
          </cell>
          <cell r="AF14">
            <v>5.2999999999999989</v>
          </cell>
          <cell r="AG14">
            <v>6.1999999999999993</v>
          </cell>
          <cell r="AH14">
            <v>5.3000000000000007</v>
          </cell>
          <cell r="AI14">
            <v>22.1</v>
          </cell>
          <cell r="AP14">
            <v>12.818</v>
          </cell>
          <cell r="AQ14">
            <v>-0.42000000000000004</v>
          </cell>
          <cell r="AW14">
            <v>3.56</v>
          </cell>
          <cell r="AX14">
            <v>-0.72226556405055398</v>
          </cell>
        </row>
        <row r="18">
          <cell r="AI18">
            <v>80.355000000000004</v>
          </cell>
          <cell r="AP18">
            <v>118.47600000000001</v>
          </cell>
          <cell r="AQ18">
            <v>0.47440731752846754</v>
          </cell>
          <cell r="AW18">
            <v>164.42409647979142</v>
          </cell>
          <cell r="AX18">
            <v>0.3878261966963048</v>
          </cell>
        </row>
        <row r="19">
          <cell r="AI19">
            <v>11.1</v>
          </cell>
          <cell r="AP19">
            <v>27.8</v>
          </cell>
          <cell r="AQ19">
            <v>1.5045045045045047</v>
          </cell>
          <cell r="AW19">
            <v>31.971903520208599</v>
          </cell>
          <cell r="AX19">
            <v>0.15006847194994966</v>
          </cell>
        </row>
        <row r="20">
          <cell r="I20">
            <v>40.472000000000001</v>
          </cell>
          <cell r="J20">
            <v>0.22720519118226767</v>
          </cell>
          <cell r="K20">
            <v>12.372</v>
          </cell>
          <cell r="L20">
            <v>11.697999999999999</v>
          </cell>
          <cell r="M20">
            <v>10.654</v>
          </cell>
          <cell r="N20">
            <v>11.416</v>
          </cell>
          <cell r="O20">
            <v>46.14</v>
          </cell>
          <cell r="P20">
            <v>0.14004744020557425</v>
          </cell>
          <cell r="Q20">
            <v>10.855</v>
          </cell>
          <cell r="R20">
            <v>11.5</v>
          </cell>
          <cell r="S20">
            <v>12.332000000000001</v>
          </cell>
          <cell r="T20">
            <v>12.317</v>
          </cell>
          <cell r="U20">
            <v>47.003999999999998</v>
          </cell>
          <cell r="V20">
            <v>1.8725617685305451E-2</v>
          </cell>
          <cell r="X20">
            <v>13.374000000000001</v>
          </cell>
          <cell r="Y20">
            <v>14.896000000000001</v>
          </cell>
          <cell r="Z20">
            <v>15.308</v>
          </cell>
          <cell r="AA20">
            <v>17</v>
          </cell>
          <cell r="AB20">
            <v>60.578000000000003</v>
          </cell>
          <cell r="AE20">
            <v>19.513999999999999</v>
          </cell>
          <cell r="AF20">
            <v>21.722999999999999</v>
          </cell>
          <cell r="AG20">
            <v>23.471</v>
          </cell>
          <cell r="AH20">
            <v>26.747</v>
          </cell>
          <cell r="AI20">
            <v>91.454999999999998</v>
          </cell>
          <cell r="AP20">
            <v>146.27600000000001</v>
          </cell>
          <cell r="AQ20">
            <v>0.5994314143567876</v>
          </cell>
          <cell r="AW20">
            <v>196.39600000000002</v>
          </cell>
          <cell r="AX20">
            <v>0.34263994093357764</v>
          </cell>
        </row>
        <row r="21">
          <cell r="AG21">
            <v>134.05000000000001</v>
          </cell>
          <cell r="AI21">
            <v>134.05000000000001</v>
          </cell>
        </row>
        <row r="22">
          <cell r="I22">
            <v>9.6389999999999993</v>
          </cell>
          <cell r="J22">
            <v>0.10222984562607196</v>
          </cell>
          <cell r="K22">
            <v>2.3889999999999998</v>
          </cell>
          <cell r="L22">
            <v>2.8980000000000001</v>
          </cell>
          <cell r="M22">
            <v>2.6309999999999998</v>
          </cell>
          <cell r="N22">
            <v>3.1949999999999998</v>
          </cell>
          <cell r="O22">
            <v>11.113</v>
          </cell>
          <cell r="P22">
            <v>0.15292042743023138</v>
          </cell>
          <cell r="Q22">
            <v>3.6850000000000001</v>
          </cell>
          <cell r="R22">
            <v>3.4</v>
          </cell>
          <cell r="S22">
            <v>3.4809999999999999</v>
          </cell>
          <cell r="T22">
            <v>3.8340000000000001</v>
          </cell>
          <cell r="U22">
            <v>14.399999999999999</v>
          </cell>
          <cell r="V22">
            <v>0.29577971744803366</v>
          </cell>
          <cell r="X22">
            <v>2.786</v>
          </cell>
          <cell r="Y22">
            <v>4.181</v>
          </cell>
          <cell r="Z22">
            <v>3.8690000000000002</v>
          </cell>
          <cell r="AA22">
            <v>4</v>
          </cell>
          <cell r="AB22">
            <v>14.836</v>
          </cell>
          <cell r="AE22">
            <v>6.016</v>
          </cell>
          <cell r="AF22">
            <v>6.5039999999999996</v>
          </cell>
          <cell r="AG22">
            <v>6.274</v>
          </cell>
          <cell r="AH22">
            <v>8.2889999999999997</v>
          </cell>
          <cell r="AI22">
            <v>27.082999999999998</v>
          </cell>
          <cell r="AP22">
            <v>38.713999999999999</v>
          </cell>
          <cell r="AQ22">
            <v>0.42945759332422551</v>
          </cell>
          <cell r="AW22">
            <v>51.202999999999996</v>
          </cell>
          <cell r="AX22">
            <v>0.3225964767267655</v>
          </cell>
        </row>
        <row r="23">
          <cell r="I23">
            <v>50.111000000000004</v>
          </cell>
          <cell r="J23">
            <v>0.20101140830217634</v>
          </cell>
          <cell r="K23">
            <v>14.760999999999999</v>
          </cell>
          <cell r="L23">
            <v>14.595999999999998</v>
          </cell>
          <cell r="M23">
            <v>13.285</v>
          </cell>
          <cell r="N23">
            <v>14.611000000000001</v>
          </cell>
          <cell r="O23">
            <v>57.253</v>
          </cell>
          <cell r="P23">
            <v>0.14252359761329836</v>
          </cell>
          <cell r="Q23">
            <v>14.540000000000001</v>
          </cell>
          <cell r="R23">
            <v>14.9</v>
          </cell>
          <cell r="S23">
            <v>15.813000000000001</v>
          </cell>
          <cell r="T23">
            <v>16.151</v>
          </cell>
          <cell r="U23">
            <v>61.403999999999996</v>
          </cell>
          <cell r="V23">
            <v>7.2502750947548433E-2</v>
          </cell>
          <cell r="X23">
            <v>16.16</v>
          </cell>
          <cell r="Y23">
            <v>19.077000000000002</v>
          </cell>
          <cell r="Z23">
            <v>19.177</v>
          </cell>
          <cell r="AA23">
            <v>21</v>
          </cell>
          <cell r="AB23">
            <v>75.414000000000001</v>
          </cell>
          <cell r="AE23">
            <v>25.53</v>
          </cell>
          <cell r="AF23">
            <v>28.226999999999997</v>
          </cell>
          <cell r="AG23">
            <v>163.79500000000002</v>
          </cell>
          <cell r="AH23">
            <v>35.036000000000001</v>
          </cell>
          <cell r="AI23">
            <v>252.58800000000002</v>
          </cell>
          <cell r="AP23">
            <v>184.99</v>
          </cell>
          <cell r="AQ23">
            <v>-0.26762158138945635</v>
          </cell>
          <cell r="AW23">
            <v>247.59900000000002</v>
          </cell>
          <cell r="AX23">
            <v>0.33844532136872263</v>
          </cell>
        </row>
        <row r="24">
          <cell r="I24">
            <v>-13.651000000000003</v>
          </cell>
          <cell r="J24" t="e">
            <v>#REF!</v>
          </cell>
          <cell r="K24" t="e">
            <v>#REF!</v>
          </cell>
          <cell r="L24" t="e">
            <v>#REF!</v>
          </cell>
          <cell r="M24" t="e">
            <v>#REF!</v>
          </cell>
          <cell r="N24" t="e">
            <v>#REF!</v>
          </cell>
          <cell r="O24" t="e">
            <v>#REF!</v>
          </cell>
          <cell r="P24" t="e">
            <v>#REF!</v>
          </cell>
          <cell r="Q24">
            <v>-12.549000000000001</v>
          </cell>
          <cell r="R24" t="e">
            <v>#REF!</v>
          </cell>
          <cell r="S24">
            <v>-4.5340000000000007</v>
          </cell>
          <cell r="T24">
            <v>-13.759</v>
          </cell>
          <cell r="U24">
            <v>-31.841999999999995</v>
          </cell>
          <cell r="X24">
            <v>-14.738</v>
          </cell>
          <cell r="Y24">
            <v>-4.2790000000000017</v>
          </cell>
          <cell r="Z24">
            <v>-11.734999999999999</v>
          </cell>
          <cell r="AA24">
            <v>-20.138000000000002</v>
          </cell>
          <cell r="AB24">
            <v>-50.89</v>
          </cell>
          <cell r="AE24">
            <v>-20.23</v>
          </cell>
          <cell r="AF24">
            <v>-22.927</v>
          </cell>
          <cell r="AG24">
            <v>-157.59500000000003</v>
          </cell>
          <cell r="AH24">
            <v>-29.736000000000001</v>
          </cell>
          <cell r="AI24">
            <v>-230.48800000000003</v>
          </cell>
          <cell r="AP24">
            <v>-172.172</v>
          </cell>
          <cell r="AQ24">
            <v>-0.25301100274200838</v>
          </cell>
          <cell r="AW24">
            <v>-244.03900000000002</v>
          </cell>
          <cell r="AX24">
            <v>0.41741398136746977</v>
          </cell>
        </row>
        <row r="25">
          <cell r="I25">
            <v>6.0919999999999996</v>
          </cell>
          <cell r="J25">
            <v>0.52109862671660423</v>
          </cell>
          <cell r="K25">
            <v>1.448</v>
          </cell>
          <cell r="L25">
            <v>2.8860000000000001</v>
          </cell>
          <cell r="M25">
            <v>3.0070000000000001</v>
          </cell>
          <cell r="N25">
            <v>3.1579999999999999</v>
          </cell>
          <cell r="O25">
            <v>10.499999999999998</v>
          </cell>
          <cell r="P25">
            <v>0.72357189757058427</v>
          </cell>
          <cell r="Q25">
            <v>2.8159999999999998</v>
          </cell>
          <cell r="R25">
            <v>2.8</v>
          </cell>
          <cell r="S25">
            <v>2.609</v>
          </cell>
          <cell r="T25">
            <v>2.8380000000000001</v>
          </cell>
          <cell r="U25">
            <v>11.062999999999999</v>
          </cell>
          <cell r="V25">
            <v>5.3619047619047677E-2</v>
          </cell>
          <cell r="X25">
            <v>2.4849999999999999</v>
          </cell>
          <cell r="Y25">
            <v>2.2559999999999998</v>
          </cell>
          <cell r="Z25">
            <v>2.0219999999999998</v>
          </cell>
          <cell r="AA25">
            <v>2.2000000000000002</v>
          </cell>
          <cell r="AB25">
            <v>8.963000000000001</v>
          </cell>
          <cell r="AE25">
            <v>6.8079999999999998</v>
          </cell>
          <cell r="AF25">
            <v>6.8170000000000002</v>
          </cell>
          <cell r="AG25">
            <v>8.6189999999999998</v>
          </cell>
          <cell r="AH25">
            <v>17.899999999999999</v>
          </cell>
          <cell r="AI25">
            <v>40.143999999999998</v>
          </cell>
          <cell r="AP25">
            <v>105.828</v>
          </cell>
          <cell r="AQ25">
            <v>1.636209645277003</v>
          </cell>
          <cell r="AW25">
            <v>82.072508223111043</v>
          </cell>
          <cell r="AX25">
            <v>-0.22447265163178898</v>
          </cell>
        </row>
        <row r="26">
          <cell r="AP26">
            <v>-24.6</v>
          </cell>
          <cell r="AW26">
            <v>-23.763500000000001</v>
          </cell>
        </row>
        <row r="27">
          <cell r="U27">
            <v>-2.226</v>
          </cell>
          <cell r="AB27">
            <v>0</v>
          </cell>
          <cell r="AI27">
            <v>-44.957000000000001</v>
          </cell>
          <cell r="AP27">
            <v>-26.207999999999998</v>
          </cell>
        </row>
        <row r="28">
          <cell r="R28">
            <v>-0.4</v>
          </cell>
          <cell r="S28">
            <v>-0.20200000000000001</v>
          </cell>
          <cell r="T28">
            <v>-1.6240000000000001</v>
          </cell>
          <cell r="U28">
            <v>-2.226</v>
          </cell>
        </row>
        <row r="29">
          <cell r="AP29">
            <v>-22.314</v>
          </cell>
        </row>
        <row r="30">
          <cell r="AH30">
            <v>5.8609999999999998</v>
          </cell>
          <cell r="AI30">
            <v>5.8609999999999998</v>
          </cell>
        </row>
        <row r="31">
          <cell r="AE31">
            <v>-50.817999999999998</v>
          </cell>
          <cell r="AI31">
            <v>-50.817999999999998</v>
          </cell>
          <cell r="AP31">
            <v>-3.8940000000000001</v>
          </cell>
        </row>
        <row r="32">
          <cell r="I32">
            <v>-7.5590000000000037</v>
          </cell>
          <cell r="J32" t="e">
            <v>#REF!</v>
          </cell>
          <cell r="K32" t="e">
            <v>#REF!</v>
          </cell>
          <cell r="L32" t="e">
            <v>#REF!</v>
          </cell>
          <cell r="M32" t="e">
            <v>#REF!</v>
          </cell>
          <cell r="N32" t="e">
            <v>#REF!</v>
          </cell>
          <cell r="O32" t="e">
            <v>#REF!</v>
          </cell>
          <cell r="P32" t="e">
            <v>#REF!</v>
          </cell>
          <cell r="Q32">
            <v>-9.7330000000000005</v>
          </cell>
          <cell r="R32" t="e">
            <v>#REF!</v>
          </cell>
          <cell r="S32">
            <v>-2.1270000000000007</v>
          </cell>
          <cell r="T32">
            <v>-12.545</v>
          </cell>
          <cell r="U32">
            <v>-23.004999999999995</v>
          </cell>
          <cell r="X32">
            <v>-12.253</v>
          </cell>
          <cell r="Y32">
            <v>-2.0230000000000019</v>
          </cell>
          <cell r="Z32">
            <v>-9.7129999999999992</v>
          </cell>
          <cell r="AA32">
            <v>-17.938000000000002</v>
          </cell>
          <cell r="AB32">
            <v>-41.927</v>
          </cell>
          <cell r="AE32">
            <v>-64.239999999999995</v>
          </cell>
          <cell r="AF32">
            <v>-16.11</v>
          </cell>
          <cell r="AG32">
            <v>-148.97600000000003</v>
          </cell>
          <cell r="AH32">
            <v>-5.9750000000000023</v>
          </cell>
          <cell r="AI32">
            <v>-235.30100000000002</v>
          </cell>
          <cell r="AP32">
            <v>-117.15199999999999</v>
          </cell>
          <cell r="AQ32">
            <v>-0.5021185630320314</v>
          </cell>
          <cell r="AW32">
            <v>-185.72999177688897</v>
          </cell>
          <cell r="AX32">
            <v>0.58537619312422318</v>
          </cell>
        </row>
        <row r="33">
          <cell r="AI33">
            <v>-8.3000000000000007</v>
          </cell>
        </row>
        <row r="34">
          <cell r="I34">
            <v>0.2</v>
          </cell>
          <cell r="J34">
            <v>-1.1211387038158691</v>
          </cell>
          <cell r="K34">
            <v>0</v>
          </cell>
          <cell r="L34">
            <v>0.245</v>
          </cell>
          <cell r="M34">
            <v>0</v>
          </cell>
          <cell r="N34">
            <v>0</v>
          </cell>
          <cell r="O34">
            <v>0.245</v>
          </cell>
          <cell r="P34">
            <v>0.22499999999999987</v>
          </cell>
          <cell r="Q34">
            <v>0</v>
          </cell>
          <cell r="R34">
            <v>0.2</v>
          </cell>
          <cell r="S34">
            <v>0</v>
          </cell>
          <cell r="T34">
            <v>0</v>
          </cell>
          <cell r="U34">
            <v>-0.2</v>
          </cell>
          <cell r="X34">
            <v>0</v>
          </cell>
          <cell r="Y34">
            <v>0.22500000000000001</v>
          </cell>
          <cell r="AB34">
            <v>-0.22500000000000001</v>
          </cell>
          <cell r="AF34">
            <v>0.22500000000000001</v>
          </cell>
          <cell r="AI34">
            <v>-0.22500000000000001</v>
          </cell>
        </row>
        <row r="35">
          <cell r="I35">
            <v>-7.7590000000000039</v>
          </cell>
          <cell r="J35" t="e">
            <v>#REF!</v>
          </cell>
          <cell r="K35" t="e">
            <v>#REF!</v>
          </cell>
          <cell r="L35" t="e">
            <v>#REF!</v>
          </cell>
          <cell r="M35" t="e">
            <v>#REF!</v>
          </cell>
          <cell r="N35" t="e">
            <v>#REF!</v>
          </cell>
          <cell r="O35" t="e">
            <v>#REF!</v>
          </cell>
          <cell r="P35" t="e">
            <v>#REF!</v>
          </cell>
          <cell r="Q35">
            <v>-9.7330000000000005</v>
          </cell>
          <cell r="R35" t="e">
            <v>#REF!</v>
          </cell>
          <cell r="S35">
            <v>-2.1270000000000007</v>
          </cell>
          <cell r="T35">
            <v>-12.545</v>
          </cell>
          <cell r="U35">
            <v>-23.204999999999995</v>
          </cell>
          <cell r="X35">
            <v>-12.253</v>
          </cell>
          <cell r="Y35">
            <v>-2.248000000000002</v>
          </cell>
          <cell r="Z35">
            <v>-9.7129999999999992</v>
          </cell>
          <cell r="AA35">
            <v>-17.938000000000002</v>
          </cell>
          <cell r="AB35">
            <v>-42.152000000000001</v>
          </cell>
          <cell r="AE35">
            <v>-64.239999999999995</v>
          </cell>
          <cell r="AF35">
            <v>-16.335000000000001</v>
          </cell>
          <cell r="AG35">
            <v>-148.97600000000003</v>
          </cell>
          <cell r="AH35">
            <v>-5.9750000000000023</v>
          </cell>
          <cell r="AI35">
            <v>-243.82600000000002</v>
          </cell>
          <cell r="AP35">
            <v>-117.15199999999999</v>
          </cell>
          <cell r="AQ35">
            <v>-0.5195262195171968</v>
          </cell>
          <cell r="AW35">
            <v>-185.72999177688897</v>
          </cell>
          <cell r="AX35">
            <v>0.58537619312422318</v>
          </cell>
        </row>
        <row r="36">
          <cell r="I36">
            <v>-0.41647879763821816</v>
          </cell>
          <cell r="K36" t="e">
            <v>#REF!</v>
          </cell>
          <cell r="L36" t="e">
            <v>#REF!</v>
          </cell>
          <cell r="M36" t="e">
            <v>#REF!</v>
          </cell>
          <cell r="N36" t="e">
            <v>#REF!</v>
          </cell>
          <cell r="O36" t="e">
            <v>#REF!</v>
          </cell>
          <cell r="P36" t="e">
            <v>#REF!</v>
          </cell>
          <cell r="Q36">
            <v>-0.10889460729469681</v>
          </cell>
          <cell r="R36" t="e">
            <v>#REF!</v>
          </cell>
          <cell r="S36">
            <v>-2.3738839285714294E-2</v>
          </cell>
          <cell r="T36">
            <v>-0.1387721238938053</v>
          </cell>
          <cell r="U36">
            <v>-0.25856593682099271</v>
          </cell>
          <cell r="X36">
            <v>-0.13420003504775257</v>
          </cell>
          <cell r="Y36">
            <v>-2.450937636284346E-2</v>
          </cell>
          <cell r="Z36">
            <v>-0.10534250140991713</v>
          </cell>
          <cell r="AA36">
            <v>-0.19288172043010754</v>
          </cell>
          <cell r="AB36">
            <v>-0.45789022018966508</v>
          </cell>
          <cell r="AE36">
            <v>-0.62354682480425005</v>
          </cell>
          <cell r="AF36">
            <v>-0.14950428278745614</v>
          </cell>
          <cell r="AG36">
            <v>-2.5870749542961615</v>
          </cell>
          <cell r="AH36">
            <v>-4.9502899751449891E-2</v>
          </cell>
          <cell r="AI36">
            <v>-2.2046516797774225</v>
          </cell>
          <cell r="AP36">
            <v>-0.92278720695335659</v>
          </cell>
          <cell r="AQ36">
            <v>-0.58143628065249775</v>
          </cell>
          <cell r="AW36">
            <v>-1.4406334584730145</v>
          </cell>
          <cell r="AX36">
            <v>0.56117623610037004</v>
          </cell>
        </row>
        <row r="38">
          <cell r="I38">
            <v>18.63</v>
          </cell>
          <cell r="J38">
            <v>0.18545385129330905</v>
          </cell>
          <cell r="K38">
            <v>19.466999999999999</v>
          </cell>
          <cell r="L38">
            <v>22.722999999999999</v>
          </cell>
          <cell r="M38">
            <v>22.228000000000002</v>
          </cell>
          <cell r="N38">
            <v>22.308</v>
          </cell>
          <cell r="O38">
            <v>21.525283000000002</v>
          </cell>
          <cell r="P38">
            <v>0.15540971551261418</v>
          </cell>
          <cell r="Q38">
            <v>89.38</v>
          </cell>
          <cell r="R38">
            <v>89.6</v>
          </cell>
          <cell r="S38">
            <v>89.6</v>
          </cell>
          <cell r="T38">
            <v>90.4</v>
          </cell>
          <cell r="U38">
            <v>89.745000000000005</v>
          </cell>
          <cell r="V38">
            <v>3.1692831634315795</v>
          </cell>
          <cell r="X38">
            <v>91.304000000000002</v>
          </cell>
          <cell r="Y38">
            <v>91.72</v>
          </cell>
          <cell r="Z38">
            <v>92.203999999999994</v>
          </cell>
          <cell r="AA38">
            <v>93</v>
          </cell>
          <cell r="AB38">
            <v>92.057000000000002</v>
          </cell>
          <cell r="AE38">
            <v>103.023538</v>
          </cell>
          <cell r="AF38">
            <v>109.261084</v>
          </cell>
          <cell r="AG38">
            <v>109.4</v>
          </cell>
          <cell r="AH38">
            <v>120.7</v>
          </cell>
          <cell r="AI38">
            <v>110.59615549999999</v>
          </cell>
          <cell r="AP38">
            <v>126.95451249999999</v>
          </cell>
          <cell r="AQ38">
            <v>0.14791072009731843</v>
          </cell>
          <cell r="AW38">
            <v>128.92244774999998</v>
          </cell>
          <cell r="AX38">
            <v>1.5501105169459573E-2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Quarterly - 2003"/>
      <sheetName val="Quarterly - 2004"/>
      <sheetName val="MS Est vs Rpt"/>
      <sheetName val="Annual"/>
      <sheetName val="Balance Sheet "/>
      <sheetName val="Cashflow"/>
      <sheetName val="Tarceva-US"/>
      <sheetName val="Tarceva-Europe"/>
      <sheetName val="Tarceva-Japan"/>
      <sheetName val="Changes to Model"/>
      <sheetName val="Pipeline Chart"/>
      <sheetName val="Tarceva Trials"/>
      <sheetName val="Milestones"/>
      <sheetName val="Snap"/>
      <sheetName val="NY UPLOAD shadow"/>
      <sheetName val="mStartup"/>
      <sheetName val="MainCode"/>
      <sheetName val="mwareTaxoPres"/>
      <sheetName val="LOG"/>
      <sheetName val="MS Est. Vs Actual"/>
      <sheetName val="Quarterly"/>
      <sheetName val="mwareValPrintout"/>
      <sheetName val="Model_Template"/>
      <sheetName val="DCF Valuation"/>
      <sheetName val="Int'l Epo Model"/>
      <sheetName val="US Epo Model"/>
      <sheetName val="CSFs"/>
      <sheetName val="US RA Model"/>
      <sheetName val="Figures"/>
      <sheetName val="Marketing"/>
      <sheetName val="mwareDates"/>
      <sheetName val="mwareSettings"/>
    </sheetNames>
    <sheetDataSet>
      <sheetData sheetId="0"/>
      <sheetData sheetId="1"/>
      <sheetData sheetId="2"/>
      <sheetData sheetId="3"/>
      <sheetData sheetId="4"/>
      <sheetData sheetId="5" refreshError="1">
        <row r="21">
          <cell r="E21">
            <v>56038</v>
          </cell>
          <cell r="F21">
            <v>102202</v>
          </cell>
          <cell r="G21">
            <v>102642</v>
          </cell>
          <cell r="I21">
            <v>100105</v>
          </cell>
          <cell r="K21">
            <v>112750</v>
          </cell>
          <cell r="M21">
            <v>112750</v>
          </cell>
        </row>
      </sheetData>
      <sheetData sheetId="6"/>
      <sheetData sheetId="7"/>
      <sheetData sheetId="8"/>
      <sheetData sheetId="9" refreshError="1"/>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2003"/>
      <sheetName val="2004"/>
      <sheetName val="Annual"/>
      <sheetName val="Angiomax-US"/>
      <sheetName val="Balance Sheet"/>
      <sheetName val="Cash Flow"/>
      <sheetName val="Changes to Model"/>
      <sheetName val="MS Est vs Rpt"/>
      <sheetName val="Milestones"/>
      <sheetName val="Snap"/>
      <sheetName val="NY UPLOAD shadow"/>
    </sheetNames>
    <sheetDataSet>
      <sheetData sheetId="0"/>
      <sheetData sheetId="1"/>
      <sheetData sheetId="2"/>
      <sheetData sheetId="3"/>
      <sheetData sheetId="4" refreshError="1">
        <row r="16">
          <cell r="O16">
            <v>57000</v>
          </cell>
        </row>
      </sheetData>
      <sheetData sheetId="5"/>
      <sheetData sheetId="6"/>
      <sheetData sheetId="7"/>
      <sheetData sheetId="8"/>
      <sheetData sheetId="9"/>
      <sheetData sheetId="10"/>
      <sheetData sheetId="11"/>
      <sheetData sheetId="1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Annual"/>
      <sheetName val="diabetes_multiple"/>
      <sheetName val="TR Convert"/>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refreshError="1"/>
      <sheetData sheetId="49"/>
      <sheetData sheetId="50" refreshError="1"/>
      <sheetData sheetId="51" refreshError="1"/>
      <sheetData sheetId="52" refreshError="1"/>
      <sheetData sheetId="5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areTaxoPres"/>
      <sheetName val="LOG"/>
      <sheetName val="MS Est vs. Rpt"/>
      <sheetName val="Changes to the Model"/>
      <sheetName val="Quarterly"/>
      <sheetName val="mwareValPrintout"/>
      <sheetName val="Annual"/>
      <sheetName val="Balance Sheet "/>
      <sheetName val="Cashflow"/>
      <sheetName val="Avastin"/>
      <sheetName val="Herceptin"/>
      <sheetName val="Rituxan"/>
      <sheetName val="Raptiva"/>
      <sheetName val="Xolair"/>
      <sheetName val="Avastin-Patient Ramp"/>
      <sheetName val="DCF Valuation"/>
      <sheetName val="Model_Template"/>
      <sheetName val="Clinical data"/>
      <sheetName val="Sheet1"/>
      <sheetName val="Sheet1 (2)"/>
      <sheetName val="Marketing"/>
      <sheetName val="mwareDates"/>
      <sheetName val="MWare_Cached"/>
      <sheetName val="Manufacturing"/>
      <sheetName val="NY UPLOAD shadow"/>
      <sheetName val="mwareSettings"/>
      <sheetName val="mStartup"/>
      <sheetName val="MainCode"/>
      <sheetName val="Figures"/>
      <sheetName val="MS Est. Vs Actual"/>
      <sheetName val="ProcritAranesp"/>
      <sheetName val="Changes to Model"/>
    </sheetNames>
    <sheetDataSet>
      <sheetData sheetId="0" refreshError="1"/>
      <sheetData sheetId="1" refreshError="1"/>
      <sheetData sheetId="2" refreshError="1"/>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Rituxan US</v>
          </cell>
          <cell r="C6">
            <v>440.55</v>
          </cell>
          <cell r="D6">
            <v>505</v>
          </cell>
          <cell r="E6">
            <v>477</v>
          </cell>
          <cell r="F6">
            <v>-5.5445544554455495E-2</v>
          </cell>
          <cell r="G6">
            <v>0.14629440472137101</v>
          </cell>
          <cell r="H6" t="str">
            <v>Rituxan sales meaningfully weaker than indicated by IMS sales trends.</v>
          </cell>
        </row>
        <row r="7">
          <cell r="B7" t="str">
            <v>Avastin US</v>
          </cell>
          <cell r="C7">
            <v>202.85499999999999</v>
          </cell>
          <cell r="D7">
            <v>405</v>
          </cell>
          <cell r="E7">
            <v>398</v>
          </cell>
          <cell r="F7">
            <v>-1.7283950617283939E-2</v>
          </cell>
          <cell r="G7">
            <v>0.99649996302777866</v>
          </cell>
          <cell r="H7" t="str">
            <v xml:space="preserve">US sales were $10M short of our estimate after adjusting for $3M add back for destroyed shipment. </v>
          </cell>
        </row>
        <row r="8">
          <cell r="B8" t="str">
            <v>Herceptin US</v>
          </cell>
          <cell r="C8">
            <v>129.63</v>
          </cell>
          <cell r="D8">
            <v>273</v>
          </cell>
          <cell r="E8">
            <v>290</v>
          </cell>
          <cell r="F8">
            <v>6.2271062271062272E-2</v>
          </cell>
          <cell r="G8">
            <v>1.1059939828743346</v>
          </cell>
          <cell r="H8" t="str">
            <v>Herceptin strength in line with IMS sales data ($2M added back for destroyed shipment).</v>
          </cell>
        </row>
        <row r="9">
          <cell r="B9" t="str">
            <v>Xolair</v>
          </cell>
          <cell r="C9">
            <v>68.597000000000008</v>
          </cell>
          <cell r="D9">
            <v>98</v>
          </cell>
          <cell r="E9">
            <v>95</v>
          </cell>
          <cell r="F9">
            <v>-3.0612244897959218E-2</v>
          </cell>
          <cell r="G9">
            <v>0.42863390527282519</v>
          </cell>
        </row>
        <row r="10">
          <cell r="B10" t="str">
            <v>Tarceva - US</v>
          </cell>
          <cell r="C10">
            <v>47.585000000000001</v>
          </cell>
          <cell r="D10">
            <v>97</v>
          </cell>
          <cell r="E10">
            <v>93</v>
          </cell>
          <cell r="F10">
            <v>-4.123711340206182E-2</v>
          </cell>
          <cell r="G10" t="str">
            <v>NM</v>
          </cell>
          <cell r="H10" t="str">
            <v>US Tarceva sales below expectations based on IMS prescription trends and the November price increase.</v>
          </cell>
        </row>
        <row r="11">
          <cell r="B11" t="str">
            <v>Raptiva</v>
          </cell>
          <cell r="C11">
            <v>24.114999999999998</v>
          </cell>
          <cell r="D11">
            <v>22</v>
          </cell>
          <cell r="E11">
            <v>21</v>
          </cell>
          <cell r="F11">
            <v>-4.5454545454545414E-2</v>
          </cell>
          <cell r="G11">
            <v>-8.7704748082106487E-2</v>
          </cell>
        </row>
        <row r="12">
          <cell r="B12" t="str">
            <v>Growth Hormone Products</v>
          </cell>
          <cell r="C12">
            <v>92.087999999999994</v>
          </cell>
          <cell r="D12">
            <v>94</v>
          </cell>
          <cell r="E12">
            <v>87</v>
          </cell>
          <cell r="F12">
            <v>-7.4468085106383031E-2</v>
          </cell>
          <cell r="G12">
            <v>2.0762748675180243E-2</v>
          </cell>
        </row>
        <row r="13">
          <cell r="B13" t="str">
            <v>Thrombolytics</v>
          </cell>
          <cell r="C13">
            <v>53.57</v>
          </cell>
          <cell r="D13">
            <v>59</v>
          </cell>
          <cell r="E13">
            <v>59</v>
          </cell>
          <cell r="F13">
            <v>0</v>
          </cell>
          <cell r="G13">
            <v>0.10136270300541339</v>
          </cell>
        </row>
        <row r="14">
          <cell r="B14" t="str">
            <v>Pulmozyme</v>
          </cell>
          <cell r="C14">
            <v>51.745999999999995</v>
          </cell>
          <cell r="D14">
            <v>51</v>
          </cell>
          <cell r="E14">
            <v>49</v>
          </cell>
          <cell r="F14">
            <v>-3.9215686274509776E-2</v>
          </cell>
          <cell r="G14">
            <v>-1.4416573261701315E-2</v>
          </cell>
        </row>
        <row r="15">
          <cell r="B15" t="str">
            <v>Royalties, Contracts and Other</v>
          </cell>
          <cell r="C15">
            <v>275.60000000000002</v>
          </cell>
          <cell r="D15">
            <v>316.2</v>
          </cell>
          <cell r="E15">
            <v>342</v>
          </cell>
          <cell r="F15">
            <v>8.1593927893738094E-2</v>
          </cell>
          <cell r="G15">
            <v>0.1473149492017416</v>
          </cell>
        </row>
        <row r="16">
          <cell r="B16" t="str">
            <v>Total Revenues</v>
          </cell>
          <cell r="C16">
            <v>1461.6020000000003</v>
          </cell>
          <cell r="D16">
            <v>2013.12</v>
          </cell>
          <cell r="E16">
            <v>1986</v>
          </cell>
          <cell r="F16">
            <v>-1.3471626132570247E-2</v>
          </cell>
          <cell r="G16">
            <v>0.37733801677884915</v>
          </cell>
        </row>
        <row r="17">
          <cell r="B17" t="str">
            <v>Operating Expenses:</v>
          </cell>
        </row>
        <row r="18">
          <cell r="B18" t="str">
            <v>Cost of Sales</v>
          </cell>
          <cell r="C18">
            <v>251.041</v>
          </cell>
          <cell r="D18">
            <v>268.11336</v>
          </cell>
          <cell r="E18">
            <v>262</v>
          </cell>
          <cell r="F18">
            <v>-2.28014001241863E-2</v>
          </cell>
          <cell r="G18">
            <v>6.8006261925342981E-2</v>
          </cell>
        </row>
        <row r="19">
          <cell r="B19" t="str">
            <v>R&amp;D</v>
          </cell>
          <cell r="C19">
            <v>243.24</v>
          </cell>
          <cell r="D19">
            <v>367.39440000000002</v>
          </cell>
          <cell r="E19">
            <v>341</v>
          </cell>
          <cell r="F19">
            <v>-7.1842140217706185E-2</v>
          </cell>
          <cell r="G19">
            <v>0.51041933892451907</v>
          </cell>
        </row>
        <row r="20">
          <cell r="B20" t="str">
            <v>SG&amp;A</v>
          </cell>
          <cell r="C20">
            <v>315.214</v>
          </cell>
          <cell r="D20">
            <v>417.72239999999999</v>
          </cell>
          <cell r="E20">
            <v>400</v>
          </cell>
          <cell r="F20">
            <v>-4.2426262034307882E-2</v>
          </cell>
          <cell r="G20">
            <v>0.32520256079996446</v>
          </cell>
        </row>
        <row r="21">
          <cell r="B21" t="str">
            <v>Collaborative Profit Split</v>
          </cell>
          <cell r="C21">
            <v>176.27699999999999</v>
          </cell>
          <cell r="D21">
            <v>240</v>
          </cell>
          <cell r="E21">
            <v>226</v>
          </cell>
          <cell r="F21">
            <v>-5.8333333333333348E-2</v>
          </cell>
          <cell r="G21">
            <v>0.36149355843360187</v>
          </cell>
        </row>
        <row r="22">
          <cell r="B22" t="str">
            <v>Total Op.Expenses</v>
          </cell>
          <cell r="C22">
            <v>985.77199999999993</v>
          </cell>
          <cell r="D22">
            <v>1293.2301600000001</v>
          </cell>
          <cell r="E22">
            <v>1229</v>
          </cell>
          <cell r="F22">
            <v>-4.9666456897355382E-2</v>
          </cell>
          <cell r="G22">
            <v>0.31189581363641916</v>
          </cell>
        </row>
        <row r="23">
          <cell r="B23" t="str">
            <v>Operating Income (Loss)</v>
          </cell>
          <cell r="C23">
            <v>475.83000000000027</v>
          </cell>
          <cell r="D23">
            <v>719.88984000000005</v>
          </cell>
          <cell r="E23">
            <v>757</v>
          </cell>
          <cell r="F23">
            <v>5.154977600461752E-2</v>
          </cell>
          <cell r="G23">
            <v>0.51291393985246758</v>
          </cell>
        </row>
        <row r="24">
          <cell r="B24" t="str">
            <v xml:space="preserve">   Net Other Income</v>
          </cell>
          <cell r="C24">
            <v>16.396000000000001</v>
          </cell>
          <cell r="D24">
            <v>16</v>
          </cell>
          <cell r="E24">
            <v>34</v>
          </cell>
          <cell r="F24">
            <v>1.125</v>
          </cell>
          <cell r="G24">
            <v>-2.4152232251768768E-2</v>
          </cell>
        </row>
        <row r="25">
          <cell r="B25" t="str">
            <v xml:space="preserve">   Tax Expense</v>
          </cell>
          <cell r="C25">
            <v>180.58500000000001</v>
          </cell>
          <cell r="D25">
            <v>272.27924080000003</v>
          </cell>
          <cell r="E25">
            <v>300</v>
          </cell>
          <cell r="F25">
            <v>0.10181003560371304</v>
          </cell>
          <cell r="G25">
            <v>0.50776222166846652</v>
          </cell>
        </row>
        <row r="26">
          <cell r="B26" t="str">
            <v>Net Income (Loss)</v>
          </cell>
          <cell r="C26">
            <v>311.6410000000003</v>
          </cell>
          <cell r="D26">
            <v>463.61059920000002</v>
          </cell>
          <cell r="E26">
            <v>491</v>
          </cell>
          <cell r="F26">
            <v>5.9078461207018762E-2</v>
          </cell>
          <cell r="G26">
            <v>0.48764315093328414</v>
          </cell>
        </row>
        <row r="27">
          <cell r="B27" t="str">
            <v>EPS, Diluted</v>
          </cell>
          <cell r="C27">
            <v>0.29205273126155645</v>
          </cell>
          <cell r="D27">
            <v>0.42985344635725764</v>
          </cell>
          <cell r="E27">
            <v>0.45674418604651162</v>
          </cell>
          <cell r="F27">
            <v>6.2557925072222575E-2</v>
          </cell>
          <cell r="G27">
            <v>0.47183505013103155</v>
          </cell>
        </row>
        <row r="28">
          <cell r="B28" t="str">
            <v>Consensus EPS</v>
          </cell>
          <cell r="D28">
            <v>0.41</v>
          </cell>
        </row>
        <row r="29">
          <cell r="B29" t="str">
            <v xml:space="preserve">Diluted Shares Outstanding </v>
          </cell>
          <cell r="C29">
            <v>1067.0709999999999</v>
          </cell>
          <cell r="D29">
            <v>1078.531772</v>
          </cell>
          <cell r="E29">
            <v>1075</v>
          </cell>
          <cell r="F29">
            <v>-3.2746109958826652E-3</v>
          </cell>
          <cell r="G29">
            <v>1.0740402466190346E-2</v>
          </cell>
        </row>
      </sheetData>
      <sheetData sheetId="4" refreshError="1">
        <row r="2">
          <cell r="B2" t="str">
            <v>Changes To Model</v>
          </cell>
        </row>
        <row r="3">
          <cell r="C3">
            <v>2003</v>
          </cell>
          <cell r="E3">
            <v>2004</v>
          </cell>
          <cell r="G3">
            <v>2005</v>
          </cell>
          <cell r="I3">
            <v>2006</v>
          </cell>
          <cell r="K3">
            <v>2007</v>
          </cell>
          <cell r="M3">
            <v>2008</v>
          </cell>
          <cell r="O3">
            <v>2009</v>
          </cell>
          <cell r="Q3">
            <v>2010</v>
          </cell>
          <cell r="R3" t="str">
            <v>Comments</v>
          </cell>
        </row>
        <row r="4">
          <cell r="B4" t="str">
            <v>Avastin US Sales</v>
          </cell>
          <cell r="R4" t="str">
            <v>Lowered near term (2006-09) estimates based on current usage trends.  Long term, sales projections become more dependent upon additional indications.</v>
          </cell>
        </row>
        <row r="5">
          <cell r="B5" t="str">
            <v xml:space="preserve">   Current</v>
          </cell>
          <cell r="C5">
            <v>0</v>
          </cell>
          <cell r="E5">
            <v>552.34</v>
          </cell>
          <cell r="G5">
            <v>1132.721</v>
          </cell>
          <cell r="I5">
            <v>1876</v>
          </cell>
          <cell r="K5">
            <v>2817.9611602894643</v>
          </cell>
          <cell r="M5">
            <v>3802.1294573955038</v>
          </cell>
          <cell r="O5">
            <v>4624.6783247655285</v>
          </cell>
          <cell r="Q5">
            <v>5307.1770570587933</v>
          </cell>
        </row>
        <row r="6">
          <cell r="B6" t="str">
            <v xml:space="preserve">   Prior</v>
          </cell>
          <cell r="C6">
            <v>0</v>
          </cell>
          <cell r="E6">
            <v>545.5</v>
          </cell>
          <cell r="G6">
            <v>1132.721</v>
          </cell>
          <cell r="I6">
            <v>1991</v>
          </cell>
          <cell r="K6">
            <v>3237.062488981529</v>
          </cell>
          <cell r="M6">
            <v>4383.5907709546664</v>
          </cell>
          <cell r="O6">
            <v>4968.255300105604</v>
          </cell>
          <cell r="Q6">
            <v>5357.3388751605999</v>
          </cell>
        </row>
        <row r="7">
          <cell r="B7" t="str">
            <v>Rituxan US Sales</v>
          </cell>
        </row>
        <row r="8">
          <cell r="B8" t="str">
            <v xml:space="preserve">   Current</v>
          </cell>
          <cell r="C8">
            <v>1360.2</v>
          </cell>
          <cell r="E8">
            <v>1574</v>
          </cell>
          <cell r="G8">
            <v>1831.481</v>
          </cell>
          <cell r="I8">
            <v>2097</v>
          </cell>
          <cell r="K8">
            <v>2430.2807564833265</v>
          </cell>
          <cell r="M8">
            <v>2695.0166005063993</v>
          </cell>
          <cell r="O8">
            <v>2950.119381396431</v>
          </cell>
          <cell r="Q8">
            <v>3220</v>
          </cell>
        </row>
        <row r="9">
          <cell r="B9" t="str">
            <v xml:space="preserve">   Prior</v>
          </cell>
          <cell r="C9">
            <v>1360.2</v>
          </cell>
          <cell r="E9">
            <v>1574</v>
          </cell>
          <cell r="G9">
            <v>1831.481</v>
          </cell>
          <cell r="I9">
            <v>2160</v>
          </cell>
          <cell r="K9">
            <v>2437.3514265485192</v>
          </cell>
          <cell r="M9">
            <v>2692.5171673115556</v>
          </cell>
          <cell r="O9">
            <v>2933.0759826633407</v>
          </cell>
          <cell r="Q9">
            <v>3195</v>
          </cell>
        </row>
        <row r="10">
          <cell r="B10" t="str">
            <v>Herceptin US Sales</v>
          </cell>
        </row>
        <row r="11">
          <cell r="B11" t="str">
            <v xml:space="preserve">   Current</v>
          </cell>
          <cell r="C11">
            <v>424.8</v>
          </cell>
          <cell r="E11">
            <v>482.27499999999998</v>
          </cell>
          <cell r="G11">
            <v>747.24699999999996</v>
          </cell>
          <cell r="I11">
            <v>1375</v>
          </cell>
          <cell r="K11">
            <v>1566.9607618585742</v>
          </cell>
          <cell r="M11">
            <v>1676.8953104490511</v>
          </cell>
          <cell r="O11">
            <v>1772.633441089682</v>
          </cell>
          <cell r="Q11">
            <v>1873.880898727371</v>
          </cell>
        </row>
        <row r="12">
          <cell r="B12" t="str">
            <v xml:space="preserve">   Prior</v>
          </cell>
          <cell r="C12">
            <v>424.8</v>
          </cell>
          <cell r="E12">
            <v>482.27499999999998</v>
          </cell>
          <cell r="G12">
            <v>747.24699999999996</v>
          </cell>
          <cell r="I12">
            <v>1236</v>
          </cell>
          <cell r="K12">
            <v>1467.230824775874</v>
          </cell>
          <cell r="M12">
            <v>1572.4179521860037</v>
          </cell>
          <cell r="O12">
            <v>1676.1602207869551</v>
          </cell>
          <cell r="Q12">
            <v>1802.0633882939715</v>
          </cell>
        </row>
        <row r="13">
          <cell r="B13" t="str">
            <v>Xolair</v>
          </cell>
        </row>
        <row r="14">
          <cell r="B14" t="str">
            <v xml:space="preserve">   Current</v>
          </cell>
          <cell r="C14">
            <v>25.3</v>
          </cell>
          <cell r="E14">
            <v>188.5</v>
          </cell>
          <cell r="G14">
            <v>323.79700000000003</v>
          </cell>
          <cell r="I14">
            <v>423</v>
          </cell>
          <cell r="K14">
            <v>496.67639851943272</v>
          </cell>
          <cell r="M14">
            <v>549.18117450569844</v>
          </cell>
          <cell r="O14">
            <v>609.0179751523707</v>
          </cell>
          <cell r="Q14">
            <v>656.42413544863268</v>
          </cell>
        </row>
        <row r="15">
          <cell r="B15" t="str">
            <v xml:space="preserve">   Prior</v>
          </cell>
          <cell r="C15">
            <v>25.3</v>
          </cell>
          <cell r="E15">
            <v>188.5</v>
          </cell>
          <cell r="G15">
            <v>332.99700000000001</v>
          </cell>
          <cell r="I15">
            <v>443.81706468549254</v>
          </cell>
          <cell r="K15">
            <v>496.67639851943272</v>
          </cell>
          <cell r="M15">
            <v>583.43592955279041</v>
          </cell>
          <cell r="O15">
            <v>583.43592955279041</v>
          </cell>
          <cell r="Q15">
            <v>583.43592955279041</v>
          </cell>
        </row>
        <row r="16">
          <cell r="B16" t="str">
            <v>Raptiva</v>
          </cell>
        </row>
        <row r="17">
          <cell r="B17" t="str">
            <v xml:space="preserve">   Current</v>
          </cell>
          <cell r="C17">
            <v>1.4</v>
          </cell>
          <cell r="E17">
            <v>56.300000000000004</v>
          </cell>
          <cell r="G17">
            <v>86.754999999999995</v>
          </cell>
          <cell r="I17">
            <v>93</v>
          </cell>
          <cell r="K17">
            <v>114.74883545485645</v>
          </cell>
          <cell r="M17">
            <v>111.02507700089812</v>
          </cell>
          <cell r="O17">
            <v>116.64294589714356</v>
          </cell>
          <cell r="Q17">
            <v>122.54507895953904</v>
          </cell>
        </row>
        <row r="18">
          <cell r="B18" t="str">
            <v xml:space="preserve">   Prior</v>
          </cell>
          <cell r="C18">
            <v>1.4</v>
          </cell>
          <cell r="E18">
            <v>56.3</v>
          </cell>
          <cell r="G18">
            <v>96.415000000000006</v>
          </cell>
          <cell r="I18">
            <v>128.34202046044302</v>
          </cell>
          <cell r="K18">
            <v>154.41809851788798</v>
          </cell>
          <cell r="M18">
            <v>190.17374516347169</v>
          </cell>
          <cell r="O18">
            <v>190.17374516347169</v>
          </cell>
          <cell r="Q18">
            <v>190.17374516347169</v>
          </cell>
        </row>
        <row r="19">
          <cell r="B19" t="str">
            <v>Lucentis</v>
          </cell>
        </row>
        <row r="20">
          <cell r="B20" t="str">
            <v xml:space="preserve">   Current</v>
          </cell>
          <cell r="C20">
            <v>0</v>
          </cell>
          <cell r="E20">
            <v>0</v>
          </cell>
          <cell r="G20">
            <v>0</v>
          </cell>
          <cell r="I20">
            <v>135</v>
          </cell>
          <cell r="K20">
            <v>550</v>
          </cell>
          <cell r="M20">
            <v>850</v>
          </cell>
          <cell r="O20">
            <v>1050</v>
          </cell>
          <cell r="Q20">
            <v>1200</v>
          </cell>
        </row>
        <row r="21">
          <cell r="B21" t="str">
            <v xml:space="preserve">   Prior</v>
          </cell>
          <cell r="C21">
            <v>1.4</v>
          </cell>
          <cell r="E21">
            <v>0</v>
          </cell>
          <cell r="G21">
            <v>0</v>
          </cell>
          <cell r="I21">
            <v>150</v>
          </cell>
          <cell r="K21">
            <v>700</v>
          </cell>
          <cell r="M21">
            <v>1150</v>
          </cell>
          <cell r="O21">
            <v>1150</v>
          </cell>
          <cell r="Q21">
            <v>1150</v>
          </cell>
        </row>
        <row r="22">
          <cell r="B22" t="str">
            <v>Total Revenue</v>
          </cell>
          <cell r="R22" t="str">
            <v>2006 Guidance: Sales to Collaborators= YoY growth of 30%; Royalties = YoY growth of 30%; Net Interest Income = YoY growth of 30%</v>
          </cell>
        </row>
        <row r="23">
          <cell r="B23" t="str">
            <v xml:space="preserve">   Current</v>
          </cell>
          <cell r="C23">
            <v>3300.2629999999999</v>
          </cell>
          <cell r="E23">
            <v>4621.2</v>
          </cell>
          <cell r="G23">
            <v>6633.4230000000007</v>
          </cell>
          <cell r="I23">
            <v>9120.36</v>
          </cell>
          <cell r="K23">
            <v>11279.125121683228</v>
          </cell>
          <cell r="M23">
            <v>13104.186311101828</v>
          </cell>
          <cell r="O23">
            <v>14586.038977915103</v>
          </cell>
          <cell r="Q23">
            <v>15778.109649377711</v>
          </cell>
        </row>
        <row r="24">
          <cell r="B24" t="str">
            <v xml:space="preserve">   Prior</v>
          </cell>
          <cell r="C24">
            <v>3300.2629999999999</v>
          </cell>
          <cell r="E24">
            <v>4614.3599999999997</v>
          </cell>
          <cell r="G24">
            <v>6633.4230000000007</v>
          </cell>
          <cell r="I24">
            <v>9060.77</v>
          </cell>
          <cell r="K24">
            <v>11649.799183357783</v>
          </cell>
          <cell r="M24">
            <v>13530.991983203103</v>
          </cell>
          <cell r="O24">
            <v>14825.172049719364</v>
          </cell>
          <cell r="Q24">
            <v>15802.880857526117</v>
          </cell>
        </row>
        <row r="25">
          <cell r="B25" t="str">
            <v>COGS ($MM)</v>
          </cell>
          <cell r="R25" t="str">
            <v xml:space="preserve">2006 Guidance: 16% of sales (from 15-16%);  </v>
          </cell>
        </row>
        <row r="26">
          <cell r="B26" t="str">
            <v xml:space="preserve">   Current</v>
          </cell>
          <cell r="C26">
            <v>480.15100000000001</v>
          </cell>
          <cell r="E26">
            <v>672.5</v>
          </cell>
          <cell r="G26">
            <v>1011.0629999999999</v>
          </cell>
          <cell r="I26">
            <v>1222.5376000000001</v>
          </cell>
          <cell r="K26">
            <v>1506.7599287814626</v>
          </cell>
          <cell r="M26">
            <v>1619.0699996815897</v>
          </cell>
          <cell r="O26">
            <v>1702.8029601920346</v>
          </cell>
          <cell r="Q26">
            <v>1774.5598005138277</v>
          </cell>
        </row>
        <row r="27">
          <cell r="B27" t="str">
            <v xml:space="preserve">   Prior</v>
          </cell>
          <cell r="C27">
            <v>480.15100000000001</v>
          </cell>
          <cell r="E27">
            <v>672.5</v>
          </cell>
          <cell r="G27">
            <v>1011.0629999999999</v>
          </cell>
          <cell r="I27">
            <v>1202.9025999999999</v>
          </cell>
          <cell r="K27">
            <v>1565.9989624404361</v>
          </cell>
          <cell r="M27">
            <v>1695.7885048324765</v>
          </cell>
          <cell r="O27">
            <v>1751.9607945750547</v>
          </cell>
          <cell r="Q27">
            <v>1797.2421266516367</v>
          </cell>
        </row>
        <row r="28">
          <cell r="B28" t="str">
            <v>R&amp;D ($MM)</v>
          </cell>
          <cell r="R28" t="str">
            <v>2006 Guidance: 18-19% of operating revenue.</v>
          </cell>
        </row>
        <row r="29">
          <cell r="B29" t="str">
            <v xml:space="preserve">   Current</v>
          </cell>
          <cell r="C29">
            <v>721.96299999999997</v>
          </cell>
          <cell r="D29">
            <v>0.15795323682159235</v>
          </cell>
          <cell r="E29">
            <v>947.5</v>
          </cell>
          <cell r="F29">
            <v>0.3123941254607232</v>
          </cell>
          <cell r="G29">
            <v>1261.8240000000001</v>
          </cell>
          <cell r="H29">
            <v>0.33174036939314</v>
          </cell>
          <cell r="I29">
            <v>1677.1420800000001</v>
          </cell>
          <cell r="J29">
            <v>0.3291410529519172</v>
          </cell>
          <cell r="K29">
            <v>2058.4403347071889</v>
          </cell>
          <cell r="M29">
            <v>2384.9619086205325</v>
          </cell>
          <cell r="O29">
            <v>2654.6590939805487</v>
          </cell>
          <cell r="Q29">
            <v>2871.6159561867435</v>
          </cell>
        </row>
        <row r="30">
          <cell r="B30" t="str">
            <v xml:space="preserve">   Prior</v>
          </cell>
          <cell r="C30">
            <v>721.96299999999997</v>
          </cell>
          <cell r="E30">
            <v>947.5</v>
          </cell>
          <cell r="F30">
            <v>0.3123941254607232</v>
          </cell>
          <cell r="G30">
            <v>1261.8240000000001</v>
          </cell>
          <cell r="H30">
            <v>0.33174036939314</v>
          </cell>
          <cell r="I30">
            <v>1677.54035</v>
          </cell>
          <cell r="J30">
            <v>0.32945668334094136</v>
          </cell>
          <cell r="K30">
            <v>2126.0883509627956</v>
          </cell>
          <cell r="M30">
            <v>2462.6405409429644</v>
          </cell>
          <cell r="O30">
            <v>2698.181313048924</v>
          </cell>
          <cell r="Q30">
            <v>2876.1243160697531</v>
          </cell>
        </row>
        <row r="31">
          <cell r="B31" t="str">
            <v>SG&amp;A ($MM)</v>
          </cell>
          <cell r="R31" t="str">
            <v>2006 Guidance: 21% of operating revenue (from 21-22%)</v>
          </cell>
        </row>
        <row r="32">
          <cell r="B32" t="str">
            <v xml:space="preserve">   Current</v>
          </cell>
          <cell r="C32">
            <v>794.88499999999999</v>
          </cell>
          <cell r="D32">
            <v>0.45509778939583656</v>
          </cell>
          <cell r="E32">
            <v>1088.2</v>
          </cell>
          <cell r="F32">
            <v>0.36900306333620603</v>
          </cell>
          <cell r="G32">
            <v>1435.0319999999999</v>
          </cell>
          <cell r="H32">
            <v>0.31872082337805541</v>
          </cell>
          <cell r="I32">
            <v>1928.0563000000002</v>
          </cell>
          <cell r="J32">
            <v>0.34356327942512799</v>
          </cell>
          <cell r="K32">
            <v>2114.835960315605</v>
          </cell>
          <cell r="M32">
            <v>2293.2326044428196</v>
          </cell>
          <cell r="O32">
            <v>2406.696431355992</v>
          </cell>
          <cell r="Q32">
            <v>2406.1617215301007</v>
          </cell>
        </row>
        <row r="33">
          <cell r="B33" t="str">
            <v xml:space="preserve">   Prior</v>
          </cell>
          <cell r="C33">
            <v>794.88499999999999</v>
          </cell>
          <cell r="D33">
            <v>0.45509778939583656</v>
          </cell>
          <cell r="E33">
            <v>1088.2</v>
          </cell>
          <cell r="F33">
            <v>0.36900306333620603</v>
          </cell>
          <cell r="G33">
            <v>1435.0319999999999</v>
          </cell>
          <cell r="H33">
            <v>0.31872082337805541</v>
          </cell>
          <cell r="I33">
            <v>1955.315885</v>
          </cell>
          <cell r="J33">
            <v>0.36255908230617861</v>
          </cell>
          <cell r="K33">
            <v>2184.3373468795844</v>
          </cell>
          <cell r="M33">
            <v>2367.9235970605428</v>
          </cell>
          <cell r="O33">
            <v>2446.1533882036952</v>
          </cell>
          <cell r="Q33">
            <v>2409.9393307727328</v>
          </cell>
        </row>
        <row r="34">
          <cell r="B34" t="str">
            <v>Interest, Other Income</v>
          </cell>
        </row>
        <row r="35">
          <cell r="B35" t="str">
            <v xml:space="preserve">   Current</v>
          </cell>
          <cell r="C35">
            <v>92.807000000000002</v>
          </cell>
          <cell r="D35">
            <v>0</v>
          </cell>
          <cell r="E35">
            <v>82.597000000000008</v>
          </cell>
          <cell r="F35">
            <v>0</v>
          </cell>
          <cell r="G35">
            <v>140.9</v>
          </cell>
          <cell r="H35">
            <v>0</v>
          </cell>
          <cell r="I35">
            <v>228</v>
          </cell>
          <cell r="J35">
            <v>0</v>
          </cell>
          <cell r="K35">
            <v>158.27981570681379</v>
          </cell>
          <cell r="M35">
            <v>214.14721389467866</v>
          </cell>
          <cell r="O35">
            <v>298.9218808473185</v>
          </cell>
          <cell r="Q35">
            <v>424.04459975088002</v>
          </cell>
        </row>
        <row r="36">
          <cell r="B36" t="str">
            <v xml:space="preserve">   Prior</v>
          </cell>
          <cell r="C36">
            <v>92.8</v>
          </cell>
          <cell r="E36">
            <v>82.597000000000008</v>
          </cell>
          <cell r="F36">
            <v>0</v>
          </cell>
          <cell r="G36">
            <v>140.9</v>
          </cell>
          <cell r="H36">
            <v>0</v>
          </cell>
          <cell r="I36">
            <v>175</v>
          </cell>
          <cell r="J36">
            <v>0</v>
          </cell>
          <cell r="K36">
            <v>144.98120766629103</v>
          </cell>
          <cell r="M36">
            <v>198.6848384525747</v>
          </cell>
          <cell r="O36">
            <v>299.84795970525033</v>
          </cell>
          <cell r="Q36">
            <v>427.16721415138414</v>
          </cell>
        </row>
        <row r="37">
          <cell r="B37" t="str">
            <v xml:space="preserve">Net Income ($MM) </v>
          </cell>
        </row>
        <row r="38">
          <cell r="B38" t="str">
            <v xml:space="preserve">   Current</v>
          </cell>
          <cell r="C38">
            <v>634.65584265857763</v>
          </cell>
          <cell r="D38">
            <v>0.31253732024758918</v>
          </cell>
          <cell r="E38">
            <v>894.36599999999964</v>
          </cell>
          <cell r="F38">
            <v>0.4092141596829777</v>
          </cell>
          <cell r="G38">
            <v>1387.3240000000012</v>
          </cell>
          <cell r="H38">
            <v>0.55118150734710603</v>
          </cell>
          <cell r="I38">
            <v>2124.9055085800001</v>
          </cell>
          <cell r="J38">
            <v>0.53165771555887331</v>
          </cell>
          <cell r="K38">
            <v>2800.6211029553579</v>
          </cell>
          <cell r="M38">
            <v>3493.9576522401981</v>
          </cell>
          <cell r="O38">
            <v>4096.4026406736639</v>
          </cell>
          <cell r="Q38">
            <v>4671.2691888702175</v>
          </cell>
        </row>
        <row r="39">
          <cell r="B39" t="str">
            <v xml:space="preserve">   Prior</v>
          </cell>
          <cell r="C39">
            <v>634.65584265857763</v>
          </cell>
          <cell r="E39">
            <v>887.5259999999995</v>
          </cell>
          <cell r="F39">
            <v>0.3984366649523734</v>
          </cell>
          <cell r="G39">
            <v>1387.3240000000012</v>
          </cell>
          <cell r="H39">
            <v>0.55118150734710603</v>
          </cell>
          <cell r="I39">
            <v>2034.2770339500007</v>
          </cell>
          <cell r="J39">
            <v>0.4663316095951624</v>
          </cell>
          <cell r="K39">
            <v>2904.7667281963868</v>
          </cell>
          <cell r="M39">
            <v>3614.4886831826261</v>
          </cell>
          <cell r="O39">
            <v>4174.1361237760229</v>
          </cell>
          <cell r="Q39">
            <v>4681.8126100993795</v>
          </cell>
        </row>
        <row r="40">
          <cell r="B40" t="str">
            <v>Non-GAAP EPS, Diluted</v>
          </cell>
          <cell r="R40" t="str">
            <v>2006 Guidance: 45-55% YoY growth.  Raised guidance again (company raised guidance from 35-45% to 40%-50% at its analyst day three weeks ago).  Horizon 2010 guidance of 5-year CAGR of 25% (our model assumes 28%).  We are lowering 2007-09 EPS estimates.</v>
          </cell>
        </row>
        <row r="41">
          <cell r="B41" t="str">
            <v xml:space="preserve">   Current</v>
          </cell>
          <cell r="C41">
            <v>0.60195636879300407</v>
          </cell>
          <cell r="D41">
            <v>0.30585864252004424</v>
          </cell>
          <cell r="E41">
            <v>0.82872362999196592</v>
          </cell>
          <cell r="F41">
            <v>0.37671710601493902</v>
          </cell>
          <cell r="G41">
            <v>1.2834315032439099</v>
          </cell>
          <cell r="H41">
            <v>0.54868457564840067</v>
          </cell>
          <cell r="I41">
            <v>1.9766562870511628</v>
          </cell>
          <cell r="J41">
            <v>0.54013383811688231</v>
          </cell>
          <cell r="K41">
            <v>2.6131703146035923</v>
          </cell>
          <cell r="M41">
            <v>3.2657035401917991</v>
          </cell>
          <cell r="O41">
            <v>3.8441841959191563</v>
          </cell>
          <cell r="Q41">
            <v>4.4101388095141756</v>
          </cell>
        </row>
        <row r="42">
          <cell r="B42" t="str">
            <v xml:space="preserve">       Prior</v>
          </cell>
          <cell r="C42">
            <v>0.60195636879300407</v>
          </cell>
          <cell r="E42">
            <v>0.82238565467856495</v>
          </cell>
          <cell r="F42">
            <v>0.36618814471146544</v>
          </cell>
          <cell r="G42">
            <v>1.2834315032439099</v>
          </cell>
          <cell r="H42">
            <v>0.54868457564840067</v>
          </cell>
          <cell r="I42">
            <v>1.8875696940202418</v>
          </cell>
          <cell r="J42">
            <v>0.47072102348224698</v>
          </cell>
          <cell r="K42">
            <v>2.7103452791100371</v>
          </cell>
          <cell r="M42">
            <v>3.3783604907416378</v>
          </cell>
          <cell r="O42">
            <v>3.9171315727880218</v>
          </cell>
          <cell r="Q42">
            <v>4.4200928389797802</v>
          </cell>
        </row>
        <row r="43">
          <cell r="B43" t="str">
            <v>Non-GAAP EPS, Diluted (incl options expense)</v>
          </cell>
        </row>
        <row r="44">
          <cell r="B44" t="str">
            <v xml:space="preserve">   Current</v>
          </cell>
          <cell r="C44">
            <v>0</v>
          </cell>
          <cell r="D44">
            <v>0</v>
          </cell>
          <cell r="E44">
            <v>0</v>
          </cell>
          <cell r="F44">
            <v>0</v>
          </cell>
          <cell r="H44">
            <v>0</v>
          </cell>
          <cell r="I44">
            <v>1.670437236911628</v>
          </cell>
          <cell r="J44">
            <v>0</v>
          </cell>
          <cell r="K44">
            <v>2.2605437247777207</v>
          </cell>
          <cell r="M44">
            <v>2.8726239093062675</v>
          </cell>
          <cell r="O44">
            <v>3.4182573129078739</v>
          </cell>
          <cell r="Q44">
            <v>3.9597085440583326</v>
          </cell>
        </row>
        <row r="45">
          <cell r="B45" t="str">
            <v xml:space="preserve">   Prior</v>
          </cell>
          <cell r="C45">
            <v>0.60195636879300407</v>
          </cell>
          <cell r="E45">
            <v>0.82238565467856495</v>
          </cell>
          <cell r="F45">
            <v>0.36618814471146544</v>
          </cell>
          <cell r="H45">
            <v>0</v>
          </cell>
          <cell r="I45">
            <v>1.7230350353762618</v>
          </cell>
          <cell r="J45">
            <v>0</v>
          </cell>
          <cell r="K45">
            <v>2.5124428538629009</v>
          </cell>
          <cell r="M45">
            <v>3.1575521802291613</v>
          </cell>
          <cell r="O45">
            <v>3.6217186312474188</v>
          </cell>
          <cell r="Q45">
            <v>4.1138707857302448</v>
          </cell>
        </row>
        <row r="46">
          <cell r="B46" t="str">
            <v>Capital Expenditures</v>
          </cell>
          <cell r="R46" t="str">
            <v>2006 Guidance: $1.5B; expect decrease to ~$800 by 2010</v>
          </cell>
        </row>
        <row r="47">
          <cell r="B47" t="str">
            <v xml:space="preserve">   Current</v>
          </cell>
          <cell r="C47">
            <v>321.95</v>
          </cell>
          <cell r="D47">
            <v>649.85799999999995</v>
          </cell>
          <cell r="E47">
            <v>649.85799999999995</v>
          </cell>
          <cell r="F47">
            <v>1482.0585000000001</v>
          </cell>
          <cell r="G47">
            <v>1399.8240000000001</v>
          </cell>
          <cell r="H47">
            <v>1179.3767679991645</v>
          </cell>
          <cell r="I47">
            <v>1482.0585000000001</v>
          </cell>
          <cell r="J47">
            <v>828.35075659232984</v>
          </cell>
          <cell r="K47">
            <v>1579.0775170356521</v>
          </cell>
          <cell r="M47">
            <v>1179.3767679991645</v>
          </cell>
          <cell r="O47">
            <v>875.1623386749061</v>
          </cell>
          <cell r="Q47">
            <v>828.35075659232984</v>
          </cell>
        </row>
        <row r="48">
          <cell r="B48" t="str">
            <v xml:space="preserve">   Prior</v>
          </cell>
          <cell r="C48">
            <v>322</v>
          </cell>
          <cell r="E48">
            <v>649.85799999999995</v>
          </cell>
          <cell r="F48">
            <v>1073.9414548082564</v>
          </cell>
          <cell r="G48">
            <v>1399.8240000000001</v>
          </cell>
          <cell r="H48">
            <v>1217.7892784882793</v>
          </cell>
          <cell r="I48">
            <v>1472.375125</v>
          </cell>
          <cell r="J48">
            <v>829.65124502012111</v>
          </cell>
          <cell r="K48">
            <v>1630.9718856700899</v>
          </cell>
          <cell r="M48">
            <v>1217.7892784882793</v>
          </cell>
          <cell r="O48">
            <v>889.51032298316204</v>
          </cell>
          <cell r="Q48">
            <v>829.651245020121</v>
          </cell>
        </row>
        <row r="49">
          <cell r="B49" t="str">
            <v>Basic Shares Outstanding</v>
          </cell>
        </row>
        <row r="50">
          <cell r="B50" t="str">
            <v xml:space="preserve">   Current</v>
          </cell>
          <cell r="C50">
            <v>1034.4565</v>
          </cell>
          <cell r="D50">
            <v>-3.901749480143768E-3</v>
          </cell>
          <cell r="E50">
            <v>1055.165</v>
          </cell>
          <cell r="F50">
            <v>2.0018724808631427E-2</v>
          </cell>
          <cell r="G50">
            <v>1054.952</v>
          </cell>
          <cell r="H50">
            <v>-2.0186416342460323E-4</v>
          </cell>
          <cell r="I50">
            <v>1054</v>
          </cell>
          <cell r="J50">
            <v>-9.0241072579599901E-4</v>
          </cell>
          <cell r="K50">
            <v>1053.713</v>
          </cell>
          <cell r="M50">
            <v>1053.713</v>
          </cell>
          <cell r="O50">
            <v>1053.713</v>
          </cell>
          <cell r="Q50">
            <v>1053.713</v>
          </cell>
        </row>
        <row r="51">
          <cell r="B51" t="str">
            <v xml:space="preserve">   Prior</v>
          </cell>
          <cell r="C51">
            <v>1034.46</v>
          </cell>
          <cell r="E51">
            <v>1055.165</v>
          </cell>
          <cell r="F51">
            <v>2.0018724808631427E-2</v>
          </cell>
          <cell r="G51">
            <v>1054.952</v>
          </cell>
          <cell r="H51">
            <v>-2.0186416342460323E-4</v>
          </cell>
          <cell r="I51">
            <v>1054.7239999999999</v>
          </cell>
          <cell r="J51">
            <v>-2.1612357718647779E-4</v>
          </cell>
          <cell r="K51">
            <v>1053.713</v>
          </cell>
          <cell r="M51">
            <v>1053.713</v>
          </cell>
          <cell r="O51">
            <v>1053.713</v>
          </cell>
          <cell r="Q51">
            <v>1053.713</v>
          </cell>
        </row>
        <row r="52">
          <cell r="B52" t="str">
            <v>Diluted Shares Outstanding</v>
          </cell>
          <cell r="R52" t="str">
            <v xml:space="preserve">2006 Guidance: Flat YoY growth. </v>
          </cell>
        </row>
        <row r="53">
          <cell r="B53" t="str">
            <v xml:space="preserve">   Current</v>
          </cell>
          <cell r="C53">
            <v>1054.3219999999999</v>
          </cell>
          <cell r="D53">
            <v>5.1538922087179806E-3</v>
          </cell>
          <cell r="E53">
            <v>1079.2090000000001</v>
          </cell>
          <cell r="F53">
            <v>2.3604743142986884E-2</v>
          </cell>
          <cell r="G53">
            <v>1080.9490000000001</v>
          </cell>
          <cell r="H53">
            <v>1.6122919656897938E-3</v>
          </cell>
          <cell r="I53">
            <v>1075</v>
          </cell>
          <cell r="J53">
            <v>-5.5034973897936101E-3</v>
          </cell>
          <cell r="K53">
            <v>1071.7330926745205</v>
          </cell>
          <cell r="M53">
            <v>1069.8943150347914</v>
          </cell>
          <cell r="O53">
            <v>1065.6103953141094</v>
          </cell>
          <cell r="Q53">
            <v>1059.2113742072459</v>
          </cell>
        </row>
        <row r="54">
          <cell r="B54" t="str">
            <v xml:space="preserve">   Prior</v>
          </cell>
          <cell r="C54">
            <v>1054.32</v>
          </cell>
          <cell r="E54">
            <v>1079.2090000000001</v>
          </cell>
          <cell r="F54">
            <v>2.3604743142986884E-2</v>
          </cell>
          <cell r="G54">
            <v>1080.9490000000001</v>
          </cell>
          <cell r="H54">
            <v>1.6122919656897938E-3</v>
          </cell>
          <cell r="I54">
            <v>1077.7228731710002</v>
          </cell>
          <cell r="J54">
            <v>-2.9845319520160896E-3</v>
          </cell>
          <cell r="K54">
            <v>1071.7330926745205</v>
          </cell>
          <cell r="M54">
            <v>1069.8943150347914</v>
          </cell>
          <cell r="O54">
            <v>1065.6103953141094</v>
          </cell>
          <cell r="Q54">
            <v>1059.2113742072459</v>
          </cell>
        </row>
      </sheetData>
      <sheetData sheetId="5" refreshError="1">
        <row r="1">
          <cell r="B1" t="str">
            <v>Genentech Quarterly Income Statement</v>
          </cell>
          <cell r="BC1">
            <v>6.0159760359460801E-2</v>
          </cell>
          <cell r="BE1">
            <v>3.0609842241582363E-2</v>
          </cell>
        </row>
        <row r="2">
          <cell r="B2" t="str">
            <v>(Dollars in thousands except per-share data)</v>
          </cell>
          <cell r="BW2">
            <v>55</v>
          </cell>
        </row>
        <row r="3">
          <cell r="BW3">
            <v>0.11121852970795569</v>
          </cell>
        </row>
        <row r="4">
          <cell r="C4" t="str">
            <v>1Q99A</v>
          </cell>
          <cell r="E4" t="str">
            <v>2Q99A</v>
          </cell>
          <cell r="G4" t="str">
            <v>3Q99A</v>
          </cell>
          <cell r="I4" t="str">
            <v>4Q99A</v>
          </cell>
          <cell r="K4" t="str">
            <v>1999A</v>
          </cell>
          <cell r="M4" t="str">
            <v>1Q00A</v>
          </cell>
          <cell r="O4" t="str">
            <v>2Q00A</v>
          </cell>
          <cell r="Q4" t="str">
            <v>3Q00A</v>
          </cell>
          <cell r="S4" t="str">
            <v>4Q00A</v>
          </cell>
          <cell r="U4" t="str">
            <v>2000A</v>
          </cell>
          <cell r="W4" t="str">
            <v>1Q01A</v>
          </cell>
          <cell r="Y4" t="str">
            <v>2Q01A</v>
          </cell>
          <cell r="AA4" t="str">
            <v>3Q01A</v>
          </cell>
          <cell r="AC4" t="str">
            <v>4Q01A</v>
          </cell>
          <cell r="AE4" t="str">
            <v>2001A</v>
          </cell>
          <cell r="AG4" t="str">
            <v>1Q02A</v>
          </cell>
          <cell r="AI4" t="str">
            <v>2Q02A</v>
          </cell>
          <cell r="AK4" t="str">
            <v>3Q02A</v>
          </cell>
          <cell r="AM4" t="str">
            <v>4Q02A</v>
          </cell>
          <cell r="AO4" t="str">
            <v>2002A</v>
          </cell>
          <cell r="AQ4" t="str">
            <v>1Q03A</v>
          </cell>
          <cell r="AS4" t="str">
            <v>2Q03A</v>
          </cell>
          <cell r="AU4" t="str">
            <v>3Q03A</v>
          </cell>
          <cell r="AW4" t="str">
            <v>4Q03A</v>
          </cell>
          <cell r="AY4" t="str">
            <v>2003A</v>
          </cell>
          <cell r="BA4" t="str">
            <v>1Q04A</v>
          </cell>
          <cell r="BB4" t="str">
            <v>% chg</v>
          </cell>
          <cell r="BC4" t="str">
            <v>2Q04A</v>
          </cell>
          <cell r="BD4" t="str">
            <v>% chg</v>
          </cell>
          <cell r="BE4" t="str">
            <v>3Q04A</v>
          </cell>
          <cell r="BF4" t="str">
            <v>% chg</v>
          </cell>
          <cell r="BG4" t="str">
            <v>4Q04A</v>
          </cell>
          <cell r="BH4" t="str">
            <v>% chg</v>
          </cell>
          <cell r="BI4" t="str">
            <v>2004A</v>
          </cell>
          <cell r="BJ4" t="str">
            <v>% chg</v>
          </cell>
          <cell r="BL4" t="str">
            <v>1Q05A</v>
          </cell>
          <cell r="BM4" t="str">
            <v>% chg</v>
          </cell>
          <cell r="BN4" t="str">
            <v>2Q05A</v>
          </cell>
          <cell r="BO4" t="str">
            <v>% chg</v>
          </cell>
          <cell r="BP4" t="str">
            <v>3Q05A</v>
          </cell>
          <cell r="BQ4" t="str">
            <v>% chg</v>
          </cell>
          <cell r="BR4" t="str">
            <v>4Q05A</v>
          </cell>
          <cell r="BS4" t="str">
            <v>% chg</v>
          </cell>
          <cell r="BT4" t="str">
            <v>2005A</v>
          </cell>
          <cell r="BU4" t="str">
            <v>% chg</v>
          </cell>
          <cell r="BW4" t="str">
            <v>1Q06A</v>
          </cell>
          <cell r="BX4" t="str">
            <v>% chg</v>
          </cell>
          <cell r="BY4" t="str">
            <v>2Q06E</v>
          </cell>
          <cell r="BZ4" t="str">
            <v>% chg</v>
          </cell>
          <cell r="CA4" t="str">
            <v>3Q06E</v>
          </cell>
          <cell r="CB4" t="str">
            <v>% chg</v>
          </cell>
          <cell r="CC4" t="str">
            <v>4Q06E</v>
          </cell>
          <cell r="CD4" t="str">
            <v>% chg</v>
          </cell>
          <cell r="CE4" t="str">
            <v>2006E</v>
          </cell>
          <cell r="CF4" t="str">
            <v>% chg</v>
          </cell>
        </row>
        <row r="5">
          <cell r="B5" t="str">
            <v>Rituxan -US</v>
          </cell>
          <cell r="C5" t="str">
            <v>52</v>
          </cell>
          <cell r="E5" t="str">
            <v>68.3</v>
          </cell>
          <cell r="G5" t="str">
            <v>70.2</v>
          </cell>
          <cell r="I5" t="str">
            <v>72.2</v>
          </cell>
          <cell r="K5" t="str">
            <v>262.7</v>
          </cell>
          <cell r="M5" t="str">
            <v>78</v>
          </cell>
          <cell r="O5" t="str">
            <v>96.7</v>
          </cell>
          <cell r="Q5" t="str">
            <v>115.5</v>
          </cell>
          <cell r="S5" t="str">
            <v>134</v>
          </cell>
          <cell r="U5" t="str">
            <v>424.2</v>
          </cell>
          <cell r="W5" t="str">
            <v>168</v>
          </cell>
          <cell r="Y5" t="str">
            <v>180</v>
          </cell>
          <cell r="AA5" t="str">
            <v>205</v>
          </cell>
          <cell r="AC5" t="str">
            <v>226</v>
          </cell>
          <cell r="AE5" t="str">
            <v>779</v>
          </cell>
          <cell r="AG5" t="str">
            <v>235</v>
          </cell>
          <cell r="AI5" t="str">
            <v>257.4</v>
          </cell>
          <cell r="AK5" t="str">
            <v>269.6</v>
          </cell>
          <cell r="AM5" t="str">
            <v>318.2</v>
          </cell>
          <cell r="AO5" t="str">
            <v>1080.2</v>
          </cell>
          <cell r="AQ5" t="str">
            <v>310</v>
          </cell>
          <cell r="AS5" t="str">
            <v>328</v>
          </cell>
          <cell r="AU5" t="str">
            <v>353.6</v>
          </cell>
          <cell r="AW5" t="str">
            <v>368.6</v>
          </cell>
          <cell r="AY5">
            <v>1360.2</v>
          </cell>
          <cell r="BA5">
            <v>361.8</v>
          </cell>
          <cell r="BC5">
            <v>390</v>
          </cell>
          <cell r="BE5">
            <v>393</v>
          </cell>
          <cell r="BG5">
            <v>429.2</v>
          </cell>
          <cell r="BI5">
            <v>1574</v>
          </cell>
          <cell r="BJ5">
            <v>0.15718276724011182</v>
          </cell>
          <cell r="BL5">
            <v>440.55</v>
          </cell>
          <cell r="BN5">
            <v>450.3</v>
          </cell>
          <cell r="BP5">
            <v>456.22699999999998</v>
          </cell>
          <cell r="BR5">
            <v>484.404</v>
          </cell>
          <cell r="BT5">
            <v>1831.481</v>
          </cell>
          <cell r="BU5">
            <v>0.1635838627700128</v>
          </cell>
          <cell r="BW5">
            <v>477</v>
          </cell>
          <cell r="BY5">
            <v>520</v>
          </cell>
          <cell r="CA5">
            <v>540</v>
          </cell>
          <cell r="CC5">
            <v>560</v>
          </cell>
          <cell r="CE5">
            <v>2097</v>
          </cell>
          <cell r="CF5">
            <v>0.14497502294591103</v>
          </cell>
        </row>
        <row r="6">
          <cell r="B6" t="str">
            <v>Rituxan- Ex-US</v>
          </cell>
          <cell r="C6">
            <v>17</v>
          </cell>
          <cell r="E6" t="str">
            <v>20.3</v>
          </cell>
          <cell r="G6">
            <v>8</v>
          </cell>
          <cell r="I6" t="str">
            <v>10.3</v>
          </cell>
          <cell r="K6">
            <v>55.800000000000011</v>
          </cell>
          <cell r="M6">
            <v>31.696428571428569</v>
          </cell>
          <cell r="O6">
            <v>27.232142857142854</v>
          </cell>
          <cell r="Q6">
            <v>10.714285714285714</v>
          </cell>
          <cell r="S6">
            <v>19.196428571428569</v>
          </cell>
          <cell r="U6">
            <v>88.800000000000011</v>
          </cell>
          <cell r="W6">
            <v>24.500000000000028</v>
          </cell>
          <cell r="Y6">
            <v>51.28</v>
          </cell>
          <cell r="AA6">
            <v>56.370000000000005</v>
          </cell>
          <cell r="AC6">
            <v>54.5</v>
          </cell>
          <cell r="AE6">
            <v>186.65000000000003</v>
          </cell>
          <cell r="AG6">
            <v>106.90000000000003</v>
          </cell>
          <cell r="AI6">
            <v>94.760000000000048</v>
          </cell>
          <cell r="AK6">
            <v>119</v>
          </cell>
          <cell r="AM6">
            <v>129.24000000000007</v>
          </cell>
          <cell r="AO6">
            <v>449.90000000000015</v>
          </cell>
          <cell r="AQ6">
            <v>111.58999999999997</v>
          </cell>
          <cell r="AS6">
            <v>161.09999999999997</v>
          </cell>
          <cell r="AU6">
            <v>159.76</v>
          </cell>
          <cell r="AW6">
            <v>217.14999999999998</v>
          </cell>
          <cell r="AY6">
            <v>649.59999999999991</v>
          </cell>
          <cell r="BA6">
            <v>261</v>
          </cell>
          <cell r="BC6">
            <v>270</v>
          </cell>
          <cell r="BE6">
            <v>305</v>
          </cell>
          <cell r="BG6">
            <v>313</v>
          </cell>
          <cell r="BI6">
            <v>1149</v>
          </cell>
          <cell r="BL6">
            <v>330</v>
          </cell>
          <cell r="BM6">
            <v>0.2</v>
          </cell>
          <cell r="BN6">
            <v>361</v>
          </cell>
          <cell r="BO6">
            <v>0.18</v>
          </cell>
          <cell r="BP6">
            <v>350</v>
          </cell>
          <cell r="BQ6">
            <v>0.17</v>
          </cell>
          <cell r="BR6">
            <v>370</v>
          </cell>
          <cell r="BS6">
            <v>0.15</v>
          </cell>
          <cell r="BT6">
            <v>1411</v>
          </cell>
          <cell r="BU6">
            <v>0.22802436901653622</v>
          </cell>
          <cell r="BW6">
            <v>440</v>
          </cell>
          <cell r="BY6">
            <v>460</v>
          </cell>
          <cell r="CA6">
            <v>475</v>
          </cell>
          <cell r="CC6">
            <v>490</v>
          </cell>
          <cell r="CE6">
            <v>1865</v>
          </cell>
          <cell r="CF6">
            <v>0.32175761871013475</v>
          </cell>
        </row>
        <row r="7">
          <cell r="B7" t="str">
            <v xml:space="preserve">Rituxan - Transfer to Roche </v>
          </cell>
          <cell r="C7" t="str">
            <v>5.1</v>
          </cell>
          <cell r="E7" t="str">
            <v>6.1</v>
          </cell>
          <cell r="G7" t="str">
            <v>2.4</v>
          </cell>
          <cell r="I7" t="str">
            <v>3.1</v>
          </cell>
          <cell r="K7" t="str">
            <v>16.7</v>
          </cell>
          <cell r="M7" t="str">
            <v>7.1</v>
          </cell>
          <cell r="O7" t="str">
            <v>6.1</v>
          </cell>
          <cell r="Q7" t="str">
            <v>2.4</v>
          </cell>
          <cell r="S7" t="str">
            <v>4.3</v>
          </cell>
          <cell r="U7">
            <v>19.899999999999977</v>
          </cell>
          <cell r="W7" t="str">
            <v>4.1</v>
          </cell>
          <cell r="Y7" t="str">
            <v>7.7</v>
          </cell>
          <cell r="AA7" t="str">
            <v>7.8</v>
          </cell>
          <cell r="AC7" t="str">
            <v>20</v>
          </cell>
          <cell r="AE7" t="str">
            <v>39.6</v>
          </cell>
          <cell r="AG7" t="str">
            <v>12.5</v>
          </cell>
          <cell r="AI7" t="str">
            <v>17.5</v>
          </cell>
          <cell r="AK7" t="str">
            <v>24.3</v>
          </cell>
          <cell r="AM7" t="str">
            <v>28.4</v>
          </cell>
          <cell r="AO7" t="str">
            <v>82.7</v>
          </cell>
          <cell r="AQ7" t="str">
            <v>31</v>
          </cell>
          <cell r="AS7" t="str">
            <v>35.4</v>
          </cell>
          <cell r="AU7" t="str">
            <v>18.1</v>
          </cell>
          <cell r="AW7" t="str">
            <v>44.4</v>
          </cell>
          <cell r="AY7">
            <v>128.9</v>
          </cell>
          <cell r="BA7">
            <v>38.799999999999997</v>
          </cell>
          <cell r="BC7">
            <v>34.700000000000003</v>
          </cell>
          <cell r="BE7">
            <v>44.7</v>
          </cell>
          <cell r="BG7">
            <v>19</v>
          </cell>
          <cell r="BI7">
            <v>137.19999999999999</v>
          </cell>
          <cell r="BJ7">
            <v>6.4391000775795071E-2</v>
          </cell>
          <cell r="BL7">
            <v>33.049999999999997</v>
          </cell>
          <cell r="BN7">
            <v>32</v>
          </cell>
          <cell r="BP7">
            <v>45.7</v>
          </cell>
          <cell r="BR7">
            <v>47.2</v>
          </cell>
          <cell r="BT7">
            <v>157.94999999999999</v>
          </cell>
          <cell r="BU7">
            <v>0.15123906705539358</v>
          </cell>
          <cell r="BW7">
            <v>32</v>
          </cell>
          <cell r="BY7">
            <v>73.600000000000009</v>
          </cell>
          <cell r="CA7">
            <v>76</v>
          </cell>
          <cell r="CC7">
            <v>78.400000000000006</v>
          </cell>
          <cell r="CE7">
            <v>260</v>
          </cell>
          <cell r="CF7">
            <v>0.64609053497942392</v>
          </cell>
        </row>
        <row r="8">
          <cell r="B8" t="str">
            <v>Rituxan - US &amp; Sales to Roche</v>
          </cell>
          <cell r="C8">
            <v>57.1</v>
          </cell>
          <cell r="E8">
            <v>74.400000000000006</v>
          </cell>
          <cell r="G8">
            <v>72.599999999999994</v>
          </cell>
          <cell r="I8">
            <v>75.3</v>
          </cell>
          <cell r="K8">
            <v>279.39999999999998</v>
          </cell>
          <cell r="M8">
            <v>85.1</v>
          </cell>
          <cell r="O8">
            <v>102.8</v>
          </cell>
          <cell r="Q8">
            <v>117.9</v>
          </cell>
          <cell r="S8">
            <v>138.30000000000001</v>
          </cell>
          <cell r="U8">
            <v>444.09999999999997</v>
          </cell>
          <cell r="W8">
            <v>172.1</v>
          </cell>
          <cell r="Y8">
            <v>187.7</v>
          </cell>
          <cell r="AA8">
            <v>212.8</v>
          </cell>
          <cell r="AC8">
            <v>246</v>
          </cell>
          <cell r="AE8">
            <v>818.59999999999991</v>
          </cell>
          <cell r="AG8">
            <v>247.5</v>
          </cell>
          <cell r="AI8">
            <v>274.89999999999998</v>
          </cell>
          <cell r="AK8">
            <v>293.90000000000003</v>
          </cell>
          <cell r="AM8">
            <v>346.59999999999997</v>
          </cell>
          <cell r="AO8">
            <v>1162.8999999999999</v>
          </cell>
          <cell r="AQ8">
            <v>341</v>
          </cell>
          <cell r="AS8">
            <v>363.4</v>
          </cell>
          <cell r="AU8">
            <v>371.70000000000005</v>
          </cell>
          <cell r="AW8">
            <v>413</v>
          </cell>
          <cell r="AY8">
            <v>1489.1</v>
          </cell>
          <cell r="BA8">
            <v>400.6</v>
          </cell>
          <cell r="BB8">
            <v>0.17478005865102642</v>
          </cell>
          <cell r="BC8">
            <v>424.7</v>
          </cell>
          <cell r="BD8">
            <v>0.1686846450192625</v>
          </cell>
          <cell r="BE8">
            <v>437.7</v>
          </cell>
          <cell r="BF8">
            <v>0.17756255044390623</v>
          </cell>
          <cell r="BG8">
            <v>448.2</v>
          </cell>
          <cell r="BH8">
            <v>8.5230024213075017E-2</v>
          </cell>
          <cell r="BI8">
            <v>1711.2</v>
          </cell>
          <cell r="BJ8">
            <v>0.14915049358673027</v>
          </cell>
          <cell r="BL8">
            <v>473.6</v>
          </cell>
          <cell r="BM8">
            <v>0.18222666000998511</v>
          </cell>
          <cell r="BN8">
            <v>482.3</v>
          </cell>
          <cell r="BO8">
            <v>0.13562514716270324</v>
          </cell>
          <cell r="BP8">
            <v>501.92699999999996</v>
          </cell>
          <cell r="BQ8">
            <v>0.14673749143248793</v>
          </cell>
          <cell r="BR8">
            <v>531.60400000000004</v>
          </cell>
          <cell r="BS8">
            <v>0.18608656849620719</v>
          </cell>
          <cell r="BT8">
            <v>1989.431</v>
          </cell>
          <cell r="BU8">
            <v>0.16259408602150538</v>
          </cell>
          <cell r="BW8">
            <v>509</v>
          </cell>
          <cell r="BX8">
            <v>7.474662162162149E-2</v>
          </cell>
          <cell r="BY8">
            <v>593.6</v>
          </cell>
          <cell r="BZ8">
            <v>0.23076923076923084</v>
          </cell>
          <cell r="CA8">
            <v>616</v>
          </cell>
          <cell r="CB8">
            <v>0.22727010103062795</v>
          </cell>
          <cell r="CC8">
            <v>638.4</v>
          </cell>
          <cell r="CD8">
            <v>0.2008938984657751</v>
          </cell>
          <cell r="CE8">
            <v>2357</v>
          </cell>
          <cell r="CF8">
            <v>0.18476086881123299</v>
          </cell>
        </row>
        <row r="9">
          <cell r="B9" t="str">
            <v>Avastin - US</v>
          </cell>
          <cell r="BA9">
            <v>38.1</v>
          </cell>
          <cell r="BC9">
            <v>133</v>
          </cell>
          <cell r="BE9">
            <v>183</v>
          </cell>
          <cell r="BG9">
            <v>198.24</v>
          </cell>
          <cell r="BI9">
            <v>552.34</v>
          </cell>
          <cell r="BL9">
            <v>202.85499999999999</v>
          </cell>
          <cell r="BN9">
            <v>245.6</v>
          </cell>
          <cell r="BP9">
            <v>325.15600000000001</v>
          </cell>
          <cell r="BR9">
            <v>359.11</v>
          </cell>
          <cell r="BT9">
            <v>1132.721</v>
          </cell>
          <cell r="BW9">
            <v>398</v>
          </cell>
          <cell r="BY9">
            <v>442</v>
          </cell>
          <cell r="CA9">
            <v>486</v>
          </cell>
          <cell r="CC9">
            <v>550</v>
          </cell>
          <cell r="CE9">
            <v>1876</v>
          </cell>
        </row>
        <row r="10">
          <cell r="B10" t="str">
            <v>Avastin - Ex-US</v>
          </cell>
          <cell r="BA10">
            <v>0</v>
          </cell>
          <cell r="BC10">
            <v>0</v>
          </cell>
          <cell r="BE10">
            <v>0</v>
          </cell>
          <cell r="BG10">
            <v>10</v>
          </cell>
          <cell r="BI10">
            <v>10</v>
          </cell>
          <cell r="BL10">
            <v>16.899999999999999</v>
          </cell>
          <cell r="BN10">
            <v>38.200000000000003</v>
          </cell>
          <cell r="BP10">
            <v>60.6</v>
          </cell>
          <cell r="BR10">
            <v>75</v>
          </cell>
          <cell r="BT10">
            <v>190.7</v>
          </cell>
          <cell r="BW10">
            <v>105</v>
          </cell>
          <cell r="BY10">
            <v>130</v>
          </cell>
          <cell r="CA10">
            <v>150</v>
          </cell>
          <cell r="CC10">
            <v>180</v>
          </cell>
          <cell r="CE10">
            <v>565</v>
          </cell>
        </row>
        <row r="11">
          <cell r="B11" t="str">
            <v>Avastin - Transfer to Roche</v>
          </cell>
          <cell r="BG11">
            <v>2.16</v>
          </cell>
          <cell r="BI11">
            <v>2.16</v>
          </cell>
          <cell r="BL11">
            <v>11.632</v>
          </cell>
          <cell r="BN11">
            <v>3.6</v>
          </cell>
          <cell r="BP11">
            <v>35</v>
          </cell>
          <cell r="BR11">
            <v>33.799999999999997</v>
          </cell>
          <cell r="BT11">
            <v>84.031999999999996</v>
          </cell>
          <cell r="BW11">
            <v>18</v>
          </cell>
          <cell r="BY11">
            <v>28.08</v>
          </cell>
          <cell r="CA11">
            <v>32.4</v>
          </cell>
          <cell r="CC11">
            <v>38.879999999999995</v>
          </cell>
          <cell r="CE11">
            <v>117.35999999999999</v>
          </cell>
        </row>
        <row r="12">
          <cell r="B12" t="str">
            <v>Avastin -  US &amp; Sales to Roche</v>
          </cell>
          <cell r="BA12">
            <v>38.1</v>
          </cell>
          <cell r="BB12" t="str">
            <v>NM</v>
          </cell>
          <cell r="BC12">
            <v>133</v>
          </cell>
          <cell r="BD12" t="str">
            <v>NM</v>
          </cell>
          <cell r="BE12">
            <v>183</v>
          </cell>
          <cell r="BF12" t="str">
            <v>NM</v>
          </cell>
          <cell r="BG12">
            <v>200.4</v>
          </cell>
          <cell r="BH12" t="str">
            <v>NM</v>
          </cell>
          <cell r="BI12">
            <v>554.5</v>
          </cell>
          <cell r="BJ12" t="str">
            <v>NM</v>
          </cell>
          <cell r="BL12">
            <v>214.48699999999999</v>
          </cell>
          <cell r="BM12">
            <v>4.6295800524934378</v>
          </cell>
          <cell r="BN12">
            <v>249.2</v>
          </cell>
          <cell r="BO12">
            <v>0.87368421052631562</v>
          </cell>
          <cell r="BP12">
            <v>360.15600000000001</v>
          </cell>
          <cell r="BQ12">
            <v>0.96806557377049174</v>
          </cell>
          <cell r="BR12">
            <v>392.91</v>
          </cell>
          <cell r="BS12">
            <v>0.96062874251497021</v>
          </cell>
          <cell r="BT12">
            <v>1216.7530000000002</v>
          </cell>
          <cell r="BU12">
            <v>1.1943246167718669</v>
          </cell>
          <cell r="BW12">
            <v>416</v>
          </cell>
          <cell r="BX12">
            <v>0.93951148554457853</v>
          </cell>
          <cell r="BY12">
            <v>470.08</v>
          </cell>
          <cell r="BZ12">
            <v>0.88635634028892452</v>
          </cell>
          <cell r="CA12">
            <v>518.4</v>
          </cell>
          <cell r="CB12">
            <v>0.4393762702828774</v>
          </cell>
          <cell r="CC12">
            <v>588.88</v>
          </cell>
          <cell r="CD12">
            <v>0.49876562062558838</v>
          </cell>
          <cell r="CE12">
            <v>1993.3600000000001</v>
          </cell>
          <cell r="CF12">
            <v>0.63826183292747163</v>
          </cell>
        </row>
        <row r="13">
          <cell r="B13" t="str">
            <v>Herceptin - US</v>
          </cell>
          <cell r="C13">
            <v>39.200000000000003</v>
          </cell>
          <cell r="E13">
            <v>42.6</v>
          </cell>
          <cell r="G13">
            <v>47.5</v>
          </cell>
          <cell r="I13">
            <v>54.4</v>
          </cell>
          <cell r="K13">
            <v>183.70000000000002</v>
          </cell>
          <cell r="M13">
            <v>56.7</v>
          </cell>
          <cell r="O13">
            <v>62.6</v>
          </cell>
          <cell r="Q13">
            <v>64.099999999999994</v>
          </cell>
          <cell r="S13">
            <v>66.3</v>
          </cell>
          <cell r="U13">
            <v>249.7</v>
          </cell>
          <cell r="W13">
            <v>70.099999999999994</v>
          </cell>
          <cell r="Y13">
            <v>74.099999999999994</v>
          </cell>
          <cell r="AA13">
            <v>75.900000000000006</v>
          </cell>
          <cell r="AC13">
            <v>95.3</v>
          </cell>
          <cell r="AE13">
            <v>315.39999999999998</v>
          </cell>
          <cell r="AG13">
            <v>77.3</v>
          </cell>
          <cell r="AI13">
            <v>82.5</v>
          </cell>
          <cell r="AK13">
            <v>88.3</v>
          </cell>
          <cell r="AM13">
            <v>96.8</v>
          </cell>
          <cell r="AO13">
            <v>344.9</v>
          </cell>
          <cell r="AQ13">
            <v>93.7</v>
          </cell>
          <cell r="AS13">
            <v>99</v>
          </cell>
          <cell r="AU13">
            <v>106.2</v>
          </cell>
          <cell r="AW13">
            <v>107.1</v>
          </cell>
          <cell r="AY13">
            <v>406</v>
          </cell>
          <cell r="BA13">
            <v>108.7</v>
          </cell>
          <cell r="BC13">
            <v>110</v>
          </cell>
          <cell r="BE13">
            <v>122.7</v>
          </cell>
          <cell r="BG13">
            <v>125</v>
          </cell>
          <cell r="BI13">
            <v>466.4</v>
          </cell>
          <cell r="BJ13">
            <v>0.14876847290640383</v>
          </cell>
          <cell r="BL13">
            <v>129.63</v>
          </cell>
          <cell r="BM13">
            <v>0.19254829806807727</v>
          </cell>
          <cell r="BN13">
            <v>152.4</v>
          </cell>
          <cell r="BO13">
            <v>0.38545454545454549</v>
          </cell>
          <cell r="BP13">
            <v>215.148</v>
          </cell>
          <cell r="BQ13">
            <v>0.75344743276283621</v>
          </cell>
          <cell r="BR13">
            <v>250.06899999999999</v>
          </cell>
          <cell r="BS13">
            <v>1.0005519999999999</v>
          </cell>
          <cell r="BT13">
            <v>747.24699999999996</v>
          </cell>
          <cell r="BU13">
            <v>0.60215909090909081</v>
          </cell>
          <cell r="BW13">
            <v>290</v>
          </cell>
          <cell r="BX13">
            <v>1.2371364653243848</v>
          </cell>
          <cell r="BY13">
            <v>330</v>
          </cell>
          <cell r="BZ13">
            <v>1.1653543307086611</v>
          </cell>
          <cell r="CA13">
            <v>365</v>
          </cell>
          <cell r="CB13">
            <v>0.69650659081190636</v>
          </cell>
          <cell r="CC13">
            <v>390</v>
          </cell>
          <cell r="CD13">
            <v>0.55956955880177084</v>
          </cell>
          <cell r="CE13">
            <v>1375</v>
          </cell>
          <cell r="CF13">
            <v>0.84008768185084737</v>
          </cell>
        </row>
        <row r="14">
          <cell r="B14" t="str">
            <v xml:space="preserve">Herceptin - Ex-US </v>
          </cell>
          <cell r="K14">
            <v>0</v>
          </cell>
          <cell r="M14">
            <v>26.490066225165563</v>
          </cell>
          <cell r="O14">
            <v>9.0507726269315665</v>
          </cell>
          <cell r="Q14">
            <v>18.763796909492275</v>
          </cell>
          <cell r="S14">
            <v>3.7527593818984544</v>
          </cell>
          <cell r="U14">
            <v>58.099999999999966</v>
          </cell>
          <cell r="W14">
            <v>26.799999999999997</v>
          </cell>
          <cell r="Y14">
            <v>31.92</v>
          </cell>
          <cell r="AA14">
            <v>40.379999999999981</v>
          </cell>
          <cell r="AC14">
            <v>44.92</v>
          </cell>
          <cell r="AE14">
            <v>144.01999999999998</v>
          </cell>
          <cell r="AG14">
            <v>67.65000000000002</v>
          </cell>
          <cell r="AI14">
            <v>70.02000000000001</v>
          </cell>
          <cell r="AK14">
            <v>83.89</v>
          </cell>
          <cell r="AM14">
            <v>94.280000000000015</v>
          </cell>
          <cell r="AO14">
            <v>315.84000000000003</v>
          </cell>
          <cell r="AQ14">
            <v>89.149999999999991</v>
          </cell>
          <cell r="AS14">
            <v>109.78</v>
          </cell>
          <cell r="AU14">
            <v>117.71999999999998</v>
          </cell>
          <cell r="AW14">
            <v>129.15</v>
          </cell>
          <cell r="AY14">
            <v>445.79999999999995</v>
          </cell>
          <cell r="BA14">
            <v>147.13999999999999</v>
          </cell>
          <cell r="BC14">
            <v>145</v>
          </cell>
          <cell r="BE14">
            <v>148</v>
          </cell>
          <cell r="BG14">
            <v>150</v>
          </cell>
          <cell r="BI14">
            <v>590.14</v>
          </cell>
          <cell r="BL14">
            <v>201</v>
          </cell>
          <cell r="BM14">
            <v>0.36604594263966295</v>
          </cell>
          <cell r="BN14">
            <v>223</v>
          </cell>
          <cell r="BO14">
            <v>0.53793103448275859</v>
          </cell>
          <cell r="BP14">
            <v>252</v>
          </cell>
          <cell r="BQ14">
            <v>0.70270270270270263</v>
          </cell>
          <cell r="BR14">
            <v>272</v>
          </cell>
          <cell r="BS14">
            <v>0.81333333333333324</v>
          </cell>
          <cell r="BT14">
            <v>948</v>
          </cell>
          <cell r="BU14">
            <v>0.60639848171620292</v>
          </cell>
          <cell r="BW14">
            <v>255</v>
          </cell>
          <cell r="BX14">
            <v>0.26865671641791056</v>
          </cell>
          <cell r="BY14">
            <v>275</v>
          </cell>
          <cell r="BZ14">
            <v>0.23318385650224216</v>
          </cell>
          <cell r="CA14">
            <v>315</v>
          </cell>
          <cell r="CB14">
            <v>0.25</v>
          </cell>
          <cell r="CC14">
            <v>330</v>
          </cell>
          <cell r="CD14">
            <v>0.21323529411764697</v>
          </cell>
          <cell r="CE14">
            <v>1175</v>
          </cell>
          <cell r="CF14">
            <v>0.23945147679324896</v>
          </cell>
        </row>
        <row r="15">
          <cell r="B15" t="str">
            <v>Herceptin - Transfer to Roche</v>
          </cell>
          <cell r="C15">
            <v>0.7</v>
          </cell>
          <cell r="E15">
            <v>3.6</v>
          </cell>
          <cell r="G15">
            <v>0.4</v>
          </cell>
          <cell r="I15">
            <v>0</v>
          </cell>
          <cell r="K15">
            <v>4.7</v>
          </cell>
          <cell r="M15">
            <v>12</v>
          </cell>
          <cell r="O15">
            <v>4.0999999999999996</v>
          </cell>
          <cell r="Q15">
            <v>8.5</v>
          </cell>
          <cell r="S15">
            <v>1.7</v>
          </cell>
          <cell r="U15">
            <v>26.3</v>
          </cell>
          <cell r="W15">
            <v>11.3</v>
          </cell>
          <cell r="Y15">
            <v>4.7</v>
          </cell>
          <cell r="AA15">
            <v>7.9</v>
          </cell>
          <cell r="AC15">
            <v>7.4</v>
          </cell>
          <cell r="AE15">
            <v>31.299999999999997</v>
          </cell>
          <cell r="AG15">
            <v>9.5</v>
          </cell>
          <cell r="AI15">
            <v>12.6</v>
          </cell>
          <cell r="AK15">
            <v>8.4</v>
          </cell>
          <cell r="AM15">
            <v>9.8000000000000007</v>
          </cell>
          <cell r="AO15">
            <v>40.299999999999997</v>
          </cell>
          <cell r="AQ15">
            <v>0</v>
          </cell>
          <cell r="AS15">
            <v>10.1</v>
          </cell>
          <cell r="AU15">
            <v>1.5</v>
          </cell>
          <cell r="AW15">
            <v>7.2</v>
          </cell>
          <cell r="AY15">
            <v>18.8</v>
          </cell>
          <cell r="BA15">
            <v>4.8</v>
          </cell>
          <cell r="BC15">
            <v>3.625</v>
          </cell>
          <cell r="BE15">
            <v>3.7</v>
          </cell>
          <cell r="BG15">
            <v>3.75</v>
          </cell>
          <cell r="BI15">
            <v>15.875</v>
          </cell>
          <cell r="BJ15">
            <v>-0.15558510638297873</v>
          </cell>
          <cell r="BL15">
            <v>10.888</v>
          </cell>
          <cell r="BM15">
            <v>1.2683333333333335</v>
          </cell>
          <cell r="BN15">
            <v>-1.7669999999999999</v>
          </cell>
          <cell r="BO15">
            <v>-1.4874482758620688</v>
          </cell>
          <cell r="BP15">
            <v>5</v>
          </cell>
          <cell r="BQ15">
            <v>0.35135135135135132</v>
          </cell>
          <cell r="BR15">
            <v>2.5</v>
          </cell>
          <cell r="BS15">
            <v>-0.33333333333333337</v>
          </cell>
          <cell r="BT15">
            <v>16.621000000000002</v>
          </cell>
          <cell r="BU15">
            <v>4.6992125984252064E-2</v>
          </cell>
          <cell r="BW15">
            <v>5</v>
          </cell>
          <cell r="BX15">
            <v>-0.54077883908890523</v>
          </cell>
          <cell r="BY15">
            <v>0</v>
          </cell>
          <cell r="CA15">
            <v>0</v>
          </cell>
          <cell r="CC15">
            <v>0</v>
          </cell>
          <cell r="CE15">
            <v>5</v>
          </cell>
          <cell r="CF15">
            <v>-0.69917574153179718</v>
          </cell>
        </row>
        <row r="16">
          <cell r="B16" t="str">
            <v>Herceptin- US &amp; Sales to Roche</v>
          </cell>
          <cell r="C16">
            <v>39.899999999000009</v>
          </cell>
          <cell r="E16">
            <v>46.2</v>
          </cell>
          <cell r="G16">
            <v>47.900000000999995</v>
          </cell>
          <cell r="I16">
            <v>54.4</v>
          </cell>
          <cell r="K16">
            <v>188.4</v>
          </cell>
          <cell r="M16">
            <v>68.700000000999992</v>
          </cell>
          <cell r="O16">
            <v>66.700000000999992</v>
          </cell>
          <cell r="Q16">
            <v>72.599999999999994</v>
          </cell>
          <cell r="S16">
            <v>67.900000000000006</v>
          </cell>
          <cell r="U16">
            <v>275.90000000199996</v>
          </cell>
          <cell r="W16">
            <v>81.400000000000006</v>
          </cell>
          <cell r="Y16">
            <v>78.799999999000008</v>
          </cell>
          <cell r="AA16">
            <v>83.9</v>
          </cell>
          <cell r="AC16">
            <v>102.52497556000002</v>
          </cell>
          <cell r="AE16">
            <v>346.62497555900001</v>
          </cell>
          <cell r="AG16">
            <v>86.835243488000017</v>
          </cell>
          <cell r="AI16">
            <v>95.107865390720022</v>
          </cell>
          <cell r="AK16">
            <v>96.7</v>
          </cell>
          <cell r="AM16">
            <v>106.62597458240003</v>
          </cell>
          <cell r="AO16">
            <v>385.26908346112009</v>
          </cell>
          <cell r="AQ16">
            <v>93.7</v>
          </cell>
          <cell r="AS16">
            <v>109.1</v>
          </cell>
          <cell r="AU16">
            <v>107.7</v>
          </cell>
          <cell r="AW16">
            <v>114.3</v>
          </cell>
          <cell r="AY16">
            <v>424.8</v>
          </cell>
          <cell r="BA16">
            <v>113.5</v>
          </cell>
          <cell r="BB16">
            <v>0.21131270010672365</v>
          </cell>
          <cell r="BC16">
            <v>117.7</v>
          </cell>
          <cell r="BD16">
            <v>7.8826764436296992E-2</v>
          </cell>
          <cell r="BE16">
            <v>126</v>
          </cell>
          <cell r="BF16">
            <v>0.16991643454038985</v>
          </cell>
          <cell r="BG16">
            <v>126</v>
          </cell>
          <cell r="BH16">
            <v>0.10236220472440949</v>
          </cell>
          <cell r="BI16">
            <v>483.2</v>
          </cell>
          <cell r="BJ16">
            <v>0.1374764595103577</v>
          </cell>
          <cell r="BL16">
            <v>140.518</v>
          </cell>
          <cell r="BM16">
            <v>0.23804405286343622</v>
          </cell>
          <cell r="BN16">
            <v>150.63300000000001</v>
          </cell>
          <cell r="BO16">
            <v>0.27980458793542917</v>
          </cell>
          <cell r="BP16">
            <v>220.148</v>
          </cell>
          <cell r="BQ16">
            <v>0.74720634920634921</v>
          </cell>
          <cell r="BR16">
            <v>252.56899999999999</v>
          </cell>
          <cell r="BS16">
            <v>1.004515873015873</v>
          </cell>
          <cell r="BT16">
            <v>763.86799999999994</v>
          </cell>
          <cell r="BU16">
            <v>0.58085264900662237</v>
          </cell>
          <cell r="BW16">
            <v>295</v>
          </cell>
          <cell r="BX16">
            <v>1.0993751690174922</v>
          </cell>
          <cell r="BY16">
            <v>330</v>
          </cell>
          <cell r="BZ16">
            <v>1.1907550138415885</v>
          </cell>
          <cell r="CA16">
            <v>365</v>
          </cell>
          <cell r="CB16">
            <v>0.65797554372513045</v>
          </cell>
          <cell r="CC16">
            <v>390</v>
          </cell>
          <cell r="CD16">
            <v>0.54413249448665524</v>
          </cell>
          <cell r="CE16">
            <v>1380</v>
          </cell>
          <cell r="CF16">
            <v>0.8065948567029908</v>
          </cell>
        </row>
        <row r="17">
          <cell r="B17" t="str">
            <v>Xolair</v>
          </cell>
          <cell r="C17">
            <v>0</v>
          </cell>
          <cell r="E17">
            <v>0</v>
          </cell>
          <cell r="G17">
            <v>0</v>
          </cell>
          <cell r="I17">
            <v>0</v>
          </cell>
          <cell r="K17">
            <v>0</v>
          </cell>
          <cell r="M17">
            <v>0</v>
          </cell>
          <cell r="O17">
            <v>0</v>
          </cell>
          <cell r="Q17">
            <v>0</v>
          </cell>
          <cell r="S17">
            <v>0</v>
          </cell>
          <cell r="U17">
            <v>0</v>
          </cell>
          <cell r="W17">
            <v>0</v>
          </cell>
          <cell r="Y17">
            <v>0</v>
          </cell>
          <cell r="AA17">
            <v>0</v>
          </cell>
          <cell r="AC17">
            <v>0</v>
          </cell>
          <cell r="AE17">
            <v>0</v>
          </cell>
          <cell r="AG17">
            <v>0</v>
          </cell>
          <cell r="AI17">
            <v>0</v>
          </cell>
          <cell r="AK17">
            <v>0</v>
          </cell>
          <cell r="AM17">
            <v>0</v>
          </cell>
          <cell r="AO17">
            <v>0</v>
          </cell>
          <cell r="AQ17">
            <v>0</v>
          </cell>
          <cell r="AS17">
            <v>0</v>
          </cell>
          <cell r="AU17">
            <v>6.8</v>
          </cell>
          <cell r="AW17">
            <v>18.5</v>
          </cell>
          <cell r="AY17">
            <v>25.3</v>
          </cell>
          <cell r="BA17">
            <v>30</v>
          </cell>
          <cell r="BB17" t="str">
            <v>NM</v>
          </cell>
          <cell r="BC17">
            <v>43.7</v>
          </cell>
          <cell r="BE17">
            <v>53.9</v>
          </cell>
          <cell r="BG17">
            <v>60.9</v>
          </cell>
          <cell r="BH17">
            <v>2.291891891891892</v>
          </cell>
          <cell r="BI17">
            <v>188.5</v>
          </cell>
          <cell r="BJ17">
            <v>6.4505928853754941</v>
          </cell>
          <cell r="BL17">
            <v>68.597000000000008</v>
          </cell>
          <cell r="BM17">
            <v>1.2865666666666669</v>
          </cell>
          <cell r="BN17">
            <v>80.400000000000006</v>
          </cell>
          <cell r="BO17">
            <v>0.83981693363844401</v>
          </cell>
          <cell r="BP17">
            <v>81.55</v>
          </cell>
          <cell r="BQ17">
            <v>0.51298701298701288</v>
          </cell>
          <cell r="BR17">
            <v>93.25</v>
          </cell>
          <cell r="BS17">
            <v>0.53119868637110024</v>
          </cell>
          <cell r="BT17">
            <v>323.79700000000003</v>
          </cell>
          <cell r="BU17">
            <v>0.71775596816976139</v>
          </cell>
          <cell r="BW17">
            <v>95</v>
          </cell>
          <cell r="BX17">
            <v>0.3849002142950857</v>
          </cell>
          <cell r="BY17">
            <v>106</v>
          </cell>
          <cell r="BZ17">
            <v>0.31840796019900486</v>
          </cell>
          <cell r="CA17">
            <v>108</v>
          </cell>
          <cell r="CB17">
            <v>0.32434089515634579</v>
          </cell>
          <cell r="CC17">
            <v>114</v>
          </cell>
          <cell r="CD17">
            <v>0.22252010723860582</v>
          </cell>
          <cell r="CE17">
            <v>423</v>
          </cell>
          <cell r="CF17">
            <v>0.30637405534949358</v>
          </cell>
        </row>
        <row r="18">
          <cell r="B18" t="str">
            <v>Raptiva</v>
          </cell>
          <cell r="C18">
            <v>0</v>
          </cell>
          <cell r="E18">
            <v>0</v>
          </cell>
          <cell r="G18">
            <v>0</v>
          </cell>
          <cell r="I18">
            <v>0</v>
          </cell>
          <cell r="K18">
            <v>0</v>
          </cell>
          <cell r="M18">
            <v>0</v>
          </cell>
          <cell r="O18">
            <v>0</v>
          </cell>
          <cell r="Q18">
            <v>0</v>
          </cell>
          <cell r="S18">
            <v>0</v>
          </cell>
          <cell r="U18">
            <v>0</v>
          </cell>
          <cell r="W18">
            <v>0</v>
          </cell>
          <cell r="Y18">
            <v>0</v>
          </cell>
          <cell r="AA18">
            <v>0</v>
          </cell>
          <cell r="AC18">
            <v>0</v>
          </cell>
          <cell r="AE18">
            <v>0</v>
          </cell>
          <cell r="AG18">
            <v>0</v>
          </cell>
          <cell r="AI18">
            <v>0</v>
          </cell>
          <cell r="AK18">
            <v>0</v>
          </cell>
          <cell r="AM18">
            <v>0</v>
          </cell>
          <cell r="AO18">
            <v>0</v>
          </cell>
          <cell r="AQ18">
            <v>0</v>
          </cell>
          <cell r="AS18">
            <v>0</v>
          </cell>
          <cell r="AU18">
            <v>0</v>
          </cell>
          <cell r="AW18">
            <v>1.4</v>
          </cell>
          <cell r="AY18">
            <v>1.4</v>
          </cell>
          <cell r="BA18">
            <v>6.3</v>
          </cell>
          <cell r="BB18" t="str">
            <v>NM</v>
          </cell>
          <cell r="BC18">
            <v>13.4</v>
          </cell>
          <cell r="BD18" t="str">
            <v>NM</v>
          </cell>
          <cell r="BE18">
            <v>18</v>
          </cell>
          <cell r="BF18" t="str">
            <v>NM</v>
          </cell>
          <cell r="BG18">
            <v>18.600000000000001</v>
          </cell>
          <cell r="BH18" t="str">
            <v>NM</v>
          </cell>
          <cell r="BI18">
            <v>56.300000000000004</v>
          </cell>
          <cell r="BJ18" t="str">
            <v>NM</v>
          </cell>
          <cell r="BL18">
            <v>24.114999999999998</v>
          </cell>
          <cell r="BM18">
            <v>2.8277777777777775</v>
          </cell>
          <cell r="BN18">
            <v>21.3</v>
          </cell>
          <cell r="BO18">
            <v>0.58955223880597019</v>
          </cell>
          <cell r="BP18">
            <v>20.887</v>
          </cell>
          <cell r="BQ18">
            <v>0.16038888888888891</v>
          </cell>
          <cell r="BR18">
            <v>20.452999999999999</v>
          </cell>
          <cell r="BS18">
            <v>9.9623655913978482E-2</v>
          </cell>
          <cell r="BT18">
            <v>86.754999999999995</v>
          </cell>
          <cell r="BU18">
            <v>0.54094138543516856</v>
          </cell>
          <cell r="BW18">
            <v>21</v>
          </cell>
          <cell r="BX18">
            <v>-0.12917271407837438</v>
          </cell>
          <cell r="BY18">
            <v>23</v>
          </cell>
          <cell r="BZ18">
            <v>7.9812206572769995E-2</v>
          </cell>
          <cell r="CA18">
            <v>24</v>
          </cell>
          <cell r="CB18">
            <v>0.14904007277253783</v>
          </cell>
          <cell r="CC18">
            <v>25</v>
          </cell>
          <cell r="CD18">
            <v>0.22231457487899098</v>
          </cell>
          <cell r="CE18">
            <v>93</v>
          </cell>
          <cell r="CF18">
            <v>7.1984323670105432E-2</v>
          </cell>
        </row>
        <row r="19">
          <cell r="B19" t="str">
            <v>Tarceva - US</v>
          </cell>
          <cell r="BA19">
            <v>0</v>
          </cell>
          <cell r="BC19">
            <v>0</v>
          </cell>
          <cell r="BE19">
            <v>0</v>
          </cell>
          <cell r="BG19">
            <v>13.3</v>
          </cell>
          <cell r="BI19">
            <v>13.3</v>
          </cell>
          <cell r="BL19">
            <v>47.585000000000001</v>
          </cell>
          <cell r="BN19">
            <v>70.2</v>
          </cell>
          <cell r="BP19">
            <v>73.22</v>
          </cell>
          <cell r="BR19">
            <v>83.891000000000005</v>
          </cell>
          <cell r="BT19">
            <v>274.89600000000002</v>
          </cell>
          <cell r="BU19" t="str">
            <v>NM</v>
          </cell>
          <cell r="BW19">
            <v>93</v>
          </cell>
          <cell r="BY19">
            <v>102</v>
          </cell>
          <cell r="CA19">
            <v>109</v>
          </cell>
          <cell r="CC19">
            <v>120</v>
          </cell>
          <cell r="CE19">
            <v>424</v>
          </cell>
          <cell r="CF19" t="str">
            <v>NM</v>
          </cell>
        </row>
        <row r="20">
          <cell r="B20" t="str">
            <v>Lucentis - US</v>
          </cell>
          <cell r="BW20">
            <v>0</v>
          </cell>
          <cell r="BY20">
            <v>0</v>
          </cell>
          <cell r="CA20">
            <v>40</v>
          </cell>
          <cell r="CC20">
            <v>95</v>
          </cell>
          <cell r="CE20">
            <v>135</v>
          </cell>
        </row>
        <row r="21">
          <cell r="B21" t="str">
            <v>Growth Hormone Products</v>
          </cell>
          <cell r="C21">
            <v>56.2</v>
          </cell>
          <cell r="E21">
            <v>59.3</v>
          </cell>
          <cell r="G21">
            <v>59.900000000999995</v>
          </cell>
          <cell r="I21">
            <v>45.8</v>
          </cell>
          <cell r="K21">
            <v>221.20000000099998</v>
          </cell>
          <cell r="M21">
            <v>55.1</v>
          </cell>
          <cell r="O21">
            <v>49.9</v>
          </cell>
          <cell r="Q21">
            <v>61.1</v>
          </cell>
          <cell r="S21">
            <v>60.5</v>
          </cell>
          <cell r="U21">
            <v>226.6</v>
          </cell>
          <cell r="W21">
            <v>55.499999999000018</v>
          </cell>
          <cell r="Y21">
            <v>62.5</v>
          </cell>
          <cell r="AA21">
            <v>67.7</v>
          </cell>
          <cell r="AC21">
            <v>64.53</v>
          </cell>
          <cell r="AE21">
            <v>250.229999999</v>
          </cell>
          <cell r="AG21">
            <v>67.680000000000007</v>
          </cell>
          <cell r="AI21">
            <v>75.33</v>
          </cell>
          <cell r="AK21">
            <v>77.400000000000006</v>
          </cell>
          <cell r="AM21">
            <v>76.814999999999998</v>
          </cell>
          <cell r="AO21">
            <v>297.22500000000002</v>
          </cell>
          <cell r="AQ21">
            <v>76.7</v>
          </cell>
          <cell r="AS21">
            <v>81.599999999999994</v>
          </cell>
          <cell r="AU21">
            <v>80.599999999999994</v>
          </cell>
          <cell r="AW21">
            <v>83</v>
          </cell>
          <cell r="AY21">
            <v>321.89999999999998</v>
          </cell>
          <cell r="BA21">
            <v>85.5</v>
          </cell>
          <cell r="BB21">
            <v>0.11473272490221631</v>
          </cell>
          <cell r="BC21">
            <v>88.4</v>
          </cell>
          <cell r="BD21">
            <v>8.3333333333333481E-2</v>
          </cell>
          <cell r="BE21">
            <v>87.2</v>
          </cell>
          <cell r="BF21">
            <v>8.1885856079404684E-2</v>
          </cell>
          <cell r="BG21">
            <v>92.5</v>
          </cell>
          <cell r="BH21">
            <v>0.1144578313253013</v>
          </cell>
          <cell r="BI21">
            <v>353.6</v>
          </cell>
          <cell r="BJ21">
            <v>9.8477788132960598E-2</v>
          </cell>
          <cell r="BL21">
            <v>92.087999999999994</v>
          </cell>
          <cell r="BM21">
            <v>7.7052631578947262E-2</v>
          </cell>
          <cell r="BN21">
            <v>97.116</v>
          </cell>
          <cell r="BO21">
            <v>9.8597285067873131E-2</v>
          </cell>
          <cell r="BP21">
            <v>88.584999999999994</v>
          </cell>
          <cell r="BQ21">
            <v>1.5883027522935578E-2</v>
          </cell>
          <cell r="BR21">
            <v>94.891000000000005</v>
          </cell>
          <cell r="BS21">
            <v>2.5848648648648664E-2</v>
          </cell>
          <cell r="BT21">
            <v>372.68</v>
          </cell>
          <cell r="BU21">
            <v>5.3959276018099578E-2</v>
          </cell>
          <cell r="BW21">
            <v>87</v>
          </cell>
          <cell r="BX21">
            <v>-5.5251498566588397E-2</v>
          </cell>
          <cell r="BY21">
            <v>97</v>
          </cell>
          <cell r="BZ21">
            <v>-1.194447876765925E-3</v>
          </cell>
          <cell r="CA21">
            <v>97</v>
          </cell>
          <cell r="CB21">
            <v>9.4993509059095871E-2</v>
          </cell>
          <cell r="CC21">
            <v>97</v>
          </cell>
          <cell r="CD21">
            <v>2.2225500837803391E-2</v>
          </cell>
          <cell r="CE21">
            <v>378</v>
          </cell>
          <cell r="CF21">
            <v>1.427498121712989E-2</v>
          </cell>
        </row>
        <row r="22">
          <cell r="B22" t="str">
            <v>Thrombolytics</v>
          </cell>
          <cell r="C22">
            <v>51.999999999000003</v>
          </cell>
          <cell r="E22">
            <v>58.100000000999991</v>
          </cell>
          <cell r="G22">
            <v>59.2</v>
          </cell>
          <cell r="I22">
            <v>66.700000000999992</v>
          </cell>
          <cell r="K22">
            <v>236.00000000099999</v>
          </cell>
          <cell r="M22">
            <v>47.5</v>
          </cell>
          <cell r="O22">
            <v>56.8</v>
          </cell>
          <cell r="Q22">
            <v>50.7</v>
          </cell>
          <cell r="S22">
            <v>51.2</v>
          </cell>
          <cell r="U22">
            <v>206.2</v>
          </cell>
          <cell r="W22">
            <v>52.099999999000005</v>
          </cell>
          <cell r="Y22">
            <v>51.6</v>
          </cell>
          <cell r="AA22">
            <v>48.6</v>
          </cell>
          <cell r="AC22">
            <v>44.805593250000001</v>
          </cell>
          <cell r="AE22">
            <v>197.10559324899998</v>
          </cell>
          <cell r="AG22">
            <v>42.834863389724994</v>
          </cell>
          <cell r="AI22">
            <v>43.103975852272498</v>
          </cell>
          <cell r="AK22">
            <v>45.6</v>
          </cell>
          <cell r="AM22">
            <v>48.655636966529997</v>
          </cell>
          <cell r="AO22">
            <v>180.19447620852748</v>
          </cell>
          <cell r="AQ22">
            <v>47.5</v>
          </cell>
          <cell r="AS22">
            <v>47.6</v>
          </cell>
          <cell r="AU22">
            <v>46</v>
          </cell>
          <cell r="AW22">
            <v>44.1</v>
          </cell>
          <cell r="AY22">
            <v>185.2</v>
          </cell>
          <cell r="BA22">
            <v>46.3</v>
          </cell>
          <cell r="BB22">
            <v>-2.5263157894736876E-2</v>
          </cell>
          <cell r="BC22">
            <v>51.5</v>
          </cell>
          <cell r="BD22">
            <v>8.1932773109243628E-2</v>
          </cell>
          <cell r="BE22">
            <v>54</v>
          </cell>
          <cell r="BF22">
            <v>0.17391304347826098</v>
          </cell>
          <cell r="BG22">
            <v>48.2</v>
          </cell>
          <cell r="BH22">
            <v>9.2970521541950069E-2</v>
          </cell>
          <cell r="BI22">
            <v>200</v>
          </cell>
          <cell r="BJ22">
            <v>7.9913606911447221E-2</v>
          </cell>
          <cell r="BL22">
            <v>53.57</v>
          </cell>
          <cell r="BM22">
            <v>0.15701943844492439</v>
          </cell>
          <cell r="BN22">
            <v>51.6</v>
          </cell>
          <cell r="BO22">
            <v>1.9417475728156219E-3</v>
          </cell>
          <cell r="BP22">
            <v>57.902999999999999</v>
          </cell>
          <cell r="BQ22">
            <v>7.2277777777777663E-2</v>
          </cell>
          <cell r="BR22">
            <v>58.389000000000003</v>
          </cell>
          <cell r="BS22">
            <v>0.21139004149377594</v>
          </cell>
          <cell r="BT22">
            <v>221.46200000000002</v>
          </cell>
          <cell r="BU22">
            <v>0.10731000000000002</v>
          </cell>
          <cell r="BW22">
            <v>59</v>
          </cell>
          <cell r="BX22">
            <v>0.10136270300541339</v>
          </cell>
          <cell r="BY22">
            <v>60</v>
          </cell>
          <cell r="BZ22">
            <v>0.16279069767441867</v>
          </cell>
          <cell r="CA22">
            <v>60</v>
          </cell>
          <cell r="CB22">
            <v>3.6215740117092388E-2</v>
          </cell>
          <cell r="CC22">
            <v>60</v>
          </cell>
          <cell r="CD22">
            <v>2.7590813338128628E-2</v>
          </cell>
          <cell r="CE22">
            <v>239</v>
          </cell>
          <cell r="CF22">
            <v>7.91919155430727E-2</v>
          </cell>
        </row>
        <row r="23">
          <cell r="B23" t="str">
            <v>Pulmozyme</v>
          </cell>
          <cell r="C23">
            <v>28.199999999000003</v>
          </cell>
          <cell r="E23">
            <v>30.600000000999994</v>
          </cell>
          <cell r="G23">
            <v>26.999999999000003</v>
          </cell>
          <cell r="I23">
            <v>25.599999999000005</v>
          </cell>
          <cell r="K23">
            <v>111.399999998</v>
          </cell>
          <cell r="M23">
            <v>26.8</v>
          </cell>
          <cell r="O23">
            <v>32.300000000999994</v>
          </cell>
          <cell r="Q23">
            <v>29.999999999000003</v>
          </cell>
          <cell r="S23">
            <v>32.700000000999992</v>
          </cell>
          <cell r="U23">
            <v>121.80000000099999</v>
          </cell>
          <cell r="W23">
            <v>29.899999999000006</v>
          </cell>
          <cell r="Y23">
            <v>28.1</v>
          </cell>
          <cell r="AA23">
            <v>32.799999999999997</v>
          </cell>
          <cell r="AC23">
            <v>32.077500000000001</v>
          </cell>
          <cell r="AE23">
            <v>122.87749999900001</v>
          </cell>
          <cell r="AG23">
            <v>31.6875</v>
          </cell>
          <cell r="AI23">
            <v>35.1</v>
          </cell>
          <cell r="AK23">
            <v>38.200000000000003</v>
          </cell>
          <cell r="AM23">
            <v>33.052500000000002</v>
          </cell>
          <cell r="AO23">
            <v>138.04</v>
          </cell>
          <cell r="AQ23">
            <v>39.6</v>
          </cell>
          <cell r="AS23">
            <v>42.6</v>
          </cell>
          <cell r="AU23">
            <v>40.4</v>
          </cell>
          <cell r="AW23">
            <v>44.6</v>
          </cell>
          <cell r="AY23">
            <v>167.2</v>
          </cell>
          <cell r="BA23">
            <v>43.4</v>
          </cell>
          <cell r="BB23">
            <v>9.59595959595958E-2</v>
          </cell>
          <cell r="BC23">
            <v>41</v>
          </cell>
          <cell r="BD23">
            <v>-3.7558685446009377E-2</v>
          </cell>
          <cell r="BE23">
            <v>45.7</v>
          </cell>
          <cell r="BF23">
            <v>0.1311881188118813</v>
          </cell>
          <cell r="BG23">
            <v>47.6</v>
          </cell>
          <cell r="BH23">
            <v>6.7264573991031362E-2</v>
          </cell>
          <cell r="BI23">
            <v>177.70000000000002</v>
          </cell>
          <cell r="BJ23">
            <v>6.2799043062201187E-2</v>
          </cell>
          <cell r="BL23">
            <v>51.745999999999995</v>
          </cell>
          <cell r="BM23">
            <v>0.19230414746543767</v>
          </cell>
          <cell r="BN23">
            <v>46.9</v>
          </cell>
          <cell r="BO23">
            <v>0.14390243902439015</v>
          </cell>
          <cell r="BP23">
            <v>46.593000000000004</v>
          </cell>
          <cell r="BQ23">
            <v>1.9540481400437626E-2</v>
          </cell>
          <cell r="BR23">
            <v>49.008000000000003</v>
          </cell>
          <cell r="BS23">
            <v>2.9579831932773137E-2</v>
          </cell>
          <cell r="BT23">
            <v>194.24699999999999</v>
          </cell>
          <cell r="BU23">
            <v>9.3117613956105627E-2</v>
          </cell>
          <cell r="BW23">
            <v>49</v>
          </cell>
          <cell r="BX23">
            <v>-5.3066903722026715E-2</v>
          </cell>
          <cell r="BY23">
            <v>52</v>
          </cell>
          <cell r="BZ23">
            <v>0.10874200426439229</v>
          </cell>
          <cell r="CA23">
            <v>52</v>
          </cell>
          <cell r="CB23">
            <v>0.11604747494258794</v>
          </cell>
          <cell r="CC23">
            <v>52</v>
          </cell>
          <cell r="CD23">
            <v>6.1051256937642684E-2</v>
          </cell>
          <cell r="CE23">
            <v>205</v>
          </cell>
          <cell r="CF23">
            <v>5.5357354296334149E-2</v>
          </cell>
        </row>
        <row r="24">
          <cell r="B24" t="str">
            <v>Actimmune</v>
          </cell>
          <cell r="C24">
            <v>0.7</v>
          </cell>
          <cell r="E24">
            <v>0.7</v>
          </cell>
          <cell r="G24">
            <v>0.4</v>
          </cell>
          <cell r="I24">
            <v>0.9</v>
          </cell>
          <cell r="K24">
            <v>2.6999999999999997</v>
          </cell>
          <cell r="M24">
            <v>0</v>
          </cell>
          <cell r="O24">
            <v>0.9</v>
          </cell>
          <cell r="Q24">
            <v>1.9</v>
          </cell>
          <cell r="S24">
            <v>0.9</v>
          </cell>
          <cell r="U24">
            <v>3.6999999999999997</v>
          </cell>
          <cell r="W24">
            <v>0.9</v>
          </cell>
          <cell r="Y24">
            <v>1.6</v>
          </cell>
          <cell r="AA24">
            <v>2.9</v>
          </cell>
          <cell r="AC24">
            <v>1.5</v>
          </cell>
          <cell r="AE24">
            <v>6.9</v>
          </cell>
          <cell r="AG24">
            <v>0</v>
          </cell>
          <cell r="AI24">
            <v>0</v>
          </cell>
          <cell r="AK24">
            <v>0</v>
          </cell>
          <cell r="AM24">
            <v>0</v>
          </cell>
          <cell r="AO24">
            <v>0</v>
          </cell>
          <cell r="AQ24">
            <v>0</v>
          </cell>
          <cell r="AS24">
            <v>0</v>
          </cell>
          <cell r="AU24">
            <v>0</v>
          </cell>
          <cell r="AW24">
            <v>0</v>
          </cell>
          <cell r="AY24">
            <v>0</v>
          </cell>
          <cell r="BA24">
            <v>0</v>
          </cell>
          <cell r="BC24">
            <v>0</v>
          </cell>
          <cell r="BE24">
            <v>0</v>
          </cell>
          <cell r="BG24">
            <v>0</v>
          </cell>
          <cell r="BI24">
            <v>0</v>
          </cell>
          <cell r="BL24">
            <v>0</v>
          </cell>
          <cell r="BN24">
            <v>0</v>
          </cell>
          <cell r="BP24">
            <v>0</v>
          </cell>
          <cell r="BR24">
            <v>0</v>
          </cell>
          <cell r="BT24">
            <v>0</v>
          </cell>
          <cell r="BW24">
            <v>0</v>
          </cell>
          <cell r="BY24">
            <v>0</v>
          </cell>
          <cell r="CA24">
            <v>0</v>
          </cell>
          <cell r="CC24">
            <v>0</v>
          </cell>
          <cell r="CE24">
            <v>0</v>
          </cell>
        </row>
        <row r="25">
          <cell r="B25" t="str">
            <v>Other</v>
          </cell>
          <cell r="AU25">
            <v>1.7220000000000937</v>
          </cell>
          <cell r="AW25">
            <v>4.9000000000000004</v>
          </cell>
          <cell r="AY25">
            <v>6.622000000000094</v>
          </cell>
          <cell r="BA25">
            <v>0</v>
          </cell>
          <cell r="BC25">
            <v>0</v>
          </cell>
          <cell r="BE25">
            <v>0</v>
          </cell>
          <cell r="BG25">
            <v>10.6</v>
          </cell>
          <cell r="BI25">
            <v>10.6</v>
          </cell>
          <cell r="BL25">
            <v>19.696000000000002</v>
          </cell>
          <cell r="BN25">
            <v>24.5</v>
          </cell>
          <cell r="BP25">
            <v>0</v>
          </cell>
          <cell r="BR25">
            <v>0</v>
          </cell>
          <cell r="BT25">
            <v>44.195999999999998</v>
          </cell>
          <cell r="BW25">
            <v>20</v>
          </cell>
          <cell r="BY25">
            <v>0</v>
          </cell>
          <cell r="CA25">
            <v>0</v>
          </cell>
          <cell r="CC25">
            <v>0</v>
          </cell>
          <cell r="CE25">
            <v>20</v>
          </cell>
        </row>
        <row r="26">
          <cell r="B26" t="str">
            <v>Product Sales</v>
          </cell>
          <cell r="C26">
            <v>273.99999999700003</v>
          </cell>
          <cell r="E26">
            <v>315.50000000200004</v>
          </cell>
          <cell r="G26">
            <v>314.90000000099997</v>
          </cell>
          <cell r="I26">
            <v>323.09999999999991</v>
          </cell>
          <cell r="K26">
            <v>1227.5000000000002</v>
          </cell>
          <cell r="M26">
            <v>378.39006622616557</v>
          </cell>
          <cell r="O26">
            <v>385.15077262893152</v>
          </cell>
          <cell r="Q26">
            <v>425.56379690849229</v>
          </cell>
          <cell r="S26">
            <v>423.25275938289838</v>
          </cell>
          <cell r="U26">
            <v>1612.3573951464878</v>
          </cell>
          <cell r="W26">
            <v>500.09999999700005</v>
          </cell>
          <cell r="Y26">
            <v>521.01999999899999</v>
          </cell>
          <cell r="AA26">
            <v>572.87999999999988</v>
          </cell>
          <cell r="AC26">
            <v>639.05806881000001</v>
          </cell>
          <cell r="AE26">
            <v>2233.0580688059999</v>
          </cell>
          <cell r="AG26">
            <v>476.53760687772501</v>
          </cell>
          <cell r="AI26">
            <v>523.54184124299252</v>
          </cell>
          <cell r="AK26">
            <v>551.80000000000007</v>
          </cell>
          <cell r="AM26">
            <v>611.74911154892993</v>
          </cell>
          <cell r="AO26">
            <v>2163.6285596696475</v>
          </cell>
          <cell r="AQ26">
            <v>598.5</v>
          </cell>
          <cell r="AS26">
            <v>644.29999999999995</v>
          </cell>
          <cell r="AU26">
            <v>654.92200000000014</v>
          </cell>
          <cell r="AW26">
            <v>723.8</v>
          </cell>
          <cell r="AY26">
            <v>2621.5219999999999</v>
          </cell>
          <cell r="BA26">
            <v>763.7</v>
          </cell>
          <cell r="BB26">
            <v>0.27602339181286561</v>
          </cell>
          <cell r="BC26">
            <v>913.36599999999999</v>
          </cell>
          <cell r="BD26">
            <v>0.41760980909514211</v>
          </cell>
          <cell r="BE26">
            <v>1005.5</v>
          </cell>
          <cell r="BF26">
            <v>0.53529733311753125</v>
          </cell>
          <cell r="BG26">
            <v>1066.3000000000002</v>
          </cell>
          <cell r="BH26">
            <v>0.47319701575020767</v>
          </cell>
          <cell r="BI26">
            <v>3748.9</v>
          </cell>
          <cell r="BJ26">
            <v>0.43004712529591593</v>
          </cell>
          <cell r="BL26">
            <v>1186.0020000000002</v>
          </cell>
          <cell r="BM26">
            <v>0.55296844310593185</v>
          </cell>
          <cell r="BN26">
            <v>1274.1490000000001</v>
          </cell>
          <cell r="BO26">
            <v>0.39500375534013754</v>
          </cell>
          <cell r="BP26">
            <v>1450.9689999999998</v>
          </cell>
          <cell r="BQ26">
            <v>0.44303232222774724</v>
          </cell>
          <cell r="BR26">
            <v>1576.9650000000001</v>
          </cell>
          <cell r="BS26">
            <v>0.47891306386570376</v>
          </cell>
          <cell r="BT26">
            <v>5488.085</v>
          </cell>
          <cell r="BU26">
            <v>0.46391874949985334</v>
          </cell>
          <cell r="BW26">
            <v>1644</v>
          </cell>
          <cell r="BX26">
            <v>0.38616966919111406</v>
          </cell>
          <cell r="BY26">
            <v>1833.6799999999998</v>
          </cell>
          <cell r="BZ26">
            <v>0.43914094819365679</v>
          </cell>
          <cell r="CA26">
            <v>1989.4</v>
          </cell>
          <cell r="CB26">
            <v>0.37108373783313109</v>
          </cell>
          <cell r="CC26">
            <v>2180.2800000000002</v>
          </cell>
          <cell r="CD26">
            <v>0.38257982897527842</v>
          </cell>
          <cell r="CE26">
            <v>7647.3600000000006</v>
          </cell>
          <cell r="CF26">
            <v>0.39344780556423609</v>
          </cell>
        </row>
        <row r="27">
          <cell r="B27" t="str">
            <v>Royalties</v>
          </cell>
          <cell r="C27">
            <v>46.618000000000002</v>
          </cell>
          <cell r="E27">
            <v>45.985999999999997</v>
          </cell>
          <cell r="G27">
            <v>46.128</v>
          </cell>
          <cell r="I27">
            <v>50.537999999999997</v>
          </cell>
          <cell r="K27">
            <v>189.26999999999998</v>
          </cell>
          <cell r="M27">
            <v>47.344000000000001</v>
          </cell>
          <cell r="O27">
            <v>49.643000000000001</v>
          </cell>
          <cell r="Q27">
            <v>51.817999999999998</v>
          </cell>
          <cell r="S27">
            <v>58.436</v>
          </cell>
          <cell r="U27">
            <v>207.24100000000001</v>
          </cell>
          <cell r="W27">
            <v>74.631</v>
          </cell>
          <cell r="Y27">
            <v>52.445999999999998</v>
          </cell>
          <cell r="AA27">
            <v>66.051000000000002</v>
          </cell>
          <cell r="AC27">
            <v>71.346000000000004</v>
          </cell>
          <cell r="AE27">
            <v>264.47399999999999</v>
          </cell>
          <cell r="AG27">
            <v>81.843000000000004</v>
          </cell>
          <cell r="AI27">
            <v>85.534999999999997</v>
          </cell>
          <cell r="AK27">
            <v>85.081999999999994</v>
          </cell>
          <cell r="AM27">
            <v>113.09</v>
          </cell>
          <cell r="AO27">
            <v>365.54999999999995</v>
          </cell>
          <cell r="AQ27">
            <v>113.27500000000001</v>
          </cell>
          <cell r="AS27">
            <v>122.786</v>
          </cell>
          <cell r="AU27">
            <v>116.5</v>
          </cell>
          <cell r="AW27">
            <v>148.30699999999999</v>
          </cell>
          <cell r="AY27">
            <v>500.86800000000005</v>
          </cell>
          <cell r="BA27">
            <v>154.09700000000001</v>
          </cell>
          <cell r="BB27">
            <v>0.36037960715073947</v>
          </cell>
          <cell r="BC27">
            <v>151.86000000000001</v>
          </cell>
          <cell r="BD27">
            <v>0.23678595279592152</v>
          </cell>
          <cell r="BE27">
            <v>153.9</v>
          </cell>
          <cell r="BF27">
            <v>0.32103004291845494</v>
          </cell>
          <cell r="BG27">
            <v>181.24300000000002</v>
          </cell>
          <cell r="BH27">
            <v>0.2220798748541879</v>
          </cell>
          <cell r="BI27">
            <v>641.1</v>
          </cell>
          <cell r="BJ27">
            <v>0.27997795826445282</v>
          </cell>
          <cell r="BL27">
            <v>231.9</v>
          </cell>
          <cell r="BM27">
            <v>0.50489626663724785</v>
          </cell>
          <cell r="BN27">
            <v>200.321</v>
          </cell>
          <cell r="BO27">
            <v>0.31911629132095332</v>
          </cell>
          <cell r="BP27">
            <v>237.77699999999999</v>
          </cell>
          <cell r="BQ27">
            <v>0.54500974658869383</v>
          </cell>
          <cell r="BR27">
            <v>265.09899999999999</v>
          </cell>
          <cell r="BS27">
            <v>0.46267166180211072</v>
          </cell>
          <cell r="BT27">
            <v>935.09699999999998</v>
          </cell>
          <cell r="BU27">
            <v>0.45858212447356106</v>
          </cell>
          <cell r="BW27">
            <v>286</v>
          </cell>
          <cell r="BX27">
            <v>0.23329021129797334</v>
          </cell>
          <cell r="BY27">
            <v>299.89999999999998</v>
          </cell>
          <cell r="BZ27">
            <v>0.49709715905970908</v>
          </cell>
          <cell r="CA27">
            <v>325.3</v>
          </cell>
          <cell r="CB27">
            <v>0.36808858720565918</v>
          </cell>
          <cell r="CC27">
            <v>346.8</v>
          </cell>
          <cell r="CD27">
            <v>0.30819052504913258</v>
          </cell>
          <cell r="CE27">
            <v>1258</v>
          </cell>
          <cell r="CF27">
            <v>0.34531497801832334</v>
          </cell>
        </row>
        <row r="28">
          <cell r="B28" t="str">
            <v>Contract and Other</v>
          </cell>
          <cell r="C28">
            <v>19.265999999999998</v>
          </cell>
          <cell r="E28">
            <v>37.578000000000003</v>
          </cell>
          <cell r="G28">
            <v>7.5030000000000001</v>
          </cell>
          <cell r="I28">
            <v>18.895</v>
          </cell>
          <cell r="K28">
            <v>83.242000000000004</v>
          </cell>
          <cell r="M28">
            <v>33.695999999999998</v>
          </cell>
          <cell r="O28">
            <v>32.348999999999997</v>
          </cell>
          <cell r="Q28">
            <v>33.478999999999999</v>
          </cell>
          <cell r="S28">
            <v>54.363999999999997</v>
          </cell>
          <cell r="U28">
            <v>151.72999999999999</v>
          </cell>
          <cell r="W28">
            <v>28.478999999999999</v>
          </cell>
          <cell r="Y28">
            <v>20.934999999999999</v>
          </cell>
          <cell r="AA28">
            <v>8.9410000000000007</v>
          </cell>
          <cell r="AC28">
            <v>6.0019999999999998</v>
          </cell>
          <cell r="AE28">
            <v>62.198999999999998</v>
          </cell>
          <cell r="AG28">
            <v>9.6999999999999993</v>
          </cell>
          <cell r="AI28">
            <v>13.2</v>
          </cell>
          <cell r="AK28">
            <v>13.22</v>
          </cell>
          <cell r="AM28">
            <v>18.3</v>
          </cell>
          <cell r="AO28">
            <v>54.42</v>
          </cell>
          <cell r="AQ28">
            <v>37.914999999999999</v>
          </cell>
          <cell r="AS28">
            <v>32.601999999999997</v>
          </cell>
          <cell r="AU28">
            <v>45.6</v>
          </cell>
          <cell r="AW28">
            <v>61.756</v>
          </cell>
          <cell r="AY28">
            <v>177.87299999999999</v>
          </cell>
          <cell r="BA28">
            <v>57.338000000000001</v>
          </cell>
          <cell r="BB28">
            <v>0.51227746274561525</v>
          </cell>
          <cell r="BC28">
            <v>62.851999999999997</v>
          </cell>
          <cell r="BD28">
            <v>0.92785718667566419</v>
          </cell>
          <cell r="BE28">
            <v>43.2</v>
          </cell>
          <cell r="BF28">
            <v>-5.2631578947368363E-2</v>
          </cell>
          <cell r="BG28">
            <v>67.809999999999988</v>
          </cell>
          <cell r="BH28">
            <v>9.8030960554439828E-2</v>
          </cell>
          <cell r="BI28">
            <v>231.2</v>
          </cell>
          <cell r="BJ28">
            <v>0.29980379259359213</v>
          </cell>
          <cell r="BL28">
            <v>43.7</v>
          </cell>
          <cell r="BM28">
            <v>-0.23785273291708808</v>
          </cell>
          <cell r="BN28">
            <v>52.442999999999998</v>
          </cell>
          <cell r="BO28">
            <v>-0.16561127728632341</v>
          </cell>
          <cell r="BP28">
            <v>63.066000000000003</v>
          </cell>
          <cell r="BQ28">
            <v>0.45986111111111105</v>
          </cell>
          <cell r="BR28">
            <v>51.031999999999996</v>
          </cell>
          <cell r="BS28">
            <v>-0.24742663323993508</v>
          </cell>
          <cell r="BT28">
            <v>210.24099999999999</v>
          </cell>
          <cell r="BU28">
            <v>-9.065311418685118E-2</v>
          </cell>
          <cell r="BW28">
            <v>56</v>
          </cell>
          <cell r="BX28">
            <v>0.28146453089244838</v>
          </cell>
          <cell r="BY28">
            <v>52</v>
          </cell>
          <cell r="BZ28">
            <v>-8.4472665560703097E-3</v>
          </cell>
          <cell r="CA28">
            <v>52</v>
          </cell>
          <cell r="CB28">
            <v>-0.17546697110963116</v>
          </cell>
          <cell r="CC28">
            <v>55</v>
          </cell>
          <cell r="CD28">
            <v>7.7755134033547613E-2</v>
          </cell>
          <cell r="CE28">
            <v>215</v>
          </cell>
          <cell r="CF28">
            <v>2.2635927340528328E-2</v>
          </cell>
        </row>
        <row r="29">
          <cell r="B29" t="str">
            <v>Total Operating Revenue</v>
          </cell>
          <cell r="C29">
            <v>339.88399999700005</v>
          </cell>
          <cell r="E29">
            <v>399.06400000200006</v>
          </cell>
          <cell r="G29">
            <v>368.53100000099994</v>
          </cell>
          <cell r="I29">
            <v>392.5329999999999</v>
          </cell>
          <cell r="K29">
            <v>1500.0120000000002</v>
          </cell>
          <cell r="M29">
            <v>459.43006622616554</v>
          </cell>
          <cell r="O29">
            <v>467.14277262893148</v>
          </cell>
          <cell r="Q29">
            <v>510.86079690849226</v>
          </cell>
          <cell r="S29">
            <v>536.05275938289833</v>
          </cell>
          <cell r="U29">
            <v>1973.4863951464877</v>
          </cell>
          <cell r="W29">
            <v>603.20999999700007</v>
          </cell>
          <cell r="Y29">
            <v>594.40099999899996</v>
          </cell>
          <cell r="AA29">
            <v>647.87199999999996</v>
          </cell>
          <cell r="AC29">
            <v>716.40606880999997</v>
          </cell>
          <cell r="AE29">
            <v>2561.8890688059996</v>
          </cell>
          <cell r="AG29">
            <v>568.08060687772502</v>
          </cell>
          <cell r="AI29">
            <v>622.27684124299253</v>
          </cell>
          <cell r="AK29">
            <v>650.10200000000009</v>
          </cell>
          <cell r="AM29">
            <v>743.13911154892992</v>
          </cell>
          <cell r="AO29">
            <v>2583.5985596696473</v>
          </cell>
          <cell r="AQ29">
            <v>749.68999999999994</v>
          </cell>
          <cell r="AS29">
            <v>799.68799999999999</v>
          </cell>
          <cell r="AU29">
            <v>817.02200000000016</v>
          </cell>
          <cell r="AW29">
            <v>933.86299999999994</v>
          </cell>
          <cell r="AY29">
            <v>3300.2629999999999</v>
          </cell>
          <cell r="BA29">
            <v>975.13499999999999</v>
          </cell>
          <cell r="BB29">
            <v>0.30071762995371421</v>
          </cell>
          <cell r="BC29">
            <v>1128.0780000000002</v>
          </cell>
          <cell r="BD29">
            <v>0.41064765258450819</v>
          </cell>
          <cell r="BE29">
            <v>1202.6000000000001</v>
          </cell>
          <cell r="BF29">
            <v>0.47193098839443715</v>
          </cell>
          <cell r="BG29">
            <v>1315.3530000000001</v>
          </cell>
          <cell r="BH29">
            <v>0.40850745773202291</v>
          </cell>
          <cell r="BI29">
            <v>4621.2</v>
          </cell>
          <cell r="BJ29">
            <v>0.40025204051919494</v>
          </cell>
          <cell r="BL29">
            <v>1461.6020000000003</v>
          </cell>
          <cell r="BM29">
            <v>0.49887143831366965</v>
          </cell>
          <cell r="BN29">
            <v>1526.913</v>
          </cell>
          <cell r="BO29">
            <v>0.35355267986788119</v>
          </cell>
          <cell r="BP29">
            <v>1751.8119999999999</v>
          </cell>
          <cell r="BQ29">
            <v>0.45668717778147316</v>
          </cell>
          <cell r="BR29">
            <v>1893.096</v>
          </cell>
          <cell r="BS29">
            <v>0.43923038150215188</v>
          </cell>
          <cell r="BT29">
            <v>6633.4230000000007</v>
          </cell>
          <cell r="BU29">
            <v>0.43543300441443811</v>
          </cell>
          <cell r="BW29">
            <v>1986</v>
          </cell>
          <cell r="BX29">
            <v>0.35878303395862865</v>
          </cell>
          <cell r="BY29">
            <v>2185.58</v>
          </cell>
          <cell r="BZ29">
            <v>0.43137166295656648</v>
          </cell>
          <cell r="CA29">
            <v>2366.7000000000003</v>
          </cell>
          <cell r="CB29">
            <v>0.35100113482496997</v>
          </cell>
          <cell r="CC29">
            <v>2582.0800000000004</v>
          </cell>
          <cell r="CD29">
            <v>0.36394562135253583</v>
          </cell>
          <cell r="CE29">
            <v>9120.36</v>
          </cell>
          <cell r="CF29">
            <v>0.37491005774846564</v>
          </cell>
        </row>
        <row r="30">
          <cell r="B30" t="str">
            <v>Cost of Sales</v>
          </cell>
          <cell r="C30">
            <v>45.722999999999999</v>
          </cell>
          <cell r="E30">
            <v>52.680999999999997</v>
          </cell>
          <cell r="G30">
            <v>45.936</v>
          </cell>
          <cell r="I30">
            <v>47.850999999999999</v>
          </cell>
          <cell r="K30">
            <v>192.191</v>
          </cell>
          <cell r="M30">
            <v>62.856999999999999</v>
          </cell>
          <cell r="O30">
            <v>66.283000000000001</v>
          </cell>
          <cell r="Q30">
            <v>75.584000000000003</v>
          </cell>
          <cell r="S30">
            <v>67.343999999999994</v>
          </cell>
          <cell r="U30">
            <v>272.06799999999998</v>
          </cell>
          <cell r="W30">
            <v>83.796000000000006</v>
          </cell>
          <cell r="Y30">
            <v>76.188000000000002</v>
          </cell>
          <cell r="AA30">
            <v>96.03</v>
          </cell>
          <cell r="AC30">
            <v>98.427999999999997</v>
          </cell>
          <cell r="AE30">
            <v>354.44200000000001</v>
          </cell>
          <cell r="AG30">
            <v>102.444</v>
          </cell>
          <cell r="AI30">
            <v>106.867</v>
          </cell>
          <cell r="AK30">
            <v>112.48099999999999</v>
          </cell>
          <cell r="AM30">
            <v>119.83799999999999</v>
          </cell>
          <cell r="AO30">
            <v>441.63</v>
          </cell>
          <cell r="AQ30">
            <v>114.842</v>
          </cell>
          <cell r="AS30">
            <v>123.407</v>
          </cell>
          <cell r="AU30">
            <v>115.7</v>
          </cell>
          <cell r="AW30">
            <v>126.202</v>
          </cell>
          <cell r="AY30">
            <v>480.15100000000001</v>
          </cell>
          <cell r="BA30">
            <v>114.48</v>
          </cell>
          <cell r="BB30">
            <v>-3.152156876404022E-3</v>
          </cell>
          <cell r="BC30">
            <v>186.68299999999999</v>
          </cell>
          <cell r="BD30">
            <v>0.51274238900548585</v>
          </cell>
          <cell r="BE30">
            <v>165.99</v>
          </cell>
          <cell r="BF30">
            <v>0.43465859982713928</v>
          </cell>
          <cell r="BG30">
            <v>205.34699999999998</v>
          </cell>
          <cell r="BH30">
            <v>0.62712952251152898</v>
          </cell>
          <cell r="BI30">
            <v>672.5</v>
          </cell>
          <cell r="BJ30">
            <v>0.40060106091625336</v>
          </cell>
          <cell r="BL30">
            <v>251.041</v>
          </cell>
          <cell r="BM30">
            <v>1.1928808525506636</v>
          </cell>
          <cell r="BN30">
            <v>269.48099999999999</v>
          </cell>
          <cell r="BO30">
            <v>0.44352190611892883</v>
          </cell>
          <cell r="BP30">
            <v>245.62700000000001</v>
          </cell>
          <cell r="BQ30">
            <v>0.47976986565455748</v>
          </cell>
          <cell r="BR30">
            <v>244.91399999999999</v>
          </cell>
          <cell r="BS30">
            <v>0.19268360385104244</v>
          </cell>
          <cell r="BT30">
            <v>1011.0629999999999</v>
          </cell>
          <cell r="BU30">
            <v>0.50343940520446084</v>
          </cell>
          <cell r="BW30">
            <v>262</v>
          </cell>
          <cell r="BX30">
            <v>4.3654223812046755E-2</v>
          </cell>
          <cell r="BY30">
            <v>293.3888</v>
          </cell>
          <cell r="BZ30">
            <v>8.8717943008969069E-2</v>
          </cell>
          <cell r="CA30">
            <v>318.30400000000003</v>
          </cell>
          <cell r="CB30">
            <v>0.29588359585876156</v>
          </cell>
          <cell r="CC30">
            <v>348.84480000000002</v>
          </cell>
          <cell r="CD30">
            <v>0.42435630466204488</v>
          </cell>
          <cell r="CE30">
            <v>1222.5376000000001</v>
          </cell>
          <cell r="CF30">
            <v>0.20916065566636322</v>
          </cell>
        </row>
        <row r="31">
          <cell r="B31" t="str">
            <v>% of Product Sales</v>
          </cell>
          <cell r="C31">
            <v>0.19589974293310924</v>
          </cell>
          <cell r="E31">
            <v>0.19613179448848747</v>
          </cell>
          <cell r="G31">
            <v>0.17230307576829593</v>
          </cell>
          <cell r="I31">
            <v>0.17868185212845411</v>
          </cell>
          <cell r="K31">
            <v>0.18544094944037051</v>
          </cell>
          <cell r="M31">
            <v>0.22195268361503551</v>
          </cell>
          <cell r="O31">
            <v>0.21485575364528459</v>
          </cell>
          <cell r="Q31">
            <v>0.22745711706357946</v>
          </cell>
          <cell r="S31">
            <v>0.19208214489391873</v>
          </cell>
          <cell r="U31">
            <v>0.21345363251165828</v>
          </cell>
          <cell r="W31">
            <v>0.2143120204620024</v>
          </cell>
          <cell r="Y31">
            <v>0.18641546366573625</v>
          </cell>
          <cell r="AA31">
            <v>0.21541049798115744</v>
          </cell>
          <cell r="AC31">
            <v>0.20089886103170068</v>
          </cell>
          <cell r="AE31">
            <v>0.20423776933962265</v>
          </cell>
          <cell r="AG31">
            <v>0.21497568821737537</v>
          </cell>
          <cell r="AI31">
            <v>0.20412313129792353</v>
          </cell>
          <cell r="AK31">
            <v>0.20384378397970276</v>
          </cell>
          <cell r="AM31">
            <v>0.1958940319448505</v>
          </cell>
          <cell r="AO31">
            <v>0.2041154421013143</v>
          </cell>
          <cell r="AQ31">
            <v>0.19188304093567252</v>
          </cell>
          <cell r="AS31">
            <v>0.19153655129598013</v>
          </cell>
          <cell r="AT31" t="e">
            <v>#DIV/0!</v>
          </cell>
          <cell r="AU31">
            <v>0.17666225901710431</v>
          </cell>
          <cell r="AW31">
            <v>0.1743603205305333</v>
          </cell>
          <cell r="AY31">
            <v>0.18315734142227302</v>
          </cell>
          <cell r="BA31">
            <v>0.14990179389812752</v>
          </cell>
          <cell r="BC31">
            <v>0.20439013495137764</v>
          </cell>
          <cell r="BE31">
            <v>0.16508204873197416</v>
          </cell>
          <cell r="BG31">
            <v>0.19257901153521517</v>
          </cell>
          <cell r="BI31">
            <v>0.17938595321294246</v>
          </cell>
          <cell r="BL31">
            <v>0.21166996345705991</v>
          </cell>
          <cell r="BN31">
            <v>0.21149881214834371</v>
          </cell>
          <cell r="BP31">
            <v>0.16928480208743263</v>
          </cell>
          <cell r="BR31">
            <v>0.15530718817475339</v>
          </cell>
          <cell r="BT31">
            <v>0.18422874281283907</v>
          </cell>
          <cell r="BW31">
            <v>0.15936739659367397</v>
          </cell>
          <cell r="BY31">
            <v>0.16</v>
          </cell>
          <cell r="CA31">
            <v>0.16</v>
          </cell>
          <cell r="CC31">
            <v>0.16</v>
          </cell>
          <cell r="CE31">
            <v>0.15986400535609674</v>
          </cell>
        </row>
        <row r="32">
          <cell r="B32" t="str">
            <v>Research and Development</v>
          </cell>
          <cell r="C32">
            <v>90.74</v>
          </cell>
          <cell r="E32">
            <v>94.210999999999999</v>
          </cell>
          <cell r="G32">
            <v>84.629000000000005</v>
          </cell>
          <cell r="I32">
            <v>96.572999999999993</v>
          </cell>
          <cell r="K32">
            <v>367.29099999999994</v>
          </cell>
          <cell r="M32">
            <v>111.40600000000001</v>
          </cell>
          <cell r="O32">
            <v>115.563</v>
          </cell>
          <cell r="Q32">
            <v>113.636</v>
          </cell>
          <cell r="S32">
            <v>149.274</v>
          </cell>
          <cell r="U32">
            <v>489.87900000000002</v>
          </cell>
          <cell r="W32">
            <v>136.34</v>
          </cell>
          <cell r="Y32">
            <v>123.44799999999999</v>
          </cell>
          <cell r="AA32">
            <v>128.19499999999999</v>
          </cell>
          <cell r="AC32">
            <v>138.24700000000001</v>
          </cell>
          <cell r="AE32">
            <v>526.23</v>
          </cell>
          <cell r="AG32">
            <v>146.691</v>
          </cell>
          <cell r="AI32">
            <v>147.922</v>
          </cell>
          <cell r="AK32">
            <v>143.65899999999999</v>
          </cell>
          <cell r="AM32">
            <v>185.21</v>
          </cell>
          <cell r="AO32">
            <v>623.48199999999997</v>
          </cell>
          <cell r="AQ32">
            <v>157.43299999999999</v>
          </cell>
          <cell r="AS32">
            <v>180.203</v>
          </cell>
          <cell r="AU32">
            <v>168.7</v>
          </cell>
          <cell r="AW32">
            <v>215.62700000000001</v>
          </cell>
          <cell r="AY32">
            <v>721.96299999999997</v>
          </cell>
          <cell r="BA32">
            <v>190.345</v>
          </cell>
          <cell r="BB32">
            <v>0.2090540102773879</v>
          </cell>
          <cell r="BC32">
            <v>212.886</v>
          </cell>
          <cell r="BD32">
            <v>0.18136767978335544</v>
          </cell>
          <cell r="BE32">
            <v>234.08600000000001</v>
          </cell>
          <cell r="BF32">
            <v>0.38758743331357448</v>
          </cell>
          <cell r="BG32">
            <v>310.18299999999999</v>
          </cell>
          <cell r="BH32">
            <v>0.43851651231061028</v>
          </cell>
          <cell r="BI32">
            <v>947.5</v>
          </cell>
          <cell r="BJ32">
            <v>0.3123941254607232</v>
          </cell>
          <cell r="BL32">
            <v>243.24</v>
          </cell>
          <cell r="BM32">
            <v>0.27789014683863522</v>
          </cell>
          <cell r="BN32">
            <v>278.12400000000002</v>
          </cell>
          <cell r="BO32">
            <v>0.30644570333417898</v>
          </cell>
          <cell r="BP32">
            <v>328.85</v>
          </cell>
          <cell r="BQ32">
            <v>0.40482557692471999</v>
          </cell>
          <cell r="BR32">
            <v>411.61</v>
          </cell>
          <cell r="BS32">
            <v>0.32699084089070007</v>
          </cell>
          <cell r="BT32">
            <v>1261.8240000000001</v>
          </cell>
          <cell r="BU32">
            <v>0.33174036939314</v>
          </cell>
          <cell r="BW32">
            <v>341</v>
          </cell>
          <cell r="BX32">
            <v>0.40190758098996859</v>
          </cell>
          <cell r="BY32">
            <v>399.96114</v>
          </cell>
          <cell r="BZ32">
            <v>0.438067696423178</v>
          </cell>
          <cell r="CA32">
            <v>437.83950000000004</v>
          </cell>
          <cell r="CB32">
            <v>0.33142618214991648</v>
          </cell>
          <cell r="CC32">
            <v>498.34144000000009</v>
          </cell>
          <cell r="CD32">
            <v>0.21071266490124163</v>
          </cell>
          <cell r="CE32">
            <v>1677.1420800000001</v>
          </cell>
          <cell r="CF32">
            <v>0.3291410529519172</v>
          </cell>
        </row>
        <row r="33">
          <cell r="BA33">
            <v>0.19519861352530676</v>
          </cell>
          <cell r="BC33">
            <v>0.215</v>
          </cell>
          <cell r="BE33">
            <v>0.22</v>
          </cell>
          <cell r="BG33">
            <v>0.24</v>
          </cell>
          <cell r="BI33">
            <v>0.20503332467757293</v>
          </cell>
          <cell r="BL33">
            <v>0.16642013352472149</v>
          </cell>
          <cell r="BN33">
            <v>0.18214790233628245</v>
          </cell>
          <cell r="BP33">
            <v>0.18771991515071254</v>
          </cell>
          <cell r="BR33">
            <v>0.21742690280894367</v>
          </cell>
          <cell r="BT33">
            <v>0.19022215227341902</v>
          </cell>
          <cell r="BW33">
            <v>0.17170191339375629</v>
          </cell>
          <cell r="BY33">
            <v>0.183</v>
          </cell>
          <cell r="CA33">
            <v>0.185</v>
          </cell>
          <cell r="CC33">
            <v>0.193</v>
          </cell>
          <cell r="CE33">
            <v>0.18388989908293094</v>
          </cell>
        </row>
        <row r="34">
          <cell r="B34" t="str">
            <v>Selling, General &amp; Administrative</v>
          </cell>
          <cell r="C34">
            <v>97.200999999999993</v>
          </cell>
          <cell r="E34">
            <v>117.372</v>
          </cell>
          <cell r="G34">
            <v>113.613</v>
          </cell>
          <cell r="I34">
            <v>140.928</v>
          </cell>
          <cell r="K34">
            <v>467.94299999999998</v>
          </cell>
          <cell r="M34">
            <v>101.946</v>
          </cell>
          <cell r="O34">
            <v>117.15600000000001</v>
          </cell>
          <cell r="Q34">
            <v>131.726</v>
          </cell>
          <cell r="S34">
            <v>146.208</v>
          </cell>
          <cell r="U34">
            <v>497.03599999999994</v>
          </cell>
          <cell r="W34">
            <v>127.92</v>
          </cell>
          <cell r="Y34">
            <v>107.8</v>
          </cell>
          <cell r="AA34">
            <v>109.36499999999999</v>
          </cell>
          <cell r="AC34">
            <v>129.32499999999999</v>
          </cell>
          <cell r="AE34">
            <v>474.40999999999997</v>
          </cell>
          <cell r="AG34">
            <v>115.4</v>
          </cell>
          <cell r="AI34">
            <v>125.7</v>
          </cell>
          <cell r="AK34">
            <v>135.55000000000001</v>
          </cell>
          <cell r="AM34">
            <v>169.6</v>
          </cell>
          <cell r="AO34">
            <v>546.25</v>
          </cell>
          <cell r="AQ34">
            <v>137.22200000000001</v>
          </cell>
          <cell r="AS34">
            <v>184.25800000000001</v>
          </cell>
          <cell r="AU34">
            <v>209.9</v>
          </cell>
          <cell r="AW34">
            <v>263.505</v>
          </cell>
          <cell r="AY34">
            <v>794.88499999999999</v>
          </cell>
          <cell r="BA34">
            <v>247.31399999999999</v>
          </cell>
          <cell r="BB34">
            <v>0.80229117779947812</v>
          </cell>
          <cell r="BC34">
            <v>276.654</v>
          </cell>
          <cell r="BD34">
            <v>0.50144905512922078</v>
          </cell>
          <cell r="BE34">
            <v>264.64800000000002</v>
          </cell>
          <cell r="BF34">
            <v>0.26082896617436879</v>
          </cell>
          <cell r="BG34">
            <v>299.58400000000006</v>
          </cell>
          <cell r="BH34">
            <v>0.13691960304358575</v>
          </cell>
          <cell r="BI34">
            <v>1088.2</v>
          </cell>
          <cell r="BJ34">
            <v>0.36900306333620603</v>
          </cell>
          <cell r="BL34">
            <v>315.214</v>
          </cell>
          <cell r="BM34">
            <v>0.27454976264991071</v>
          </cell>
          <cell r="BN34">
            <v>356.63799999999998</v>
          </cell>
          <cell r="BO34">
            <v>0.28911203163518318</v>
          </cell>
          <cell r="BP34">
            <v>333.82299999999998</v>
          </cell>
          <cell r="BQ34">
            <v>0.2613849339500014</v>
          </cell>
          <cell r="BR34">
            <v>429.35700000000003</v>
          </cell>
          <cell r="BS34">
            <v>0.43317733924375124</v>
          </cell>
          <cell r="BT34">
            <v>1435.0319999999999</v>
          </cell>
          <cell r="BU34">
            <v>0.31872082337805541</v>
          </cell>
          <cell r="BW34">
            <v>400</v>
          </cell>
          <cell r="BX34">
            <v>0.26897916970692926</v>
          </cell>
          <cell r="BY34">
            <v>475.36365000000001</v>
          </cell>
          <cell r="BZ34">
            <v>0.33290241084797478</v>
          </cell>
          <cell r="CA34">
            <v>491.09025000000003</v>
          </cell>
          <cell r="CB34">
            <v>0.47110968986558754</v>
          </cell>
          <cell r="CC34">
            <v>561.6024000000001</v>
          </cell>
          <cell r="CD34">
            <v>0.30800802129696292</v>
          </cell>
          <cell r="CE34">
            <v>1928.0563000000002</v>
          </cell>
          <cell r="CF34">
            <v>0.34356327942512799</v>
          </cell>
        </row>
        <row r="35">
          <cell r="BA35">
            <v>0.25362026796289744</v>
          </cell>
          <cell r="BC35">
            <v>0.24</v>
          </cell>
          <cell r="BE35">
            <v>0.23300000000000001</v>
          </cell>
          <cell r="BG35">
            <v>0.24</v>
          </cell>
          <cell r="BI35">
            <v>0.23547996191465423</v>
          </cell>
          <cell r="BL35">
            <v>0.21566336116124632</v>
          </cell>
          <cell r="BN35">
            <v>0.23356798979378654</v>
          </cell>
          <cell r="BP35">
            <v>0.19055869008774914</v>
          </cell>
          <cell r="BR35">
            <v>0.22680149342664083</v>
          </cell>
          <cell r="BT35">
            <v>0.2163335581041643</v>
          </cell>
          <cell r="BW35">
            <v>0.2014098690835851</v>
          </cell>
          <cell r="BY35">
            <v>0.2175</v>
          </cell>
          <cell r="CA35">
            <v>0.20749999999999999</v>
          </cell>
          <cell r="CC35">
            <v>0.2175</v>
          </cell>
          <cell r="CE35">
            <v>0.21140133722791646</v>
          </cell>
        </row>
        <row r="36">
          <cell r="B36" t="str">
            <v>Collaborative Profit Split</v>
          </cell>
          <cell r="C36">
            <v>0</v>
          </cell>
          <cell r="E36">
            <v>0</v>
          </cell>
          <cell r="G36">
            <v>0</v>
          </cell>
          <cell r="I36">
            <v>0</v>
          </cell>
          <cell r="K36">
            <v>0</v>
          </cell>
          <cell r="M36">
            <v>0</v>
          </cell>
          <cell r="O36">
            <v>0</v>
          </cell>
          <cell r="Q36">
            <v>0</v>
          </cell>
          <cell r="S36">
            <v>0</v>
          </cell>
          <cell r="U36">
            <v>0</v>
          </cell>
          <cell r="W36">
            <v>46.372999999999998</v>
          </cell>
          <cell r="Y36">
            <v>57.908000000000001</v>
          </cell>
          <cell r="AA36">
            <v>65.796000000000006</v>
          </cell>
          <cell r="AC36">
            <v>76.581000000000003</v>
          </cell>
          <cell r="AE36">
            <v>246.65800000000002</v>
          </cell>
          <cell r="AG36">
            <v>72.076999999999998</v>
          </cell>
          <cell r="AI36">
            <v>84.09</v>
          </cell>
          <cell r="AK36">
            <v>90.048000000000002</v>
          </cell>
          <cell r="AM36">
            <v>104.51</v>
          </cell>
          <cell r="AO36">
            <v>350.72500000000002</v>
          </cell>
          <cell r="AQ36">
            <v>96.6</v>
          </cell>
          <cell r="AS36">
            <v>107.307</v>
          </cell>
          <cell r="AU36">
            <v>119.7</v>
          </cell>
          <cell r="AW36">
            <v>133.92699999999999</v>
          </cell>
          <cell r="AY36">
            <v>457.53399999999999</v>
          </cell>
          <cell r="BA36">
            <v>126.43</v>
          </cell>
          <cell r="BB36">
            <v>0.30879917184265016</v>
          </cell>
          <cell r="BC36">
            <v>145.221</v>
          </cell>
          <cell r="BD36">
            <v>0.35332270960887913</v>
          </cell>
          <cell r="BE36">
            <v>151.89400000000001</v>
          </cell>
          <cell r="BF36">
            <v>0.26895572263993328</v>
          </cell>
          <cell r="BG36">
            <v>170.05500000000001</v>
          </cell>
          <cell r="BH36">
            <v>0.26975889850440926</v>
          </cell>
          <cell r="BI36">
            <v>593.6</v>
          </cell>
          <cell r="BJ36">
            <v>0.29738992074905912</v>
          </cell>
          <cell r="BL36">
            <v>176.27699999999999</v>
          </cell>
          <cell r="BM36">
            <v>0.39426560151862677</v>
          </cell>
          <cell r="BN36">
            <v>198.798</v>
          </cell>
          <cell r="BO36">
            <v>0.36893424504720396</v>
          </cell>
          <cell r="BP36">
            <v>219.59100000000001</v>
          </cell>
          <cell r="BQ36">
            <v>0.44568580720765794</v>
          </cell>
          <cell r="BR36">
            <v>228.417</v>
          </cell>
          <cell r="BS36">
            <v>0.34319484872541239</v>
          </cell>
          <cell r="BT36">
            <v>823.08299999999997</v>
          </cell>
          <cell r="BU36">
            <v>0.38659535040431248</v>
          </cell>
          <cell r="BW36">
            <v>226</v>
          </cell>
          <cell r="BX36">
            <v>0.28207310085830839</v>
          </cell>
          <cell r="BY36">
            <v>255</v>
          </cell>
          <cell r="BZ36">
            <v>0.28270908158029751</v>
          </cell>
          <cell r="CA36">
            <v>275</v>
          </cell>
          <cell r="CB36">
            <v>0.25232819195686518</v>
          </cell>
          <cell r="CC36">
            <v>285</v>
          </cell>
          <cell r="CD36">
            <v>0.24771798946663348</v>
          </cell>
          <cell r="CE36">
            <v>1041</v>
          </cell>
          <cell r="CF36">
            <v>0.26475701721454592</v>
          </cell>
        </row>
        <row r="37">
          <cell r="B37" t="str">
            <v>Total Operating Expenses</v>
          </cell>
          <cell r="C37">
            <v>233.66399999999999</v>
          </cell>
          <cell r="D37" t="e">
            <v>#REF!</v>
          </cell>
          <cell r="E37">
            <v>264.26400000000001</v>
          </cell>
          <cell r="F37" t="e">
            <v>#REF!</v>
          </cell>
          <cell r="G37">
            <v>244.17800000000003</v>
          </cell>
          <cell r="H37" t="e">
            <v>#REF!</v>
          </cell>
          <cell r="I37">
            <v>285.35199999999998</v>
          </cell>
          <cell r="J37" t="e">
            <v>#REF!</v>
          </cell>
          <cell r="K37">
            <v>1027.4580000000001</v>
          </cell>
          <cell r="M37">
            <v>276.209</v>
          </cell>
          <cell r="N37" t="e">
            <v>#REF!</v>
          </cell>
          <cell r="O37">
            <v>299.00200000000001</v>
          </cell>
          <cell r="P37" t="e">
            <v>#REF!</v>
          </cell>
          <cell r="Q37">
            <v>320.94600000000003</v>
          </cell>
          <cell r="R37" t="e">
            <v>#REF!</v>
          </cell>
          <cell r="S37">
            <v>362.82599999999996</v>
          </cell>
          <cell r="T37" t="e">
            <v>#REF!</v>
          </cell>
          <cell r="U37">
            <v>1258.9829999999999</v>
          </cell>
          <cell r="W37">
            <v>394.42900000000003</v>
          </cell>
          <cell r="X37" t="e">
            <v>#REF!</v>
          </cell>
          <cell r="Y37">
            <v>365.34399999999999</v>
          </cell>
          <cell r="Z37" t="e">
            <v>#REF!</v>
          </cell>
          <cell r="AA37">
            <v>399.38599999999997</v>
          </cell>
          <cell r="AB37" t="e">
            <v>#REF!</v>
          </cell>
          <cell r="AC37">
            <v>442.58100000000002</v>
          </cell>
          <cell r="AD37" t="e">
            <v>#REF!</v>
          </cell>
          <cell r="AE37">
            <v>1601.7400000000002</v>
          </cell>
          <cell r="AG37">
            <v>436.61200000000002</v>
          </cell>
          <cell r="AI37">
            <v>464.57900000000001</v>
          </cell>
          <cell r="AK37">
            <v>481.738</v>
          </cell>
          <cell r="AM37">
            <v>579.15800000000002</v>
          </cell>
          <cell r="AO37">
            <v>1962.087</v>
          </cell>
          <cell r="AQ37">
            <v>506.09699999999998</v>
          </cell>
          <cell r="AS37">
            <v>595.17500000000007</v>
          </cell>
          <cell r="AU37">
            <v>614</v>
          </cell>
          <cell r="AW37">
            <v>739.26099999999997</v>
          </cell>
          <cell r="AY37">
            <v>2454.7161573414223</v>
          </cell>
          <cell r="BA37">
            <v>678.56900000000007</v>
          </cell>
          <cell r="BB37">
            <v>0.34078842593415914</v>
          </cell>
          <cell r="BC37">
            <v>821.44399999999996</v>
          </cell>
          <cell r="BD37">
            <v>0.38017221825513481</v>
          </cell>
          <cell r="BE37">
            <v>816.61800000000005</v>
          </cell>
          <cell r="BF37">
            <v>0.32999674267100976</v>
          </cell>
          <cell r="BG37">
            <v>985.1690000000001</v>
          </cell>
          <cell r="BH37">
            <v>0.33264029889308389</v>
          </cell>
          <cell r="BI37">
            <v>3301.8</v>
          </cell>
          <cell r="BJ37">
            <v>0.34508423310987246</v>
          </cell>
          <cell r="BL37">
            <v>985.77200000000005</v>
          </cell>
          <cell r="BM37">
            <v>0.4527218307939207</v>
          </cell>
          <cell r="BN37">
            <v>1103.0409999999999</v>
          </cell>
          <cell r="BO37">
            <v>0.34280730031505491</v>
          </cell>
          <cell r="BP37">
            <v>1127.8910000000001</v>
          </cell>
          <cell r="BQ37">
            <v>0.38117332706357199</v>
          </cell>
          <cell r="BR37">
            <v>1314.298</v>
          </cell>
          <cell r="BS37">
            <v>0.33408379679019529</v>
          </cell>
          <cell r="BT37">
            <v>4531.0020000000004</v>
          </cell>
          <cell r="BU37">
            <v>0.37228239142286035</v>
          </cell>
          <cell r="BW37">
            <v>1229</v>
          </cell>
          <cell r="BX37">
            <v>0.24673859675462473</v>
          </cell>
          <cell r="BY37">
            <v>1423.7135900000001</v>
          </cell>
          <cell r="BZ37">
            <v>0.29071683645485535</v>
          </cell>
          <cell r="CA37">
            <v>1522.2337500000001</v>
          </cell>
          <cell r="CB37">
            <v>0.34962842154073392</v>
          </cell>
          <cell r="CC37">
            <v>1693.7886400000002</v>
          </cell>
          <cell r="CD37">
            <v>0.28874017916789052</v>
          </cell>
          <cell r="CE37">
            <v>5868.7359800000013</v>
          </cell>
          <cell r="CF37">
            <v>0.29524020956071095</v>
          </cell>
        </row>
        <row r="38">
          <cell r="B38" t="str">
            <v>Operating Income (Loss)</v>
          </cell>
          <cell r="C38">
            <v>106.21999999700006</v>
          </cell>
          <cell r="D38" t="e">
            <v>#REF!</v>
          </cell>
          <cell r="E38">
            <v>134.80000000200005</v>
          </cell>
          <cell r="F38" t="e">
            <v>#REF!</v>
          </cell>
          <cell r="G38">
            <v>124.35300000099991</v>
          </cell>
          <cell r="H38" t="e">
            <v>#REF!</v>
          </cell>
          <cell r="I38">
            <v>107.18099999999993</v>
          </cell>
          <cell r="J38" t="e">
            <v>#REF!</v>
          </cell>
          <cell r="K38">
            <v>472.55400000000009</v>
          </cell>
          <cell r="M38">
            <v>183.22106622616553</v>
          </cell>
          <cell r="N38" t="e">
            <v>#REF!</v>
          </cell>
          <cell r="O38">
            <v>168.14077262893147</v>
          </cell>
          <cell r="P38" t="e">
            <v>#REF!</v>
          </cell>
          <cell r="Q38">
            <v>189.91479690849224</v>
          </cell>
          <cell r="R38" t="e">
            <v>#REF!</v>
          </cell>
          <cell r="S38">
            <v>173.22675938289836</v>
          </cell>
          <cell r="T38" t="e">
            <v>#REF!</v>
          </cell>
          <cell r="U38">
            <v>714.50339514648749</v>
          </cell>
          <cell r="W38">
            <v>208.78099999700004</v>
          </cell>
          <cell r="X38" t="e">
            <v>#REF!</v>
          </cell>
          <cell r="Y38">
            <v>229.05699999899997</v>
          </cell>
          <cell r="Z38" t="e">
            <v>#REF!</v>
          </cell>
          <cell r="AA38">
            <v>248.48599999999999</v>
          </cell>
          <cell r="AB38" t="e">
            <v>#REF!</v>
          </cell>
          <cell r="AC38">
            <v>273.82506880999995</v>
          </cell>
          <cell r="AD38" t="e">
            <v>#REF!</v>
          </cell>
          <cell r="AE38">
            <v>960.14906880599995</v>
          </cell>
          <cell r="AG38">
            <v>131.46860687772499</v>
          </cell>
          <cell r="AI38">
            <v>157.69784124299252</v>
          </cell>
          <cell r="AK38">
            <v>168.36400000000009</v>
          </cell>
          <cell r="AM38">
            <v>163.9811115489299</v>
          </cell>
          <cell r="AO38">
            <v>621.51155966964757</v>
          </cell>
          <cell r="AQ38">
            <v>243.59299999999996</v>
          </cell>
          <cell r="AS38">
            <v>204.51299999999992</v>
          </cell>
          <cell r="AU38">
            <v>203.02200000000016</v>
          </cell>
          <cell r="AW38">
            <v>194.60199999999998</v>
          </cell>
          <cell r="AY38">
            <v>845.54684265857759</v>
          </cell>
          <cell r="BA38">
            <v>296.56599999999992</v>
          </cell>
          <cell r="BB38">
            <v>0.21746519809682541</v>
          </cell>
          <cell r="BC38">
            <v>306.63400000000024</v>
          </cell>
          <cell r="BD38">
            <v>0.49933745043102573</v>
          </cell>
          <cell r="BE38">
            <v>385.98200000000008</v>
          </cell>
          <cell r="BF38">
            <v>0.9011831230112981</v>
          </cell>
          <cell r="BG38">
            <v>330.18399999999997</v>
          </cell>
          <cell r="BH38">
            <v>0.69671431948284201</v>
          </cell>
          <cell r="BI38">
            <v>1319.3999999999996</v>
          </cell>
          <cell r="BJ38">
            <v>0.56041029714158452</v>
          </cell>
          <cell r="BL38">
            <v>475.83000000000027</v>
          </cell>
          <cell r="BM38">
            <v>0.60446578501918768</v>
          </cell>
          <cell r="BN38">
            <v>423.87200000000007</v>
          </cell>
          <cell r="BO38">
            <v>0.38233855345460621</v>
          </cell>
          <cell r="BP38">
            <v>623.92099999999982</v>
          </cell>
          <cell r="BQ38">
            <v>0.61645102621365688</v>
          </cell>
          <cell r="BR38">
            <v>578.798</v>
          </cell>
          <cell r="BS38">
            <v>0.75295592760400276</v>
          </cell>
          <cell r="BT38">
            <v>2102.4210000000003</v>
          </cell>
          <cell r="BU38">
            <v>0.59346748522055548</v>
          </cell>
          <cell r="BW38">
            <v>757</v>
          </cell>
          <cell r="BX38">
            <v>0.59090431456612569</v>
          </cell>
          <cell r="BY38">
            <v>761.86640999999986</v>
          </cell>
          <cell r="BZ38">
            <v>0.79739735108711995</v>
          </cell>
          <cell r="CA38">
            <v>844.46625000000017</v>
          </cell>
          <cell r="CB38">
            <v>0.35348265245119248</v>
          </cell>
          <cell r="CC38">
            <v>888.29136000000017</v>
          </cell>
          <cell r="CD38">
            <v>0.53471739708844912</v>
          </cell>
          <cell r="CE38">
            <v>3251.6240200000002</v>
          </cell>
          <cell r="CF38">
            <v>0.54660937081583549</v>
          </cell>
        </row>
        <row r="39">
          <cell r="B39" t="str">
            <v>Interest and other Income net</v>
          </cell>
          <cell r="C39">
            <v>22.399000000000001</v>
          </cell>
          <cell r="E39">
            <v>21.986000000000001</v>
          </cell>
          <cell r="G39">
            <v>24.728999999999999</v>
          </cell>
          <cell r="I39">
            <v>20.32</v>
          </cell>
          <cell r="K39">
            <v>89.433999999999997</v>
          </cell>
          <cell r="M39">
            <v>21.474</v>
          </cell>
          <cell r="O39">
            <v>22.262</v>
          </cell>
          <cell r="Q39">
            <v>25.712</v>
          </cell>
          <cell r="S39">
            <v>20.96</v>
          </cell>
          <cell r="U39">
            <v>90.408000000000015</v>
          </cell>
          <cell r="W39">
            <v>35.064</v>
          </cell>
          <cell r="Y39">
            <v>32.234999999999999</v>
          </cell>
          <cell r="AA39">
            <v>32.472999999999999</v>
          </cell>
          <cell r="AC39">
            <v>30.771999999999998</v>
          </cell>
          <cell r="AE39">
            <v>130.54400000000001</v>
          </cell>
          <cell r="AG39">
            <v>36.4</v>
          </cell>
          <cell r="AI39">
            <v>28.8</v>
          </cell>
          <cell r="AK39">
            <v>15.2</v>
          </cell>
          <cell r="AM39">
            <v>27.4</v>
          </cell>
          <cell r="AO39">
            <v>107.80000000000001</v>
          </cell>
          <cell r="AQ39">
            <v>15.702999999999999</v>
          </cell>
          <cell r="AS39">
            <v>40.869999999999997</v>
          </cell>
          <cell r="AU39">
            <v>15.9</v>
          </cell>
          <cell r="AW39">
            <v>20.334</v>
          </cell>
          <cell r="AY39">
            <v>92.807000000000002</v>
          </cell>
          <cell r="BA39">
            <v>22.32</v>
          </cell>
          <cell r="BB39">
            <v>0.42138444883143356</v>
          </cell>
          <cell r="BC39">
            <v>15.444000000000001</v>
          </cell>
          <cell r="BD39">
            <v>-0.6221189136285783</v>
          </cell>
          <cell r="BE39">
            <v>23.51</v>
          </cell>
          <cell r="BF39">
            <v>0.47861635220125787</v>
          </cell>
          <cell r="BG39">
            <v>21.323</v>
          </cell>
          <cell r="BH39">
            <v>4.8637749581980971E-2</v>
          </cell>
          <cell r="BI39">
            <v>82.597000000000008</v>
          </cell>
          <cell r="BJ39">
            <v>-0.11001325331063383</v>
          </cell>
          <cell r="BL39">
            <v>16.396000000000001</v>
          </cell>
          <cell r="BM39">
            <v>-0.26541218637992825</v>
          </cell>
          <cell r="BN39">
            <v>31.501999999999999</v>
          </cell>
          <cell r="BO39">
            <v>1.0397565397565396</v>
          </cell>
          <cell r="BP39">
            <v>47.390999999999998</v>
          </cell>
          <cell r="BQ39">
            <v>1.0157805189281155</v>
          </cell>
          <cell r="BR39">
            <v>43.743000000000002</v>
          </cell>
          <cell r="BS39">
            <v>1.0514467945411061</v>
          </cell>
          <cell r="BT39">
            <v>140.9</v>
          </cell>
          <cell r="BU39">
            <v>0.70587309466445491</v>
          </cell>
          <cell r="BW39">
            <v>53</v>
          </cell>
          <cell r="BX39">
            <v>2.2324957306660158</v>
          </cell>
          <cell r="BY39">
            <v>80</v>
          </cell>
          <cell r="BZ39">
            <v>1.539521300234906</v>
          </cell>
          <cell r="CA39">
            <v>50</v>
          </cell>
          <cell r="CB39">
            <v>5.5052647127091792E-2</v>
          </cell>
          <cell r="CC39">
            <v>45</v>
          </cell>
          <cell r="CD39">
            <v>2.8736026335642206E-2</v>
          </cell>
          <cell r="CE39">
            <v>228</v>
          </cell>
          <cell r="CF39">
            <v>0.61816891412349184</v>
          </cell>
        </row>
        <row r="40">
          <cell r="B40" t="str">
            <v>Interest Expense</v>
          </cell>
          <cell r="C40">
            <v>-1.363</v>
          </cell>
          <cell r="E40">
            <v>-1.3560000000000001</v>
          </cell>
          <cell r="G40">
            <v>-1.3260000000000001</v>
          </cell>
          <cell r="I40">
            <v>-1.3149999999999999</v>
          </cell>
          <cell r="K40">
            <v>-5.3599999999999994</v>
          </cell>
          <cell r="M40">
            <v>-1.2869999999999999</v>
          </cell>
          <cell r="O40">
            <v>-1.24</v>
          </cell>
          <cell r="Q40">
            <v>-1.175</v>
          </cell>
          <cell r="S40">
            <v>-1.5760000000000001</v>
          </cell>
          <cell r="U40">
            <v>-5.2780000000000005</v>
          </cell>
          <cell r="W40">
            <v>-1.4910000000000001</v>
          </cell>
          <cell r="Y40">
            <v>-1.345</v>
          </cell>
          <cell r="AA40">
            <v>-1.7190000000000001</v>
          </cell>
          <cell r="AC40">
            <v>-1.1819999999999999</v>
          </cell>
          <cell r="AE40">
            <v>-5.7370000000000001</v>
          </cell>
          <cell r="AG40">
            <v>0</v>
          </cell>
          <cell r="AI40">
            <v>0</v>
          </cell>
          <cell r="AK40">
            <v>0</v>
          </cell>
          <cell r="AM40">
            <v>0</v>
          </cell>
          <cell r="AO40">
            <v>0</v>
          </cell>
          <cell r="AQ40">
            <v>0</v>
          </cell>
          <cell r="AS40">
            <v>0</v>
          </cell>
          <cell r="AU40">
            <v>0</v>
          </cell>
          <cell r="AW40">
            <v>0</v>
          </cell>
          <cell r="AY40">
            <v>0</v>
          </cell>
          <cell r="BA40">
            <v>0</v>
          </cell>
          <cell r="BB40" t="str">
            <v>NM</v>
          </cell>
          <cell r="BC40">
            <v>0</v>
          </cell>
          <cell r="BD40" t="str">
            <v>NM</v>
          </cell>
          <cell r="BE40">
            <v>0</v>
          </cell>
          <cell r="BF40" t="str">
            <v>NM</v>
          </cell>
          <cell r="BG40">
            <v>0</v>
          </cell>
          <cell r="BH40" t="str">
            <v>NM</v>
          </cell>
          <cell r="BI40">
            <v>0</v>
          </cell>
          <cell r="BJ40" t="str">
            <v>NM</v>
          </cell>
          <cell r="BL40">
            <v>0</v>
          </cell>
          <cell r="BM40" t="str">
            <v>NM</v>
          </cell>
          <cell r="BN40">
            <v>0</v>
          </cell>
          <cell r="BO40" t="str">
            <v>NM</v>
          </cell>
          <cell r="BP40">
            <v>-25</v>
          </cell>
          <cell r="BQ40" t="str">
            <v>NM</v>
          </cell>
          <cell r="BR40">
            <v>-23.035</v>
          </cell>
          <cell r="BS40" t="str">
            <v>NM</v>
          </cell>
          <cell r="BT40">
            <v>-49.9</v>
          </cell>
          <cell r="BU40" t="str">
            <v>NM</v>
          </cell>
          <cell r="BW40">
            <v>-19</v>
          </cell>
          <cell r="BX40" t="str">
            <v>NM</v>
          </cell>
          <cell r="BY40">
            <v>-24</v>
          </cell>
          <cell r="BZ40" t="str">
            <v>NM</v>
          </cell>
          <cell r="CA40">
            <v>-24</v>
          </cell>
          <cell r="CB40" t="str">
            <v>NM</v>
          </cell>
          <cell r="CC40">
            <v>-24</v>
          </cell>
          <cell r="CD40" t="str">
            <v>NM</v>
          </cell>
          <cell r="CE40">
            <v>-91</v>
          </cell>
          <cell r="CF40" t="str">
            <v>NM</v>
          </cell>
        </row>
        <row r="41">
          <cell r="B41" t="str">
            <v>Other</v>
          </cell>
          <cell r="C41">
            <v>-50</v>
          </cell>
          <cell r="E41">
            <v>0</v>
          </cell>
          <cell r="G41">
            <v>0</v>
          </cell>
          <cell r="I41">
            <v>0</v>
          </cell>
          <cell r="K41">
            <v>-50</v>
          </cell>
          <cell r="M41">
            <v>0</v>
          </cell>
          <cell r="O41">
            <v>0</v>
          </cell>
          <cell r="Q41">
            <v>0</v>
          </cell>
          <cell r="S41">
            <v>0</v>
          </cell>
          <cell r="U41">
            <v>0</v>
          </cell>
          <cell r="W41">
            <v>0</v>
          </cell>
          <cell r="Y41">
            <v>0</v>
          </cell>
          <cell r="AA41">
            <v>0</v>
          </cell>
          <cell r="AC41">
            <v>0</v>
          </cell>
          <cell r="AE41">
            <v>0</v>
          </cell>
          <cell r="AG41">
            <v>0</v>
          </cell>
          <cell r="AI41">
            <v>0</v>
          </cell>
          <cell r="AK41">
            <v>0</v>
          </cell>
          <cell r="AM41">
            <v>0</v>
          </cell>
          <cell r="AO41">
            <v>0</v>
          </cell>
          <cell r="AQ41">
            <v>0</v>
          </cell>
          <cell r="AS41">
            <v>0</v>
          </cell>
          <cell r="AU41">
            <v>0</v>
          </cell>
          <cell r="AW41">
            <v>0</v>
          </cell>
          <cell r="AY41">
            <v>0</v>
          </cell>
          <cell r="BA41">
            <v>0</v>
          </cell>
          <cell r="BB41" t="str">
            <v>NM</v>
          </cell>
          <cell r="BC41">
            <v>0</v>
          </cell>
          <cell r="BD41" t="str">
            <v>NM</v>
          </cell>
          <cell r="BE41">
            <v>0</v>
          </cell>
          <cell r="BF41" t="str">
            <v>NM</v>
          </cell>
          <cell r="BG41">
            <v>0</v>
          </cell>
          <cell r="BH41" t="str">
            <v>NM</v>
          </cell>
          <cell r="BI41">
            <v>0</v>
          </cell>
          <cell r="BJ41" t="str">
            <v>NM</v>
          </cell>
          <cell r="BL41">
            <v>0</v>
          </cell>
          <cell r="BM41" t="str">
            <v>NM</v>
          </cell>
          <cell r="BN41">
            <v>0</v>
          </cell>
          <cell r="BO41" t="str">
            <v>NM</v>
          </cell>
          <cell r="BP41">
            <v>0</v>
          </cell>
          <cell r="BQ41" t="str">
            <v>NM</v>
          </cell>
          <cell r="BR41">
            <v>0</v>
          </cell>
          <cell r="BS41" t="str">
            <v>NM</v>
          </cell>
          <cell r="BT41">
            <v>0</v>
          </cell>
          <cell r="BU41" t="str">
            <v>NM</v>
          </cell>
          <cell r="BW41">
            <v>0</v>
          </cell>
          <cell r="BX41" t="str">
            <v>NM</v>
          </cell>
          <cell r="BY41">
            <v>0</v>
          </cell>
          <cell r="BZ41" t="str">
            <v>NM</v>
          </cell>
          <cell r="CA41">
            <v>0</v>
          </cell>
          <cell r="CB41" t="str">
            <v>NM</v>
          </cell>
          <cell r="CC41">
            <v>0</v>
          </cell>
          <cell r="CD41" t="str">
            <v>NM</v>
          </cell>
          <cell r="CE41">
            <v>0</v>
          </cell>
          <cell r="CF41" t="str">
            <v>NM</v>
          </cell>
        </row>
        <row r="42">
          <cell r="B42" t="str">
            <v>Income (Loss) Before Taxes</v>
          </cell>
          <cell r="C42">
            <v>77.25599999700006</v>
          </cell>
          <cell r="D42" t="e">
            <v>#REF!</v>
          </cell>
          <cell r="E42">
            <v>155.43000000200004</v>
          </cell>
          <cell r="F42" t="e">
            <v>#REF!</v>
          </cell>
          <cell r="G42">
            <v>147.75600000099993</v>
          </cell>
          <cell r="H42" t="e">
            <v>#REF!</v>
          </cell>
          <cell r="I42">
            <v>126.18599999999992</v>
          </cell>
          <cell r="J42" t="e">
            <v>#REF!</v>
          </cell>
          <cell r="K42">
            <v>556.62800000000004</v>
          </cell>
          <cell r="M42">
            <v>203.40806622616552</v>
          </cell>
          <cell r="N42" t="e">
            <v>#REF!</v>
          </cell>
          <cell r="O42">
            <v>189.16277262893146</v>
          </cell>
          <cell r="P42" t="e">
            <v>#REF!</v>
          </cell>
          <cell r="Q42">
            <v>214.45179690849221</v>
          </cell>
          <cell r="R42" t="e">
            <v>#REF!</v>
          </cell>
          <cell r="S42">
            <v>192.61075938289838</v>
          </cell>
          <cell r="T42" t="e">
            <v>#REF!</v>
          </cell>
          <cell r="U42">
            <v>799.6333951464876</v>
          </cell>
          <cell r="W42">
            <v>242.35399999700002</v>
          </cell>
          <cell r="X42" t="e">
            <v>#REF!</v>
          </cell>
          <cell r="Y42">
            <v>259.94699999899996</v>
          </cell>
          <cell r="Z42" t="e">
            <v>#REF!</v>
          </cell>
          <cell r="AA42">
            <v>279.24</v>
          </cell>
          <cell r="AB42" t="e">
            <v>#REF!</v>
          </cell>
          <cell r="AC42">
            <v>303.41506880999992</v>
          </cell>
          <cell r="AD42" t="e">
            <v>#REF!</v>
          </cell>
          <cell r="AE42">
            <v>1084.9560688059998</v>
          </cell>
          <cell r="AG42">
            <v>167.868606877725</v>
          </cell>
          <cell r="AI42">
            <v>186.49784124299254</v>
          </cell>
          <cell r="AK42">
            <v>183.56400000000008</v>
          </cell>
          <cell r="AM42">
            <v>191.38111154892991</v>
          </cell>
          <cell r="AO42">
            <v>729.31155966964752</v>
          </cell>
          <cell r="AQ42">
            <v>259.29599999999994</v>
          </cell>
          <cell r="AS42">
            <v>245.38299999999992</v>
          </cell>
          <cell r="AU42">
            <v>218.92200000000017</v>
          </cell>
          <cell r="AW42">
            <v>214.93599999999998</v>
          </cell>
          <cell r="AY42">
            <v>938.35384265857761</v>
          </cell>
          <cell r="BA42">
            <v>318.88599999999991</v>
          </cell>
          <cell r="BB42">
            <v>0.2298145748488214</v>
          </cell>
          <cell r="BC42">
            <v>322.07800000000026</v>
          </cell>
          <cell r="BD42">
            <v>0.31255221429357527</v>
          </cell>
          <cell r="BE42">
            <v>409.49200000000008</v>
          </cell>
          <cell r="BF42">
            <v>0.8704926868930476</v>
          </cell>
          <cell r="BG42">
            <v>351.50699999999995</v>
          </cell>
          <cell r="BH42">
            <v>0.63540309673577244</v>
          </cell>
          <cell r="BI42">
            <v>1401.9969999999996</v>
          </cell>
          <cell r="BJ42">
            <v>0.4941026894799212</v>
          </cell>
          <cell r="BL42">
            <v>492.22600000000028</v>
          </cell>
          <cell r="BM42">
            <v>0.54357983730863202</v>
          </cell>
          <cell r="BN42">
            <v>455.37400000000008</v>
          </cell>
          <cell r="BO42">
            <v>0.41386248051714092</v>
          </cell>
          <cell r="BP42">
            <v>646.31199999999978</v>
          </cell>
          <cell r="BQ42">
            <v>0.57832631650923494</v>
          </cell>
          <cell r="BR42">
            <v>599.50600000000009</v>
          </cell>
          <cell r="BS42">
            <v>0.70553075756670625</v>
          </cell>
          <cell r="BT42">
            <v>2193.4180000000006</v>
          </cell>
          <cell r="BU42">
            <v>0.56449550177354246</v>
          </cell>
          <cell r="BW42">
            <v>791</v>
          </cell>
          <cell r="BX42">
            <v>0.60698540914132848</v>
          </cell>
          <cell r="BY42">
            <v>817.86640999999986</v>
          </cell>
          <cell r="BZ42">
            <v>0.79603229433388756</v>
          </cell>
          <cell r="CA42">
            <v>870.46625000000017</v>
          </cell>
          <cell r="CB42">
            <v>0.34682049845894936</v>
          </cell>
          <cell r="CC42">
            <v>909.29136000000017</v>
          </cell>
          <cell r="CD42">
            <v>0.51673437797119637</v>
          </cell>
          <cell r="CE42">
            <v>3388.6240200000002</v>
          </cell>
          <cell r="CF42">
            <v>0.54490572248426861</v>
          </cell>
        </row>
        <row r="43">
          <cell r="B43" t="str">
            <v>Income Tax (Benefit)</v>
          </cell>
          <cell r="C43">
            <v>22.91</v>
          </cell>
          <cell r="E43">
            <v>36.084000000000003</v>
          </cell>
          <cell r="G43">
            <v>32.942</v>
          </cell>
          <cell r="I43">
            <v>23.69</v>
          </cell>
          <cell r="K43">
            <v>121.56800000000001</v>
          </cell>
          <cell r="M43">
            <v>33.540999999999997</v>
          </cell>
          <cell r="O43">
            <v>35.161999999999999</v>
          </cell>
          <cell r="Q43">
            <v>38.149000000000001</v>
          </cell>
          <cell r="S43">
            <v>37.49</v>
          </cell>
          <cell r="U43">
            <v>143.67400000000001</v>
          </cell>
          <cell r="W43">
            <v>42.930999999999997</v>
          </cell>
          <cell r="Y43">
            <v>47.738999999999997</v>
          </cell>
          <cell r="AA43">
            <v>49.619</v>
          </cell>
          <cell r="AC43">
            <v>50.045000000000002</v>
          </cell>
          <cell r="AE43">
            <v>190.334</v>
          </cell>
          <cell r="AG43">
            <v>49.2</v>
          </cell>
          <cell r="AI43">
            <v>66.009</v>
          </cell>
          <cell r="AK43">
            <v>63.384999999999998</v>
          </cell>
          <cell r="AM43">
            <v>67.203000000000003</v>
          </cell>
          <cell r="AO43">
            <v>245.797</v>
          </cell>
          <cell r="AQ43">
            <v>76.762</v>
          </cell>
          <cell r="AS43">
            <v>81.891999999999996</v>
          </cell>
          <cell r="AU43">
            <v>75.099999999999994</v>
          </cell>
          <cell r="AW43">
            <v>69.944000000000003</v>
          </cell>
          <cell r="AY43">
            <v>303.69799999999998</v>
          </cell>
          <cell r="BA43">
            <v>111.33499999999999</v>
          </cell>
          <cell r="BB43">
            <v>0.45039212110158666</v>
          </cell>
          <cell r="BC43">
            <v>120.306</v>
          </cell>
          <cell r="BD43">
            <v>0.46908122893567139</v>
          </cell>
          <cell r="BE43">
            <v>149.88999999999999</v>
          </cell>
          <cell r="BF43">
            <v>0.99587217043941401</v>
          </cell>
          <cell r="BG43">
            <v>126.1</v>
          </cell>
          <cell r="BH43">
            <v>0.80287086812306963</v>
          </cell>
          <cell r="BI43">
            <v>507.63099999999997</v>
          </cell>
          <cell r="BJ43">
            <v>0.67149931840183341</v>
          </cell>
          <cell r="BL43">
            <v>180.58500000000001</v>
          </cell>
          <cell r="BM43">
            <v>0.62199667669645686</v>
          </cell>
          <cell r="BN43">
            <v>126.8</v>
          </cell>
          <cell r="BO43">
            <v>5.3979020165245251E-2</v>
          </cell>
          <cell r="BP43">
            <v>262.49099999999999</v>
          </cell>
          <cell r="BQ43">
            <v>0.75122423110280878</v>
          </cell>
          <cell r="BR43">
            <v>236.221</v>
          </cell>
          <cell r="BS43">
            <v>0.87328310864393344</v>
          </cell>
          <cell r="BT43">
            <v>806.09699999999998</v>
          </cell>
          <cell r="BU43">
            <v>0.5879585762098849</v>
          </cell>
          <cell r="BW43">
            <v>300</v>
          </cell>
          <cell r="BX43">
            <v>0.66126754713846658</v>
          </cell>
          <cell r="BY43">
            <v>303.42843810999995</v>
          </cell>
          <cell r="BZ43">
            <v>1.3929687548107252</v>
          </cell>
          <cell r="CA43">
            <v>322.94297875000007</v>
          </cell>
          <cell r="CB43">
            <v>0.23030114842032701</v>
          </cell>
          <cell r="CC43">
            <v>337.34709456000007</v>
          </cell>
          <cell r="CD43">
            <v>0.42809951088175935</v>
          </cell>
          <cell r="CE43">
            <v>1263.7185114200001</v>
          </cell>
          <cell r="CF43">
            <v>0.567700303338184</v>
          </cell>
        </row>
        <row r="44">
          <cell r="B44" t="str">
            <v>Tax Rate</v>
          </cell>
          <cell r="C44">
            <v>0.29654654655806179</v>
          </cell>
          <cell r="E44">
            <v>0.23215595444596077</v>
          </cell>
          <cell r="G44">
            <v>0.22294864506197423</v>
          </cell>
          <cell r="I44">
            <v>0.18773873488342618</v>
          </cell>
          <cell r="K44">
            <v>0.21840079909742235</v>
          </cell>
          <cell r="M44">
            <v>0.31057618156261746</v>
          </cell>
          <cell r="O44">
            <v>0.31062449585915947</v>
          </cell>
          <cell r="Q44">
            <v>0.31050325499576703</v>
          </cell>
          <cell r="S44">
            <v>0.31069126943984371</v>
          </cell>
          <cell r="U44">
            <v>0.17967483708416138</v>
          </cell>
          <cell r="W44">
            <v>0.320523684181443</v>
          </cell>
          <cell r="Y44">
            <v>0.32030716534990089</v>
          </cell>
          <cell r="AA44">
            <v>0.32044099205704007</v>
          </cell>
          <cell r="AC44">
            <v>0.32039990406928232</v>
          </cell>
          <cell r="AE44">
            <v>0.17543014456747877</v>
          </cell>
          <cell r="AG44">
            <v>0.29349894260372089</v>
          </cell>
          <cell r="AI44">
            <v>0.35428459719400968</v>
          </cell>
          <cell r="AK44">
            <v>0.345725382990834</v>
          </cell>
          <cell r="AM44">
            <v>0.35148524883632459</v>
          </cell>
          <cell r="AO44">
            <v>0.33702605798725771</v>
          </cell>
          <cell r="AQ44">
            <v>0.29619869560489492</v>
          </cell>
          <cell r="AS44">
            <v>0.33376329644768415</v>
          </cell>
          <cell r="AU44">
            <v>0.3432807897415317</v>
          </cell>
          <cell r="AW44">
            <v>0.32563596409549711</v>
          </cell>
          <cell r="AY44">
            <v>0.32364976429312847</v>
          </cell>
          <cell r="BA44">
            <v>0.34913730925785397</v>
          </cell>
          <cell r="BC44">
            <v>0.37353063543613629</v>
          </cell>
          <cell r="BE44">
            <v>0.3660388969747882</v>
          </cell>
          <cell r="BG44">
            <v>0.35874107770257779</v>
          </cell>
          <cell r="BI44">
            <v>0.36207709431617907</v>
          </cell>
          <cell r="BJ44">
            <v>0.11873121584679147</v>
          </cell>
          <cell r="BL44">
            <v>0.36687415943083035</v>
          </cell>
          <cell r="BN44">
            <v>0.27845243689802224</v>
          </cell>
          <cell r="BP44">
            <v>0.40613666464493942</v>
          </cell>
          <cell r="BR44">
            <v>0.39402608147374668</v>
          </cell>
          <cell r="BT44">
            <v>0.36750724212165659</v>
          </cell>
          <cell r="BU44">
            <v>1.4997214379807389E-2</v>
          </cell>
          <cell r="BW44">
            <v>0.37926675094816686</v>
          </cell>
          <cell r="BY44">
            <v>0.371</v>
          </cell>
          <cell r="CA44">
            <v>0.371</v>
          </cell>
          <cell r="CC44">
            <v>0.371</v>
          </cell>
          <cell r="CE44">
            <v>0.3729296918045219</v>
          </cell>
          <cell r="CF44">
            <v>1.4754674361139086E-2</v>
          </cell>
        </row>
        <row r="45">
          <cell r="B45" t="str">
            <v>Reported Net Income</v>
          </cell>
          <cell r="C45">
            <v>54.345999997000064</v>
          </cell>
          <cell r="D45" t="e">
            <v>#REF!</v>
          </cell>
          <cell r="E45">
            <v>119.34600000200004</v>
          </cell>
          <cell r="F45" t="e">
            <v>#REF!</v>
          </cell>
          <cell r="G45">
            <v>114.81400000099993</v>
          </cell>
          <cell r="H45" t="e">
            <v>#REF!</v>
          </cell>
          <cell r="I45">
            <v>102.49599999999992</v>
          </cell>
          <cell r="J45" t="e">
            <v>#REF!</v>
          </cell>
          <cell r="K45">
            <v>435.06000000000006</v>
          </cell>
          <cell r="M45">
            <v>169.86706622616552</v>
          </cell>
          <cell r="N45" t="e">
            <v>#REF!</v>
          </cell>
          <cell r="O45">
            <v>154.00077262893146</v>
          </cell>
          <cell r="P45" t="e">
            <v>#REF!</v>
          </cell>
          <cell r="Q45">
            <v>176.30279690849221</v>
          </cell>
          <cell r="R45" t="e">
            <v>#REF!</v>
          </cell>
          <cell r="S45">
            <v>155.12075938289837</v>
          </cell>
          <cell r="T45" t="e">
            <v>#REF!</v>
          </cell>
          <cell r="U45">
            <v>653.88039514648756</v>
          </cell>
          <cell r="W45">
            <v>199.42299999700003</v>
          </cell>
          <cell r="X45" t="e">
            <v>#REF!</v>
          </cell>
          <cell r="Y45">
            <v>212.20799999899995</v>
          </cell>
          <cell r="Z45" t="e">
            <v>#REF!</v>
          </cell>
          <cell r="AA45">
            <v>229.62100000000001</v>
          </cell>
          <cell r="AB45" t="e">
            <v>#REF!</v>
          </cell>
          <cell r="AC45">
            <v>253.37006880999991</v>
          </cell>
          <cell r="AD45" t="e">
            <v>#REF!</v>
          </cell>
          <cell r="AE45">
            <v>893.21106880599996</v>
          </cell>
          <cell r="AG45">
            <v>118.668606877725</v>
          </cell>
          <cell r="AI45">
            <v>120.48884124299254</v>
          </cell>
          <cell r="AK45">
            <v>120.17900000000009</v>
          </cell>
          <cell r="AM45">
            <v>124.17811154892991</v>
          </cell>
          <cell r="AO45">
            <v>483.5145596696475</v>
          </cell>
          <cell r="AQ45">
            <v>182.53399999999993</v>
          </cell>
          <cell r="AS45">
            <v>163.49099999999993</v>
          </cell>
          <cell r="AU45">
            <v>143.82200000000017</v>
          </cell>
          <cell r="AW45">
            <v>144.99199999999996</v>
          </cell>
          <cell r="AY45">
            <v>634.65584265857763</v>
          </cell>
          <cell r="BA45">
            <v>207.55099999999993</v>
          </cell>
          <cell r="BB45">
            <v>0.13705391872199146</v>
          </cell>
          <cell r="BC45">
            <v>201.77200000000028</v>
          </cell>
          <cell r="BD45">
            <v>0.23414744542513266</v>
          </cell>
          <cell r="BE45">
            <v>259.60200000000009</v>
          </cell>
          <cell r="BF45">
            <v>0.80502287549887908</v>
          </cell>
          <cell r="BG45">
            <v>225.40699999999995</v>
          </cell>
          <cell r="BH45">
            <v>0.55461680644449363</v>
          </cell>
          <cell r="BI45">
            <v>894.36599999999964</v>
          </cell>
          <cell r="BJ45">
            <v>0.4092141596829777</v>
          </cell>
          <cell r="BL45">
            <v>311.6410000000003</v>
          </cell>
          <cell r="BM45">
            <v>0.50151529021782792</v>
          </cell>
          <cell r="BN45">
            <v>328.57400000000007</v>
          </cell>
          <cell r="BO45">
            <v>0.6284420038459233</v>
          </cell>
          <cell r="BP45">
            <v>383.8209999999998</v>
          </cell>
          <cell r="BQ45">
            <v>0.47849785440789994</v>
          </cell>
          <cell r="BR45">
            <v>363.28500000000008</v>
          </cell>
          <cell r="BS45">
            <v>0.61168464155949076</v>
          </cell>
          <cell r="BT45">
            <v>1387.3210000000001</v>
          </cell>
          <cell r="BU45">
            <v>0.55117815301565654</v>
          </cell>
          <cell r="BW45">
            <v>491</v>
          </cell>
          <cell r="BX45">
            <v>0.57553081911558346</v>
          </cell>
          <cell r="BY45">
            <v>514.43797188999997</v>
          </cell>
          <cell r="BZ45">
            <v>0.56566853095497471</v>
          </cell>
          <cell r="CA45">
            <v>547.52327125000011</v>
          </cell>
          <cell r="CB45">
            <v>0.42650681242037414</v>
          </cell>
          <cell r="CC45">
            <v>571.94426544000009</v>
          </cell>
          <cell r="CD45">
            <v>0.57436796300425286</v>
          </cell>
          <cell r="CE45">
            <v>2124.9055085800001</v>
          </cell>
          <cell r="CF45">
            <v>0.53166102767852563</v>
          </cell>
        </row>
        <row r="46">
          <cell r="B46" t="str">
            <v>EPS, basic</v>
          </cell>
          <cell r="C46">
            <v>5.3195279706391409E-2</v>
          </cell>
          <cell r="D46" t="e">
            <v>#REF!</v>
          </cell>
          <cell r="E46">
            <v>0.1161134028662049</v>
          </cell>
          <cell r="F46" t="e">
            <v>#REF!</v>
          </cell>
          <cell r="G46">
            <v>0.11225174174395246</v>
          </cell>
          <cell r="H46" t="e">
            <v>#REF!</v>
          </cell>
          <cell r="I46">
            <v>9.9454483000867386E-2</v>
          </cell>
          <cell r="J46" t="e">
            <v>#REF!</v>
          </cell>
          <cell r="K46">
            <v>0.84830168077058077</v>
          </cell>
          <cell r="M46">
            <v>0.15719058841409891</v>
          </cell>
          <cell r="N46" t="e">
            <v>#REF!</v>
          </cell>
          <cell r="O46">
            <v>0.14772766505983081</v>
          </cell>
          <cell r="P46" t="e">
            <v>#REF!</v>
          </cell>
          <cell r="Q46">
            <v>0.16857272598569231</v>
          </cell>
          <cell r="R46" t="e">
            <v>#REF!</v>
          </cell>
          <cell r="S46">
            <v>0.14771576793625393</v>
          </cell>
          <cell r="T46" t="e">
            <v>#REF!</v>
          </cell>
          <cell r="U46">
            <v>0.62610751786886065</v>
          </cell>
          <cell r="W46">
            <v>0.18963949828069879</v>
          </cell>
          <cell r="X46" t="e">
            <v>#REF!</v>
          </cell>
          <cell r="Y46">
            <v>0.201336627462533</v>
          </cell>
          <cell r="Z46" t="e">
            <v>#REF!</v>
          </cell>
          <cell r="AA46">
            <v>0.21772122853328479</v>
          </cell>
          <cell r="AB46" t="e">
            <v>#REF!</v>
          </cell>
          <cell r="AC46">
            <v>0.23995422792662244</v>
          </cell>
          <cell r="AD46" t="e">
            <v>#REF!</v>
          </cell>
          <cell r="AE46">
            <v>0.84741827980205642</v>
          </cell>
          <cell r="AG46">
            <v>0.11262407288593676</v>
          </cell>
          <cell r="AI46">
            <v>0.11585443224435389</v>
          </cell>
          <cell r="AK46">
            <v>0.11644687757376106</v>
          </cell>
          <cell r="AM46">
            <v>0.12075917770961529</v>
          </cell>
          <cell r="AO46">
            <v>0.46558555820163972</v>
          </cell>
          <cell r="AQ46">
            <v>0.17828754720077195</v>
          </cell>
          <cell r="AS46">
            <v>0.15937622463243961</v>
          </cell>
          <cell r="AU46">
            <v>0.13818408916218311</v>
          </cell>
          <cell r="AW46">
            <v>0.13843172075349197</v>
          </cell>
          <cell r="AY46">
            <v>0.61351622099003444</v>
          </cell>
          <cell r="BA46">
            <v>0.19669389062526646</v>
          </cell>
          <cell r="BB46">
            <v>0.10323964692703358</v>
          </cell>
          <cell r="BC46">
            <v>0.19023985050239559</v>
          </cell>
          <cell r="BD46">
            <v>0.19365263508490682</v>
          </cell>
          <cell r="BE46">
            <v>0.24603559717193932</v>
          </cell>
          <cell r="BF46">
            <v>0.78049150711681192</v>
          </cell>
          <cell r="BG46">
            <v>0.21473468610079066</v>
          </cell>
          <cell r="BH46">
            <v>0.55119567200333264</v>
          </cell>
          <cell r="BI46">
            <v>0.84760772011960184</v>
          </cell>
          <cell r="BJ46">
            <v>0.38155714734292223</v>
          </cell>
          <cell r="BL46">
            <v>0.29769915325477275</v>
          </cell>
          <cell r="BM46">
            <v>0.51351499687368318</v>
          </cell>
          <cell r="BN46">
            <v>0.31068947127549734</v>
          </cell>
          <cell r="BO46">
            <v>0.6331461071642559</v>
          </cell>
          <cell r="BP46">
            <v>0.36191125456018103</v>
          </cell>
          <cell r="BQ46">
            <v>0.47097110629590433</v>
          </cell>
          <cell r="BR46">
            <v>0.3444360799602551</v>
          </cell>
          <cell r="BS46">
            <v>0.60400765341928087</v>
          </cell>
          <cell r="BT46">
            <v>1.3150560404644005</v>
          </cell>
          <cell r="BU46">
            <v>0.5514913435177764</v>
          </cell>
          <cell r="BW46">
            <v>0.46584440227703983</v>
          </cell>
          <cell r="BX46">
            <v>0.56481601369677836</v>
          </cell>
          <cell r="BY46">
            <v>0.48808156725806451</v>
          </cell>
          <cell r="BZ46">
            <v>0.57096268906154357</v>
          </cell>
          <cell r="CA46">
            <v>0.51947179435483881</v>
          </cell>
          <cell r="CB46">
            <v>0.43535683902987765</v>
          </cell>
          <cell r="CC46">
            <v>0.54264161806451627</v>
          </cell>
          <cell r="CD46">
            <v>0.57544940741147776</v>
          </cell>
          <cell r="CE46">
            <v>2.0160393819544593</v>
          </cell>
          <cell r="CF46">
            <v>0.53304446344546097</v>
          </cell>
        </row>
        <row r="47">
          <cell r="B47" t="str">
            <v>EPS, diluted</v>
          </cell>
          <cell r="C47">
            <v>5.1261300007734628E-2</v>
          </cell>
          <cell r="D47" t="e">
            <v>#REF!</v>
          </cell>
          <cell r="E47">
            <v>0.11182173883900132</v>
          </cell>
          <cell r="F47" t="e">
            <v>#REF!</v>
          </cell>
          <cell r="G47">
            <v>0.10948743622848416</v>
          </cell>
          <cell r="H47" t="e">
            <v>#REF!</v>
          </cell>
          <cell r="I47">
            <v>9.672335662963033E-2</v>
          </cell>
          <cell r="J47" t="e">
            <v>#REF!</v>
          </cell>
          <cell r="K47">
            <v>0.82168185466735921</v>
          </cell>
          <cell r="M47">
            <v>0.16360744536644534</v>
          </cell>
          <cell r="N47" t="e">
            <v>#REF!</v>
          </cell>
          <cell r="O47">
            <v>0.14302396905211939</v>
          </cell>
          <cell r="P47" t="e">
            <v>#REF!</v>
          </cell>
          <cell r="Q47">
            <v>0.16279624374956575</v>
          </cell>
          <cell r="R47" t="e">
            <v>#REF!</v>
          </cell>
          <cell r="S47">
            <v>0.1442675142833611</v>
          </cell>
          <cell r="T47" t="e">
            <v>#REF!</v>
          </cell>
          <cell r="U47">
            <v>0.60987544247047309</v>
          </cell>
          <cell r="W47">
            <v>0.18630385512668887</v>
          </cell>
          <cell r="X47" t="e">
            <v>#REF!</v>
          </cell>
          <cell r="Y47">
            <v>0.19827260801712437</v>
          </cell>
          <cell r="Z47" t="e">
            <v>#REF!</v>
          </cell>
          <cell r="AA47">
            <v>0.21513388423557631</v>
          </cell>
          <cell r="AB47" t="e">
            <v>#REF!</v>
          </cell>
          <cell r="AC47">
            <v>0.23597362148675347</v>
          </cell>
          <cell r="AD47" t="e">
            <v>#REF!</v>
          </cell>
          <cell r="AE47">
            <v>0.83443278873473636</v>
          </cell>
          <cell r="AG47">
            <v>0.11091602069521243</v>
          </cell>
          <cell r="AI47">
            <v>0.11486526747781373</v>
          </cell>
          <cell r="AK47">
            <v>0.11568376043694142</v>
          </cell>
          <cell r="AM47">
            <v>0.11963762442668824</v>
          </cell>
          <cell r="AO47">
            <v>0.46096594929398294</v>
          </cell>
          <cell r="AQ47">
            <v>0.17644113473531989</v>
          </cell>
          <cell r="AS47">
            <v>0.15632685298156096</v>
          </cell>
          <cell r="AU47">
            <v>0.13499342969776626</v>
          </cell>
          <cell r="AW47">
            <v>0.13531330959153653</v>
          </cell>
          <cell r="AY47">
            <v>0.60195636879300407</v>
          </cell>
          <cell r="BA47">
            <v>0.19188759906363365</v>
          </cell>
          <cell r="BB47">
            <v>8.7544575994056517E-2</v>
          </cell>
          <cell r="BC47">
            <v>0.1856079596205274</v>
          </cell>
          <cell r="BD47">
            <v>0.18730695386300766</v>
          </cell>
          <cell r="BE47">
            <v>0.24102097033403808</v>
          </cell>
          <cell r="BF47">
            <v>0.78542741579093511</v>
          </cell>
          <cell r="BG47">
            <v>0.21052144935874201</v>
          </cell>
          <cell r="BH47">
            <v>0.55580740722573774</v>
          </cell>
          <cell r="BI47">
            <v>0.82872362999196592</v>
          </cell>
          <cell r="BJ47">
            <v>0.37671710601493902</v>
          </cell>
          <cell r="BL47">
            <v>0.29205273126155645</v>
          </cell>
          <cell r="BM47">
            <v>0.52199898631649511</v>
          </cell>
          <cell r="BN47">
            <v>0.30315701288288605</v>
          </cell>
          <cell r="BO47">
            <v>0.63331903169824111</v>
          </cell>
          <cell r="BP47">
            <v>0.35311289058331263</v>
          </cell>
          <cell r="BQ47">
            <v>0.46507123464785272</v>
          </cell>
          <cell r="BR47">
            <v>0.33632766499529704</v>
          </cell>
          <cell r="BS47">
            <v>0.59759333796991476</v>
          </cell>
          <cell r="BT47">
            <v>1.2834287279048318</v>
          </cell>
          <cell r="BU47">
            <v>0.54868122671640718</v>
          </cell>
          <cell r="BW47">
            <v>0.45674418604651162</v>
          </cell>
          <cell r="BX47">
            <v>0.56390999691579968</v>
          </cell>
          <cell r="BY47">
            <v>0.4785469505953488</v>
          </cell>
          <cell r="BZ47">
            <v>0.57854488024071671</v>
          </cell>
          <cell r="CA47">
            <v>0.50932397325581402</v>
          </cell>
          <cell r="CB47">
            <v>0.44238283800530165</v>
          </cell>
          <cell r="CC47">
            <v>0.53204117715348842</v>
          </cell>
          <cell r="CD47">
            <v>0.58191321299997156</v>
          </cell>
          <cell r="CE47">
            <v>1.9766562870511628</v>
          </cell>
          <cell r="CF47">
            <v>0.54013716856565086</v>
          </cell>
        </row>
        <row r="49">
          <cell r="B49" t="str">
            <v>Option expense</v>
          </cell>
          <cell r="BW49">
            <v>74</v>
          </cell>
          <cell r="BY49">
            <v>78.304247450000005</v>
          </cell>
          <cell r="CA49">
            <v>83.722856250000007</v>
          </cell>
          <cell r="CC49">
            <v>93.158375200000009</v>
          </cell>
          <cell r="CE49">
            <v>329.18547890000002</v>
          </cell>
        </row>
        <row r="50">
          <cell r="B50" t="str">
            <v>Net Income (incl options exp)</v>
          </cell>
          <cell r="BW50">
            <v>417</v>
          </cell>
          <cell r="BY50">
            <v>436.13372443999998</v>
          </cell>
          <cell r="CA50">
            <v>463.8004150000001</v>
          </cell>
          <cell r="CC50">
            <v>478.78589024000007</v>
          </cell>
          <cell r="CE50">
            <v>1795.7200296800002</v>
          </cell>
        </row>
        <row r="52">
          <cell r="B52" t="str">
            <v>EPS, diluted (incl option exp)</v>
          </cell>
          <cell r="BW52">
            <v>0.38790697674418606</v>
          </cell>
          <cell r="BY52">
            <v>0.40570579017674419</v>
          </cell>
          <cell r="CA52">
            <v>0.43144224651162799</v>
          </cell>
          <cell r="CC52">
            <v>0.44538222347906986</v>
          </cell>
          <cell r="CE52">
            <v>1.670437236911628</v>
          </cell>
        </row>
        <row r="53">
          <cell r="B53" t="str">
            <v>EPS, GAAP, diluted (incl option exp)</v>
          </cell>
          <cell r="BW53">
            <v>0.39162790697674421</v>
          </cell>
          <cell r="BY53">
            <v>0.38464160413023252</v>
          </cell>
          <cell r="CA53">
            <v>0.41037806046511638</v>
          </cell>
          <cell r="CC53">
            <v>0.42431803743255819</v>
          </cell>
          <cell r="CE53">
            <v>1.6109656090046514</v>
          </cell>
        </row>
        <row r="54">
          <cell r="B54" t="str">
            <v>Shares Outstanding (Basic)</v>
          </cell>
          <cell r="C54">
            <v>1021.6319999999999</v>
          </cell>
          <cell r="D54">
            <v>0</v>
          </cell>
          <cell r="E54">
            <v>1027.8399999999999</v>
          </cell>
          <cell r="F54">
            <v>0</v>
          </cell>
          <cell r="G54">
            <v>1022.826</v>
          </cell>
          <cell r="H54">
            <v>0</v>
          </cell>
          <cell r="I54">
            <v>1030.5820000000001</v>
          </cell>
          <cell r="K54">
            <v>512.86</v>
          </cell>
          <cell r="M54">
            <v>1080.644</v>
          </cell>
          <cell r="N54">
            <v>0</v>
          </cell>
          <cell r="O54">
            <v>1042.4639999999999</v>
          </cell>
          <cell r="P54">
            <v>0</v>
          </cell>
          <cell r="Q54">
            <v>1045.856</v>
          </cell>
          <cell r="R54">
            <v>0</v>
          </cell>
          <cell r="S54">
            <v>1050.1300000000001</v>
          </cell>
          <cell r="T54">
            <v>0</v>
          </cell>
          <cell r="U54">
            <v>1044.3579999999999</v>
          </cell>
          <cell r="W54">
            <v>1051.5899999999999</v>
          </cell>
          <cell r="X54">
            <v>0</v>
          </cell>
          <cell r="Y54">
            <v>1053.9960000000001</v>
          </cell>
          <cell r="Z54">
            <v>0</v>
          </cell>
          <cell r="AA54">
            <v>1054.6559999999999</v>
          </cell>
          <cell r="AB54">
            <v>0</v>
          </cell>
          <cell r="AC54">
            <v>1055.9100000000001</v>
          </cell>
          <cell r="AD54">
            <v>0</v>
          </cell>
          <cell r="AE54">
            <v>1054.038</v>
          </cell>
          <cell r="AG54">
            <v>1053.67</v>
          </cell>
          <cell r="AH54">
            <v>0</v>
          </cell>
          <cell r="AI54">
            <v>1040.002</v>
          </cell>
          <cell r="AJ54">
            <v>0</v>
          </cell>
          <cell r="AK54">
            <v>1032.05</v>
          </cell>
          <cell r="AL54">
            <v>0</v>
          </cell>
          <cell r="AM54">
            <v>1028.3119999999999</v>
          </cell>
          <cell r="AN54">
            <v>0</v>
          </cell>
          <cell r="AO54">
            <v>1038.5084999999999</v>
          </cell>
          <cell r="AQ54">
            <v>1023.818</v>
          </cell>
          <cell r="AR54">
            <v>0</v>
          </cell>
          <cell r="AS54">
            <v>1025.818</v>
          </cell>
          <cell r="AT54">
            <v>0</v>
          </cell>
          <cell r="AU54">
            <v>1040.8</v>
          </cell>
          <cell r="AV54">
            <v>0</v>
          </cell>
          <cell r="AW54">
            <v>1047.3900000000001</v>
          </cell>
          <cell r="AY54">
            <v>1034.4565</v>
          </cell>
          <cell r="BA54">
            <v>1055.1980000000001</v>
          </cell>
          <cell r="BB54">
            <v>3.0649978804826672E-2</v>
          </cell>
          <cell r="BC54">
            <v>1060.6189999999999</v>
          </cell>
          <cell r="BD54">
            <v>3.392512122033331E-2</v>
          </cell>
          <cell r="BE54">
            <v>1055.1400000000001</v>
          </cell>
          <cell r="BF54">
            <v>1.3777863182167671E-2</v>
          </cell>
          <cell r="BG54">
            <v>1049.7</v>
          </cell>
          <cell r="BH54">
            <v>2.2054821986079443E-3</v>
          </cell>
          <cell r="BI54">
            <v>1055.165</v>
          </cell>
          <cell r="BJ54">
            <v>2.0018724808631427E-2</v>
          </cell>
          <cell r="BL54">
            <v>1046.8320000000001</v>
          </cell>
          <cell r="BM54">
            <v>-7.9283698414894799E-3</v>
          </cell>
          <cell r="BN54">
            <v>1057.5640000000001</v>
          </cell>
          <cell r="BO54">
            <v>-2.8803934306285139E-3</v>
          </cell>
          <cell r="BP54">
            <v>1060.539</v>
          </cell>
          <cell r="BQ54">
            <v>5.1168565308867819E-3</v>
          </cell>
          <cell r="BR54">
            <v>1054.7239999999999</v>
          </cell>
          <cell r="BS54">
            <v>4.7861293702962104E-3</v>
          </cell>
          <cell r="BT54">
            <v>1054.952</v>
          </cell>
          <cell r="BU54">
            <v>-2.0186416342460323E-4</v>
          </cell>
          <cell r="BW54">
            <v>1054</v>
          </cell>
          <cell r="BY54">
            <v>1054</v>
          </cell>
          <cell r="CA54">
            <v>1054</v>
          </cell>
          <cell r="CC54">
            <v>1054</v>
          </cell>
          <cell r="CE54">
            <v>1054</v>
          </cell>
          <cell r="CF54">
            <v>-9.0241072579599901E-4</v>
          </cell>
        </row>
        <row r="55">
          <cell r="B55" t="str">
            <v>Shares Outstanding (Diluted)</v>
          </cell>
          <cell r="C55">
            <v>1060.1759999999999</v>
          </cell>
          <cell r="D55">
            <v>0</v>
          </cell>
          <cell r="E55">
            <v>1067.288</v>
          </cell>
          <cell r="F55">
            <v>0</v>
          </cell>
          <cell r="G55">
            <v>1048.6500000000001</v>
          </cell>
          <cell r="H55">
            <v>0</v>
          </cell>
          <cell r="I55">
            <v>1059.682</v>
          </cell>
          <cell r="K55">
            <v>529.47500000000002</v>
          </cell>
          <cell r="M55">
            <v>1038.26</v>
          </cell>
          <cell r="N55">
            <v>0</v>
          </cell>
          <cell r="O55">
            <v>1076.748</v>
          </cell>
          <cell r="P55">
            <v>0</v>
          </cell>
          <cell r="Q55">
            <v>1082.9659999999999</v>
          </cell>
          <cell r="R55">
            <v>0</v>
          </cell>
          <cell r="S55">
            <v>1075.23</v>
          </cell>
          <cell r="T55">
            <v>0</v>
          </cell>
          <cell r="U55">
            <v>1072.154</v>
          </cell>
          <cell r="W55">
            <v>1070.4179999999999</v>
          </cell>
          <cell r="X55">
            <v>0</v>
          </cell>
          <cell r="Y55">
            <v>1070.2840000000001</v>
          </cell>
          <cell r="Z55">
            <v>0</v>
          </cell>
          <cell r="AA55">
            <v>1067.3399999999999</v>
          </cell>
          <cell r="AB55">
            <v>0</v>
          </cell>
          <cell r="AC55">
            <v>1073.722</v>
          </cell>
          <cell r="AD55">
            <v>0</v>
          </cell>
          <cell r="AE55">
            <v>1070.441</v>
          </cell>
          <cell r="AG55">
            <v>1069.896</v>
          </cell>
          <cell r="AH55">
            <v>0</v>
          </cell>
          <cell r="AI55">
            <v>1048.9580000000001</v>
          </cell>
          <cell r="AJ55">
            <v>0</v>
          </cell>
          <cell r="AK55">
            <v>1038.8579999999999</v>
          </cell>
          <cell r="AL55">
            <v>0</v>
          </cell>
          <cell r="AM55">
            <v>1037.952</v>
          </cell>
          <cell r="AN55">
            <v>0</v>
          </cell>
          <cell r="AO55">
            <v>1048.9160000000002</v>
          </cell>
          <cell r="AQ55">
            <v>1034.5319999999999</v>
          </cell>
          <cell r="AR55">
            <v>0</v>
          </cell>
          <cell r="AS55">
            <v>1045.828</v>
          </cell>
          <cell r="AT55">
            <v>0</v>
          </cell>
          <cell r="AU55">
            <v>1065.4000000000001</v>
          </cell>
          <cell r="AV55">
            <v>0</v>
          </cell>
          <cell r="AW55">
            <v>1071.528</v>
          </cell>
          <cell r="AY55">
            <v>1054.3219999999999</v>
          </cell>
          <cell r="BA55">
            <v>1081.6279999999999</v>
          </cell>
          <cell r="BB55">
            <v>4.5523966392533088E-2</v>
          </cell>
          <cell r="BC55">
            <v>1087.087</v>
          </cell>
          <cell r="BD55">
            <v>3.9451037837962E-2</v>
          </cell>
          <cell r="BE55">
            <v>1077.0930000000001</v>
          </cell>
          <cell r="BF55">
            <v>1.0975220574432232E-2</v>
          </cell>
          <cell r="BG55">
            <v>1070.7080000000001</v>
          </cell>
          <cell r="BH55">
            <v>-7.6526231699025615E-4</v>
          </cell>
          <cell r="BI55">
            <v>1079.2090000000001</v>
          </cell>
          <cell r="BJ55">
            <v>2.3604743142986884E-2</v>
          </cell>
          <cell r="BL55">
            <v>1067.0709999999999</v>
          </cell>
          <cell r="BM55">
            <v>-1.345841638714973E-2</v>
          </cell>
          <cell r="BN55">
            <v>1083.8409999999999</v>
          </cell>
          <cell r="BO55">
            <v>-2.9859615651738336E-3</v>
          </cell>
          <cell r="BP55">
            <v>1086.9639999999999</v>
          </cell>
          <cell r="BQ55">
            <v>9.1644825470036384E-3</v>
          </cell>
          <cell r="BR55">
            <v>1080.152</v>
          </cell>
          <cell r="BS55">
            <v>8.8203319672590652E-3</v>
          </cell>
          <cell r="BT55">
            <v>1080.9490000000001</v>
          </cell>
          <cell r="BU55">
            <v>1.6122919656897938E-3</v>
          </cell>
          <cell r="BW55">
            <v>1075</v>
          </cell>
          <cell r="BY55">
            <v>1075</v>
          </cell>
          <cell r="CA55">
            <v>1075</v>
          </cell>
          <cell r="CC55">
            <v>1075</v>
          </cell>
          <cell r="CE55">
            <v>1075</v>
          </cell>
          <cell r="CF55">
            <v>-5.5034973897936101E-3</v>
          </cell>
        </row>
        <row r="58">
          <cell r="B58" t="str">
            <v>GAAP Adjustments</v>
          </cell>
        </row>
        <row r="59">
          <cell r="B59" t="str">
            <v>Charges related to Redemption</v>
          </cell>
          <cell r="AG59">
            <v>-38.9</v>
          </cell>
          <cell r="AI59">
            <v>-38.9</v>
          </cell>
          <cell r="AK59">
            <v>-38.9</v>
          </cell>
          <cell r="AM59">
            <v>-38.9</v>
          </cell>
          <cell r="AO59">
            <v>-155.6</v>
          </cell>
          <cell r="AQ59">
            <v>-38.6</v>
          </cell>
          <cell r="AS59">
            <v>-38.6</v>
          </cell>
          <cell r="AU59">
            <v>-38.6</v>
          </cell>
          <cell r="BA59">
            <v>-38.209000000000003</v>
          </cell>
          <cell r="BC59">
            <v>-38.209000000000003</v>
          </cell>
          <cell r="BE59">
            <v>-30</v>
          </cell>
          <cell r="BG59">
            <v>-34.533999999999999</v>
          </cell>
          <cell r="BI59">
            <v>-140.952</v>
          </cell>
          <cell r="BL59">
            <v>-34.481999999999999</v>
          </cell>
          <cell r="BN59">
            <v>-34.481999999999999</v>
          </cell>
          <cell r="BP59">
            <v>-27.190999999999999</v>
          </cell>
          <cell r="BR59">
            <v>-25</v>
          </cell>
          <cell r="BT59">
            <v>-122.7</v>
          </cell>
          <cell r="BW59">
            <v>-26</v>
          </cell>
          <cell r="BY59">
            <v>-23</v>
          </cell>
          <cell r="CA59">
            <v>-23</v>
          </cell>
          <cell r="CC59">
            <v>-23</v>
          </cell>
          <cell r="CE59">
            <v>-95</v>
          </cell>
        </row>
        <row r="60">
          <cell r="B60" t="str">
            <v>Litigation related charges</v>
          </cell>
          <cell r="AG60">
            <v>0</v>
          </cell>
          <cell r="AI60">
            <v>-518</v>
          </cell>
          <cell r="AK60">
            <v>-12.5</v>
          </cell>
          <cell r="AM60">
            <v>-13.5</v>
          </cell>
          <cell r="AO60">
            <v>-544</v>
          </cell>
          <cell r="AQ60">
            <v>-13.2</v>
          </cell>
          <cell r="AS60">
            <v>-13.4</v>
          </cell>
          <cell r="AU60">
            <v>131.61699999999999</v>
          </cell>
          <cell r="BA60">
            <v>-13.398999999999999</v>
          </cell>
          <cell r="BC60">
            <v>-13.458</v>
          </cell>
          <cell r="BE60">
            <v>-13</v>
          </cell>
          <cell r="BG60">
            <v>3.1890000000000001</v>
          </cell>
          <cell r="BI60">
            <v>-36.667999999999999</v>
          </cell>
          <cell r="BL60">
            <v>-11.256</v>
          </cell>
          <cell r="BN60">
            <v>-19.527000000000001</v>
          </cell>
          <cell r="BP60">
            <v>-13.507</v>
          </cell>
          <cell r="BR60">
            <v>-13</v>
          </cell>
          <cell r="BT60">
            <v>-57.8</v>
          </cell>
          <cell r="BW60">
            <v>-13</v>
          </cell>
          <cell r="BY60">
            <v>-13</v>
          </cell>
          <cell r="CA60">
            <v>-13</v>
          </cell>
          <cell r="CC60">
            <v>-13</v>
          </cell>
          <cell r="CE60">
            <v>-52</v>
          </cell>
        </row>
        <row r="61">
          <cell r="B61" t="str">
            <v>Tax Effect</v>
          </cell>
          <cell r="AG61">
            <v>15.600000000000001</v>
          </cell>
          <cell r="AI61">
            <v>222.709</v>
          </cell>
          <cell r="AK61">
            <v>20.585000000000001</v>
          </cell>
          <cell r="AM61">
            <v>21.203000000000003</v>
          </cell>
          <cell r="AO61">
            <v>280.09699999999998</v>
          </cell>
          <cell r="AQ61">
            <v>20.762</v>
          </cell>
          <cell r="AS61">
            <v>20.791999999999994</v>
          </cell>
          <cell r="AU61">
            <v>-37.300000000000011</v>
          </cell>
          <cell r="BA61">
            <v>20.643999999999998</v>
          </cell>
          <cell r="BC61">
            <v>20.666</v>
          </cell>
          <cell r="BE61">
            <v>15.739672569915893</v>
          </cell>
          <cell r="BG61">
            <v>11.244739080587301</v>
          </cell>
          <cell r="BI61">
            <v>68.294411650503207</v>
          </cell>
          <cell r="BL61">
            <v>18.295000000000002</v>
          </cell>
          <cell r="BN61">
            <v>15.038937664425283</v>
          </cell>
          <cell r="BP61">
            <v>16.28</v>
          </cell>
          <cell r="BR61">
            <v>14.972991096002374</v>
          </cell>
          <cell r="BT61">
            <v>72.2</v>
          </cell>
          <cell r="BW61">
            <v>43</v>
          </cell>
          <cell r="BY61">
            <v>13.356</v>
          </cell>
          <cell r="CA61">
            <v>13.356</v>
          </cell>
          <cell r="CC61">
            <v>13.356</v>
          </cell>
          <cell r="CE61">
            <v>83.067999999999998</v>
          </cell>
        </row>
        <row r="62">
          <cell r="B62" t="str">
            <v>Total Adjustments</v>
          </cell>
          <cell r="AG62">
            <v>-23.299999999999997</v>
          </cell>
          <cell r="AI62">
            <v>-334.19099999999997</v>
          </cell>
          <cell r="AK62">
            <v>-30.814999999999998</v>
          </cell>
          <cell r="AM62">
            <v>-31.196999999999996</v>
          </cell>
          <cell r="AO62">
            <v>-419.50300000000004</v>
          </cell>
          <cell r="AQ62">
            <v>-31.037999999999997</v>
          </cell>
          <cell r="AS62">
            <v>-31.208000000000006</v>
          </cell>
          <cell r="AU62">
            <v>55.716999999999985</v>
          </cell>
          <cell r="BA62">
            <v>-30.964000000000006</v>
          </cell>
          <cell r="BC62">
            <v>-31.001000000000001</v>
          </cell>
          <cell r="BE62">
            <v>-27.260327430084107</v>
          </cell>
          <cell r="BG62">
            <v>-20.100260919412698</v>
          </cell>
          <cell r="BI62">
            <v>-109.3255883494968</v>
          </cell>
          <cell r="BL62">
            <v>-27.442999999999998</v>
          </cell>
          <cell r="BN62">
            <v>-38.970062335574717</v>
          </cell>
          <cell r="BP62">
            <v>-24.417999999999999</v>
          </cell>
          <cell r="BR62">
            <v>-23.027008903997626</v>
          </cell>
          <cell r="BT62">
            <v>-108.3</v>
          </cell>
          <cell r="BW62">
            <v>4</v>
          </cell>
          <cell r="BY62">
            <v>-22.643999999999998</v>
          </cell>
          <cell r="CA62">
            <v>-22.643999999999998</v>
          </cell>
          <cell r="CC62">
            <v>-22.643999999999998</v>
          </cell>
          <cell r="CE62">
            <v>-63.932000000000002</v>
          </cell>
        </row>
        <row r="63">
          <cell r="B63" t="str">
            <v>GAAP Net Income</v>
          </cell>
          <cell r="AG63">
            <v>95.368606877725</v>
          </cell>
          <cell r="AI63">
            <v>-213.70215875700745</v>
          </cell>
          <cell r="AK63">
            <v>89.36400000000009</v>
          </cell>
          <cell r="AM63">
            <v>92.981111548929903</v>
          </cell>
          <cell r="AO63">
            <v>64.011559669647454</v>
          </cell>
          <cell r="AQ63">
            <v>151.49599999999992</v>
          </cell>
          <cell r="AS63">
            <v>132.28299999999993</v>
          </cell>
          <cell r="AU63">
            <v>199.53900000000016</v>
          </cell>
          <cell r="BA63">
            <v>176.58699999999993</v>
          </cell>
          <cell r="BC63">
            <v>170.77100000000027</v>
          </cell>
          <cell r="BE63">
            <v>232.34167256991597</v>
          </cell>
          <cell r="BG63">
            <v>205.30673908058725</v>
          </cell>
          <cell r="BI63">
            <v>785.04041165050285</v>
          </cell>
          <cell r="BL63">
            <v>284.19800000000032</v>
          </cell>
          <cell r="BN63">
            <v>289.60393766442536</v>
          </cell>
          <cell r="BP63">
            <v>359.40299999999979</v>
          </cell>
          <cell r="BR63">
            <v>340.25799109600246</v>
          </cell>
          <cell r="BT63">
            <v>1279.0210000000002</v>
          </cell>
          <cell r="BW63">
            <v>421</v>
          </cell>
          <cell r="BY63">
            <v>413.48972443999997</v>
          </cell>
          <cell r="CA63">
            <v>441.1564150000001</v>
          </cell>
          <cell r="CC63">
            <v>456.14189024000007</v>
          </cell>
          <cell r="CE63">
            <v>1731.7880296800001</v>
          </cell>
        </row>
        <row r="64">
          <cell r="B64" t="str">
            <v>GAAP EPS - Basic</v>
          </cell>
          <cell r="AG64">
            <v>9.0510887543277296E-2</v>
          </cell>
          <cell r="AI64">
            <v>-0.20548244980010372</v>
          </cell>
          <cell r="AK64">
            <v>8.658882806065607E-2</v>
          </cell>
          <cell r="AM64">
            <v>9.042110910786795E-2</v>
          </cell>
          <cell r="AO64">
            <v>6.1637973757217641E-2</v>
          </cell>
          <cell r="AQ64">
            <v>0.14797161214200172</v>
          </cell>
          <cell r="AS64">
            <v>0.12895367404354371</v>
          </cell>
          <cell r="AU64">
            <v>0.19171694850115312</v>
          </cell>
          <cell r="BA64">
            <v>0.1673496348552593</v>
          </cell>
          <cell r="BC64">
            <v>0.1610106928124051</v>
          </cell>
          <cell r="BE64">
            <v>0.22019985269245404</v>
          </cell>
          <cell r="BG64">
            <v>0.19558610944135205</v>
          </cell>
          <cell r="BI64">
            <v>0.74399777442438186</v>
          </cell>
          <cell r="BL64">
            <v>0.27148386751646902</v>
          </cell>
          <cell r="BN64">
            <v>0.27384057859800953</v>
          </cell>
          <cell r="BP64">
            <v>0.33888711306232</v>
          </cell>
          <cell r="BR64">
            <v>0.32260381966846535</v>
          </cell>
          <cell r="BT64">
            <v>1.2123973413008367</v>
          </cell>
          <cell r="BW64">
            <v>0.39943074003795065</v>
          </cell>
          <cell r="BY64">
            <v>0.39230524140417455</v>
          </cell>
          <cell r="CA64">
            <v>0.41855447343453517</v>
          </cell>
          <cell r="CC64">
            <v>0.43277219187855792</v>
          </cell>
          <cell r="CE64">
            <v>1.6430626467552183</v>
          </cell>
        </row>
        <row r="65">
          <cell r="B65" t="str">
            <v>GAAP EPS - Diluted</v>
          </cell>
          <cell r="AG65">
            <v>8.9138203038169134E-2</v>
          </cell>
          <cell r="AI65">
            <v>-0.20372804131052666</v>
          </cell>
          <cell r="AK65">
            <v>8.6021381170477668E-2</v>
          </cell>
          <cell r="AM65">
            <v>8.9581321245038217E-2</v>
          </cell>
          <cell r="AO65">
            <v>6.1026392646930203E-2</v>
          </cell>
          <cell r="AQ65">
            <v>0.1464391628291826</v>
          </cell>
          <cell r="AS65">
            <v>0.1264863820819484</v>
          </cell>
          <cell r="AU65">
            <v>0.18729021963581766</v>
          </cell>
          <cell r="BA65">
            <v>0.16326038157296219</v>
          </cell>
          <cell r="BC65">
            <v>0.15709046286083844</v>
          </cell>
          <cell r="BE65">
            <v>0.21571180257407294</v>
          </cell>
          <cell r="BG65">
            <v>0.19174858045385598</v>
          </cell>
          <cell r="BI65">
            <v>0.72742203933668348</v>
          </cell>
          <cell r="BL65">
            <v>0.26633466751509538</v>
          </cell>
          <cell r="BN65">
            <v>0.26720149695797207</v>
          </cell>
          <cell r="BP65">
            <v>0.3306484851384221</v>
          </cell>
          <cell r="BR65">
            <v>0.31500936080848108</v>
          </cell>
          <cell r="BT65">
            <v>1.183238987223264</v>
          </cell>
          <cell r="BW65">
            <v>0.39162790697674421</v>
          </cell>
          <cell r="BY65">
            <v>0.38464160413023252</v>
          </cell>
          <cell r="CA65">
            <v>0.41037806046511638</v>
          </cell>
          <cell r="CC65">
            <v>0.42431803743255819</v>
          </cell>
          <cell r="CE65">
            <v>1.6109656090046514</v>
          </cell>
        </row>
      </sheetData>
      <sheetData sheetId="6" refreshError="1"/>
      <sheetData sheetId="7" refreshError="1">
        <row r="1">
          <cell r="B1" t="str">
            <v>Genentech Annual Income Statement</v>
          </cell>
          <cell r="AB1" t="str">
            <v>ElementName</v>
          </cell>
          <cell r="AC1" t="str">
            <v>ScaleOverride</v>
          </cell>
          <cell r="AD1" t="str">
            <v>UnitOverride</v>
          </cell>
          <cell r="AE1" t="str">
            <v>ReverseSign</v>
          </cell>
          <cell r="AF1" t="str">
            <v>IsDrivingAssumption</v>
          </cell>
          <cell r="AG1" t="str">
            <v>SegmentID</v>
          </cell>
        </row>
        <row r="2">
          <cell r="B2" t="str">
            <v>(Dollars in thousands except per-share data)</v>
          </cell>
        </row>
        <row r="3">
          <cell r="C3" t="str">
            <v>1999</v>
          </cell>
          <cell r="D3" t="str">
            <v>2000</v>
          </cell>
          <cell r="E3" t="str">
            <v>2001A</v>
          </cell>
          <cell r="F3" t="str">
            <v>2002A</v>
          </cell>
          <cell r="H3" t="str">
            <v>2003A</v>
          </cell>
          <cell r="I3" t="str">
            <v>% chg</v>
          </cell>
          <cell r="J3" t="str">
            <v>2004A</v>
          </cell>
          <cell r="K3" t="str">
            <v>% chg</v>
          </cell>
          <cell r="L3" t="str">
            <v>2005A</v>
          </cell>
          <cell r="M3" t="str">
            <v>% chg</v>
          </cell>
          <cell r="N3" t="str">
            <v>2006E</v>
          </cell>
          <cell r="O3" t="str">
            <v>% chg</v>
          </cell>
          <cell r="P3" t="str">
            <v>2007E</v>
          </cell>
          <cell r="Q3" t="str">
            <v>% chg</v>
          </cell>
          <cell r="R3" t="str">
            <v>2008E</v>
          </cell>
          <cell r="S3" t="str">
            <v>% chg</v>
          </cell>
          <cell r="T3" t="str">
            <v>2009E</v>
          </cell>
          <cell r="U3" t="str">
            <v>% chg</v>
          </cell>
          <cell r="V3" t="str">
            <v>2010E</v>
          </cell>
          <cell r="W3" t="str">
            <v>% chg</v>
          </cell>
        </row>
        <row r="4">
          <cell r="B4" t="str">
            <v>Rituxan - US</v>
          </cell>
          <cell r="C4">
            <v>262.7</v>
          </cell>
          <cell r="D4">
            <v>424.2</v>
          </cell>
          <cell r="E4">
            <v>779</v>
          </cell>
          <cell r="F4">
            <v>1080.2</v>
          </cell>
          <cell r="H4">
            <v>1360.2</v>
          </cell>
          <cell r="I4">
            <v>0.25921125717459725</v>
          </cell>
          <cell r="J4">
            <v>1574</v>
          </cell>
          <cell r="K4">
            <v>0.15718276724011182</v>
          </cell>
          <cell r="L4">
            <v>1831.481</v>
          </cell>
          <cell r="M4">
            <v>0.1635838627700128</v>
          </cell>
          <cell r="N4">
            <v>2097</v>
          </cell>
          <cell r="O4">
            <v>0.14497502294591103</v>
          </cell>
          <cell r="P4">
            <v>2430.2807564833265</v>
          </cell>
          <cell r="Q4">
            <v>0.15893216808933075</v>
          </cell>
          <cell r="R4">
            <v>2695.0166005063993</v>
          </cell>
          <cell r="S4">
            <v>0.10893220600822762</v>
          </cell>
          <cell r="T4">
            <v>2950.119381396431</v>
          </cell>
          <cell r="U4">
            <v>9.465722060565307E-2</v>
          </cell>
          <cell r="V4">
            <v>3220</v>
          </cell>
          <cell r="W4">
            <v>9.1481253370777837E-2</v>
          </cell>
        </row>
        <row r="5">
          <cell r="B5" t="str">
            <v>Rituxan - Ex-US</v>
          </cell>
          <cell r="F5">
            <v>449.90000000000015</v>
          </cell>
          <cell r="H5">
            <v>649.59999999999991</v>
          </cell>
          <cell r="I5">
            <v>0.44387641698155078</v>
          </cell>
          <cell r="J5">
            <v>1149</v>
          </cell>
          <cell r="K5">
            <v>0.76878078817734008</v>
          </cell>
          <cell r="L5">
            <v>1411</v>
          </cell>
          <cell r="M5">
            <v>0.22802436901653622</v>
          </cell>
          <cell r="N5">
            <v>1865</v>
          </cell>
          <cell r="O5">
            <v>0.15</v>
          </cell>
          <cell r="P5">
            <v>2144.75</v>
          </cell>
          <cell r="Q5">
            <v>0.15</v>
          </cell>
          <cell r="R5">
            <v>2316.33</v>
          </cell>
          <cell r="S5">
            <v>0.08</v>
          </cell>
          <cell r="T5">
            <v>2478.4731000000002</v>
          </cell>
          <cell r="U5">
            <v>7.0000000000000007E-2</v>
          </cell>
          <cell r="V5">
            <v>2627.1814860000004</v>
          </cell>
          <cell r="W5">
            <v>0.06</v>
          </cell>
        </row>
        <row r="6">
          <cell r="B6" t="str">
            <v xml:space="preserve">Rituxan - Transfer to Roche </v>
          </cell>
          <cell r="C6">
            <v>16.7</v>
          </cell>
          <cell r="D6">
            <v>19.899999999999999</v>
          </cell>
          <cell r="E6">
            <v>39.6</v>
          </cell>
          <cell r="F6">
            <v>82.7</v>
          </cell>
          <cell r="H6">
            <v>128.9</v>
          </cell>
          <cell r="I6">
            <v>0.55864570737605801</v>
          </cell>
          <cell r="J6">
            <v>137.19999999999999</v>
          </cell>
          <cell r="K6">
            <v>6.4391000775795071E-2</v>
          </cell>
          <cell r="L6">
            <v>157.94999999999999</v>
          </cell>
          <cell r="M6">
            <v>0.12</v>
          </cell>
          <cell r="N6">
            <v>260</v>
          </cell>
          <cell r="O6">
            <v>0.12</v>
          </cell>
          <cell r="P6">
            <v>280.8</v>
          </cell>
          <cell r="Q6">
            <v>0.08</v>
          </cell>
          <cell r="R6">
            <v>238.68</v>
          </cell>
          <cell r="S6">
            <v>-0.15</v>
          </cell>
          <cell r="T6">
            <v>159.91559999999998</v>
          </cell>
          <cell r="U6">
            <v>-0.33</v>
          </cell>
          <cell r="V6">
            <v>79.957799999999992</v>
          </cell>
          <cell r="W6">
            <v>-0.5</v>
          </cell>
        </row>
        <row r="7">
          <cell r="B7" t="str">
            <v>Rituxan - US &amp; Sales to Roche</v>
          </cell>
          <cell r="C7">
            <v>279.39999999999998</v>
          </cell>
          <cell r="D7">
            <v>444.09999999999997</v>
          </cell>
          <cell r="E7">
            <v>818.6</v>
          </cell>
          <cell r="F7">
            <v>1162.9000000000001</v>
          </cell>
          <cell r="H7">
            <v>1489.1000000000001</v>
          </cell>
          <cell r="I7">
            <v>0.28050563247054772</v>
          </cell>
          <cell r="J7">
            <v>1711.2</v>
          </cell>
          <cell r="K7">
            <v>0.14915049358673027</v>
          </cell>
          <cell r="L7">
            <v>1989.431</v>
          </cell>
          <cell r="M7">
            <v>0.16259408602150538</v>
          </cell>
          <cell r="N7">
            <v>2357</v>
          </cell>
          <cell r="O7">
            <v>0.18476086881123299</v>
          </cell>
          <cell r="P7">
            <v>2711.0807564833267</v>
          </cell>
          <cell r="Q7">
            <v>0.15022518306462729</v>
          </cell>
          <cell r="R7">
            <v>2933.6966005063991</v>
          </cell>
          <cell r="S7">
            <v>8.2113320855789595E-2</v>
          </cell>
          <cell r="T7">
            <v>3110.0349813964308</v>
          </cell>
          <cell r="U7">
            <v>6.0107913292599235E-2</v>
          </cell>
          <cell r="V7">
            <v>3299.9578000000001</v>
          </cell>
          <cell r="W7">
            <v>6.1067743526888707E-2</v>
          </cell>
        </row>
        <row r="8">
          <cell r="B8" t="str">
            <v>Avastin - US</v>
          </cell>
          <cell r="E8">
            <v>0</v>
          </cell>
          <cell r="F8">
            <v>0</v>
          </cell>
          <cell r="H8">
            <v>0</v>
          </cell>
          <cell r="J8">
            <v>552.34</v>
          </cell>
          <cell r="K8" t="str">
            <v>NM</v>
          </cell>
          <cell r="L8">
            <v>1132.721</v>
          </cell>
          <cell r="M8">
            <v>1.0507676431183688</v>
          </cell>
          <cell r="N8">
            <v>1876</v>
          </cell>
          <cell r="O8">
            <v>0.6561889467927231</v>
          </cell>
          <cell r="P8">
            <v>2817.9611602894643</v>
          </cell>
          <cell r="Q8">
            <v>0.50211149269161215</v>
          </cell>
          <cell r="R8">
            <v>3802.1294573955038</v>
          </cell>
          <cell r="S8">
            <v>0.34924835408481814</v>
          </cell>
          <cell r="T8">
            <v>4624.6783247655285</v>
          </cell>
          <cell r="U8">
            <v>0.21633899544637769</v>
          </cell>
          <cell r="V8">
            <v>5307.1770570587933</v>
          </cell>
          <cell r="W8">
            <v>0.14757755769486258</v>
          </cell>
        </row>
        <row r="9">
          <cell r="B9" t="str">
            <v>Avastin - Ex-US</v>
          </cell>
          <cell r="F9">
            <v>0</v>
          </cell>
          <cell r="H9">
            <v>0</v>
          </cell>
          <cell r="J9">
            <v>10</v>
          </cell>
          <cell r="K9" t="str">
            <v>NM</v>
          </cell>
          <cell r="L9">
            <v>200</v>
          </cell>
          <cell r="M9" t="str">
            <v>NM</v>
          </cell>
          <cell r="N9">
            <v>565</v>
          </cell>
          <cell r="O9">
            <v>1.8250000000000002</v>
          </cell>
          <cell r="P9">
            <v>1000</v>
          </cell>
          <cell r="Q9">
            <v>0.76991150442477885</v>
          </cell>
          <cell r="R9">
            <v>1850</v>
          </cell>
          <cell r="S9">
            <v>0.85000000000000009</v>
          </cell>
          <cell r="T9">
            <v>2500</v>
          </cell>
          <cell r="U9">
            <v>0.35135135135135132</v>
          </cell>
          <cell r="V9">
            <v>2900</v>
          </cell>
          <cell r="W9">
            <v>0.15999999999999992</v>
          </cell>
        </row>
        <row r="10">
          <cell r="B10" t="str">
            <v xml:space="preserve">Avastin - Transfer to Roche </v>
          </cell>
          <cell r="J10">
            <v>2.16</v>
          </cell>
          <cell r="K10" t="str">
            <v>NM</v>
          </cell>
          <cell r="L10">
            <v>84.031999999999996</v>
          </cell>
          <cell r="M10" t="str">
            <v>NM</v>
          </cell>
          <cell r="N10">
            <v>117.35999999999999</v>
          </cell>
          <cell r="O10">
            <v>0.3966108149276466</v>
          </cell>
          <cell r="P10">
            <v>108</v>
          </cell>
          <cell r="Q10">
            <v>-7.9754601226993738E-2</v>
          </cell>
          <cell r="R10">
            <v>79.92</v>
          </cell>
          <cell r="S10">
            <v>-0.26</v>
          </cell>
          <cell r="T10">
            <v>54</v>
          </cell>
          <cell r="U10">
            <v>-0.32432432432432434</v>
          </cell>
          <cell r="V10">
            <v>31.32</v>
          </cell>
          <cell r="W10">
            <v>-0.42000000000000004</v>
          </cell>
        </row>
        <row r="11">
          <cell r="B11" t="str">
            <v>Avastin -  US &amp; Sales to Roche</v>
          </cell>
          <cell r="F11">
            <v>0</v>
          </cell>
          <cell r="H11">
            <v>0</v>
          </cell>
          <cell r="I11" t="str">
            <v>NM</v>
          </cell>
          <cell r="J11">
            <v>554.5</v>
          </cell>
          <cell r="K11" t="str">
            <v>NM</v>
          </cell>
          <cell r="L11">
            <v>1216.7529999999999</v>
          </cell>
          <cell r="M11" t="str">
            <v>NM</v>
          </cell>
          <cell r="N11">
            <v>1993.36</v>
          </cell>
          <cell r="O11">
            <v>0.63826183292747163</v>
          </cell>
          <cell r="P11">
            <v>2925.9611602894643</v>
          </cell>
          <cell r="Q11">
            <v>0.46785385494314347</v>
          </cell>
          <cell r="R11">
            <v>3882.0494573955039</v>
          </cell>
          <cell r="S11">
            <v>0.32676041981755288</v>
          </cell>
          <cell r="T11">
            <v>4678.6783247655285</v>
          </cell>
          <cell r="U11">
            <v>0.20520832516762644</v>
          </cell>
          <cell r="V11">
            <v>5338.497057058793</v>
          </cell>
          <cell r="W11">
            <v>0.14102673586270353</v>
          </cell>
        </row>
        <row r="12">
          <cell r="B12" t="str">
            <v>Herceptin - US</v>
          </cell>
          <cell r="C12">
            <v>183.7</v>
          </cell>
          <cell r="D12">
            <v>249.7</v>
          </cell>
          <cell r="E12">
            <v>315.39999999999998</v>
          </cell>
          <cell r="F12">
            <v>344.9</v>
          </cell>
          <cell r="H12">
            <v>406</v>
          </cell>
          <cell r="I12">
            <v>0.17715279791243854</v>
          </cell>
          <cell r="J12">
            <v>466.4</v>
          </cell>
          <cell r="K12">
            <v>0.14876847290640383</v>
          </cell>
          <cell r="L12">
            <v>747.24699999999996</v>
          </cell>
          <cell r="M12">
            <v>0.60215909090909081</v>
          </cell>
          <cell r="N12">
            <v>1375</v>
          </cell>
          <cell r="O12">
            <v>0.84008768185084737</v>
          </cell>
          <cell r="P12">
            <v>1566.9607618585742</v>
          </cell>
          <cell r="Q12">
            <v>0.13960782680623574</v>
          </cell>
          <cell r="R12">
            <v>1676.8953104490511</v>
          </cell>
          <cell r="S12">
            <v>7.0157818412812878E-2</v>
          </cell>
          <cell r="T12">
            <v>1772.633441089682</v>
          </cell>
          <cell r="U12">
            <v>5.7092491131717438E-2</v>
          </cell>
          <cell r="V12">
            <v>1873.880898727371</v>
          </cell>
          <cell r="W12">
            <v>5.7116973701821561E-2</v>
          </cell>
        </row>
        <row r="13">
          <cell r="B13" t="str">
            <v>Herceptin - Ex-US</v>
          </cell>
          <cell r="F13">
            <v>315.84000000000003</v>
          </cell>
          <cell r="H13">
            <v>445.79999999999995</v>
          </cell>
          <cell r="I13">
            <v>0.41147416413373827</v>
          </cell>
          <cell r="J13">
            <v>590.14</v>
          </cell>
          <cell r="K13">
            <v>0.32377747868999562</v>
          </cell>
          <cell r="L13">
            <v>948</v>
          </cell>
          <cell r="M13">
            <v>0.60639848171620292</v>
          </cell>
          <cell r="N13">
            <v>1175</v>
          </cell>
          <cell r="O13">
            <v>0.2</v>
          </cell>
          <cell r="P13">
            <v>1468.75</v>
          </cell>
          <cell r="Q13">
            <v>0.25</v>
          </cell>
          <cell r="R13">
            <v>1586.25</v>
          </cell>
          <cell r="S13">
            <v>0.08</v>
          </cell>
          <cell r="T13">
            <v>1665.5625</v>
          </cell>
          <cell r="U13">
            <v>0.05</v>
          </cell>
          <cell r="V13">
            <v>1732.1849999999999</v>
          </cell>
          <cell r="W13">
            <v>0.04</v>
          </cell>
        </row>
        <row r="14">
          <cell r="B14" t="str">
            <v xml:space="preserve">Herceptin - Transfer to Roche </v>
          </cell>
          <cell r="C14">
            <v>4.7</v>
          </cell>
          <cell r="D14">
            <v>26.3</v>
          </cell>
          <cell r="E14">
            <v>31.3</v>
          </cell>
          <cell r="F14">
            <v>40.299999999999997</v>
          </cell>
          <cell r="H14">
            <v>18.8</v>
          </cell>
          <cell r="I14">
            <v>-0.53349875930521085</v>
          </cell>
          <cell r="J14">
            <v>15.875</v>
          </cell>
          <cell r="K14">
            <v>-0.15558510638297873</v>
          </cell>
          <cell r="L14">
            <v>16.621000000000002</v>
          </cell>
          <cell r="M14">
            <v>4.6992125984252064E-2</v>
          </cell>
          <cell r="N14">
            <v>5</v>
          </cell>
          <cell r="P14">
            <v>14.6875</v>
          </cell>
          <cell r="R14">
            <v>0</v>
          </cell>
          <cell r="T14">
            <v>0</v>
          </cell>
          <cell r="V14">
            <v>0</v>
          </cell>
        </row>
        <row r="15">
          <cell r="B15" t="str">
            <v>Herceptin- US &amp; Sales to Roche</v>
          </cell>
          <cell r="C15">
            <v>188.39999999999998</v>
          </cell>
          <cell r="D15">
            <v>276</v>
          </cell>
          <cell r="E15">
            <v>346.7</v>
          </cell>
          <cell r="F15">
            <v>385.2</v>
          </cell>
          <cell r="H15">
            <v>424.8</v>
          </cell>
          <cell r="I15">
            <v>0.10280373831775713</v>
          </cell>
          <cell r="J15">
            <v>482.27499999999998</v>
          </cell>
          <cell r="K15">
            <v>0.13529896421845566</v>
          </cell>
          <cell r="L15">
            <v>763.86799999999994</v>
          </cell>
          <cell r="M15">
            <v>0.58388471307863776</v>
          </cell>
          <cell r="N15">
            <v>1380</v>
          </cell>
          <cell r="O15">
            <v>0.8065948567029908</v>
          </cell>
          <cell r="P15">
            <v>1581.6482618585742</v>
          </cell>
          <cell r="Q15">
            <v>0.14612192888302467</v>
          </cell>
          <cell r="R15">
            <v>1676.8953104490511</v>
          </cell>
          <cell r="S15">
            <v>6.0220120293088097E-2</v>
          </cell>
          <cell r="T15">
            <v>1772.633441089682</v>
          </cell>
          <cell r="U15">
            <v>5.7092491131717438E-2</v>
          </cell>
          <cell r="V15">
            <v>1873.880898727371</v>
          </cell>
          <cell r="W15">
            <v>5.7116973701821561E-2</v>
          </cell>
        </row>
        <row r="16">
          <cell r="B16" t="str">
            <v>Xolair - US &amp; Sales to Novartis</v>
          </cell>
          <cell r="E16">
            <v>0</v>
          </cell>
          <cell r="F16">
            <v>0</v>
          </cell>
          <cell r="H16">
            <v>25.3</v>
          </cell>
          <cell r="I16" t="str">
            <v>NM</v>
          </cell>
          <cell r="J16">
            <v>188.5</v>
          </cell>
          <cell r="K16" t="str">
            <v>NM</v>
          </cell>
          <cell r="L16">
            <v>323.79700000000003</v>
          </cell>
          <cell r="M16">
            <v>0.71775596816976139</v>
          </cell>
          <cell r="N16">
            <v>423</v>
          </cell>
          <cell r="O16">
            <v>0.30637405534949358</v>
          </cell>
          <cell r="P16">
            <v>496.67639851943272</v>
          </cell>
          <cell r="Q16">
            <v>0.17417588302466358</v>
          </cell>
          <cell r="R16">
            <v>549.18117450569844</v>
          </cell>
          <cell r="S16">
            <v>0.10571224270527013</v>
          </cell>
          <cell r="T16">
            <v>609.0179751523707</v>
          </cell>
          <cell r="U16">
            <v>0.10895639440031712</v>
          </cell>
          <cell r="V16">
            <v>656.42413544863268</v>
          </cell>
          <cell r="W16">
            <v>7.7840330220797505E-2</v>
          </cell>
        </row>
        <row r="17">
          <cell r="B17" t="str">
            <v>Raptiva -US &amp; Sales to Serono</v>
          </cell>
          <cell r="E17">
            <v>0</v>
          </cell>
          <cell r="F17">
            <v>0</v>
          </cell>
          <cell r="H17">
            <v>1.4</v>
          </cell>
          <cell r="I17" t="str">
            <v>NM</v>
          </cell>
          <cell r="J17">
            <v>56.300000000000004</v>
          </cell>
          <cell r="K17" t="str">
            <v>NM</v>
          </cell>
          <cell r="L17">
            <v>86.754999999999995</v>
          </cell>
          <cell r="M17">
            <v>0.54094138543516856</v>
          </cell>
          <cell r="N17">
            <v>93</v>
          </cell>
          <cell r="O17">
            <v>7.1984323670105432E-2</v>
          </cell>
          <cell r="P17">
            <v>114.74883545485645</v>
          </cell>
          <cell r="Q17">
            <v>0.23385844575114456</v>
          </cell>
          <cell r="R17">
            <v>111.02507700089812</v>
          </cell>
          <cell r="S17">
            <v>-3.2451383399209277E-2</v>
          </cell>
          <cell r="T17">
            <v>116.64294589714356</v>
          </cell>
          <cell r="U17">
            <v>5.0599999999999978E-2</v>
          </cell>
          <cell r="V17">
            <v>122.54507895953904</v>
          </cell>
          <cell r="W17">
            <v>5.06000000000002E-2</v>
          </cell>
        </row>
        <row r="18">
          <cell r="B18" t="str">
            <v>Tarceva -US</v>
          </cell>
          <cell r="E18">
            <v>0</v>
          </cell>
          <cell r="F18">
            <v>0</v>
          </cell>
          <cell r="H18">
            <v>0</v>
          </cell>
          <cell r="I18" t="str">
            <v>NM</v>
          </cell>
          <cell r="J18">
            <v>13.3</v>
          </cell>
          <cell r="K18" t="str">
            <v>NM</v>
          </cell>
          <cell r="L18">
            <v>274.89600000000002</v>
          </cell>
          <cell r="M18" t="str">
            <v>NM</v>
          </cell>
          <cell r="N18">
            <v>424</v>
          </cell>
          <cell r="O18">
            <v>0.54240149001804316</v>
          </cell>
          <cell r="P18">
            <v>557.72266843795683</v>
          </cell>
          <cell r="Q18">
            <v>0.31538365197631335</v>
          </cell>
          <cell r="R18">
            <v>627.16500409829609</v>
          </cell>
          <cell r="S18">
            <v>0.12451051318181139</v>
          </cell>
          <cell r="T18">
            <v>709.46249058838214</v>
          </cell>
          <cell r="U18">
            <v>0.13122142650227886</v>
          </cell>
          <cell r="V18">
            <v>774.76330842001289</v>
          </cell>
          <cell r="W18">
            <v>9.2042664267528052E-2</v>
          </cell>
        </row>
        <row r="19">
          <cell r="B19" t="str">
            <v>Lucentis - US</v>
          </cell>
          <cell r="E19">
            <v>0</v>
          </cell>
          <cell r="F19">
            <v>0</v>
          </cell>
          <cell r="H19">
            <v>0</v>
          </cell>
          <cell r="I19" t="str">
            <v>NM</v>
          </cell>
          <cell r="J19">
            <v>0</v>
          </cell>
          <cell r="K19" t="str">
            <v>NM</v>
          </cell>
          <cell r="L19">
            <v>0</v>
          </cell>
          <cell r="M19" t="str">
            <v>NM</v>
          </cell>
          <cell r="N19">
            <v>135</v>
          </cell>
          <cell r="O19" t="str">
            <v>NM</v>
          </cell>
          <cell r="P19">
            <v>450</v>
          </cell>
          <cell r="Q19">
            <v>2.3333333333333335</v>
          </cell>
          <cell r="R19">
            <v>550</v>
          </cell>
          <cell r="S19">
            <v>0.22222222222222232</v>
          </cell>
          <cell r="T19">
            <v>600</v>
          </cell>
          <cell r="U19">
            <v>9.0909090909090828E-2</v>
          </cell>
          <cell r="V19">
            <v>650</v>
          </cell>
          <cell r="W19">
            <v>8.3333333333333259E-2</v>
          </cell>
        </row>
        <row r="20">
          <cell r="B20" t="str">
            <v>Lucentis - Ex-US</v>
          </cell>
          <cell r="F20">
            <v>0</v>
          </cell>
          <cell r="H20">
            <v>0</v>
          </cell>
          <cell r="I20" t="str">
            <v>NM</v>
          </cell>
          <cell r="J20">
            <v>0</v>
          </cell>
          <cell r="K20" t="str">
            <v>NM</v>
          </cell>
          <cell r="L20">
            <v>0</v>
          </cell>
          <cell r="M20" t="str">
            <v>NM</v>
          </cell>
          <cell r="N20">
            <v>0</v>
          </cell>
          <cell r="O20" t="str">
            <v>NM</v>
          </cell>
          <cell r="P20">
            <v>100</v>
          </cell>
          <cell r="Q20" t="str">
            <v>NM</v>
          </cell>
          <cell r="R20">
            <v>300</v>
          </cell>
          <cell r="S20">
            <v>2</v>
          </cell>
          <cell r="T20">
            <v>450</v>
          </cell>
          <cell r="U20">
            <v>0.5</v>
          </cell>
          <cell r="V20">
            <v>550</v>
          </cell>
          <cell r="W20">
            <v>0.22222222222222232</v>
          </cell>
        </row>
        <row r="21">
          <cell r="B21" t="str">
            <v>Growth Hormone Products</v>
          </cell>
          <cell r="C21">
            <v>221.20000000099998</v>
          </cell>
          <cell r="D21">
            <v>226.6</v>
          </cell>
          <cell r="E21">
            <v>250.229999999</v>
          </cell>
          <cell r="F21">
            <v>297.2</v>
          </cell>
          <cell r="H21">
            <v>321.89999999999998</v>
          </cell>
          <cell r="I21">
            <v>8.3109017496635129E-2</v>
          </cell>
          <cell r="J21">
            <v>353.6</v>
          </cell>
          <cell r="K21">
            <v>9.8477788132960598E-2</v>
          </cell>
          <cell r="L21">
            <v>372.68</v>
          </cell>
          <cell r="M21">
            <v>0.05</v>
          </cell>
          <cell r="N21">
            <v>378</v>
          </cell>
          <cell r="O21">
            <v>0.03</v>
          </cell>
          <cell r="P21">
            <v>378</v>
          </cell>
          <cell r="Q21">
            <v>0</v>
          </cell>
          <cell r="R21">
            <v>366.65999999999997</v>
          </cell>
          <cell r="S21">
            <v>-0.03</v>
          </cell>
          <cell r="T21">
            <v>348.32699999999994</v>
          </cell>
          <cell r="U21">
            <v>-0.05</v>
          </cell>
          <cell r="V21">
            <v>330.91064999999992</v>
          </cell>
          <cell r="W21">
            <v>-0.05</v>
          </cell>
        </row>
        <row r="22">
          <cell r="B22" t="str">
            <v>Thrombolytics</v>
          </cell>
          <cell r="C22">
            <v>236.00000000099999</v>
          </cell>
          <cell r="D22">
            <v>206.2</v>
          </cell>
          <cell r="E22">
            <v>197.10559324899998</v>
          </cell>
          <cell r="F22">
            <v>180.2</v>
          </cell>
          <cell r="H22">
            <v>185.2</v>
          </cell>
          <cell r="I22">
            <v>2.7746947835738167E-2</v>
          </cell>
          <cell r="J22">
            <v>200</v>
          </cell>
          <cell r="K22">
            <v>7.9913606911447221E-2</v>
          </cell>
          <cell r="L22">
            <v>221.46200000000002</v>
          </cell>
          <cell r="M22">
            <v>0.01</v>
          </cell>
          <cell r="N22">
            <v>239</v>
          </cell>
          <cell r="O22">
            <v>0.01</v>
          </cell>
          <cell r="P22">
            <v>241.39000000000001</v>
          </cell>
          <cell r="Q22">
            <v>0.01</v>
          </cell>
          <cell r="R22">
            <v>243.80390000000003</v>
          </cell>
          <cell r="S22">
            <v>0.01</v>
          </cell>
          <cell r="T22">
            <v>246.24193900000003</v>
          </cell>
          <cell r="U22">
            <v>0.01</v>
          </cell>
          <cell r="V22">
            <v>248.70435839000004</v>
          </cell>
          <cell r="W22">
            <v>0.01</v>
          </cell>
        </row>
        <row r="23">
          <cell r="B23" t="str">
            <v>Pulmozyme</v>
          </cell>
          <cell r="C23">
            <v>111.399999998</v>
          </cell>
          <cell r="D23">
            <v>121.80000000099999</v>
          </cell>
          <cell r="E23">
            <v>122.87749999900001</v>
          </cell>
          <cell r="F23">
            <v>138.1</v>
          </cell>
          <cell r="H23">
            <v>167.2</v>
          </cell>
          <cell r="I23">
            <v>0.21071687183200583</v>
          </cell>
          <cell r="J23">
            <v>177.70000000000002</v>
          </cell>
          <cell r="K23">
            <v>6.2799043062201187E-2</v>
          </cell>
          <cell r="L23">
            <v>194.24699999999999</v>
          </cell>
          <cell r="M23">
            <v>0.05</v>
          </cell>
          <cell r="N23">
            <v>205</v>
          </cell>
          <cell r="O23">
            <v>0.04</v>
          </cell>
          <cell r="P23">
            <v>211.15</v>
          </cell>
          <cell r="Q23">
            <v>0.03</v>
          </cell>
          <cell r="R23">
            <v>215.37300000000002</v>
          </cell>
          <cell r="S23">
            <v>0.02</v>
          </cell>
          <cell r="T23">
            <v>219.68046000000001</v>
          </cell>
          <cell r="U23">
            <v>0.02</v>
          </cell>
          <cell r="V23">
            <v>224.07406920000003</v>
          </cell>
          <cell r="W23">
            <v>0.02</v>
          </cell>
        </row>
        <row r="24">
          <cell r="B24" t="str">
            <v>Actimmune</v>
          </cell>
          <cell r="C24">
            <v>2.7</v>
          </cell>
          <cell r="D24">
            <v>3.7</v>
          </cell>
          <cell r="E24">
            <v>6.9</v>
          </cell>
          <cell r="F24">
            <v>0</v>
          </cell>
          <cell r="H24">
            <v>0</v>
          </cell>
          <cell r="I24" t="str">
            <v>NM</v>
          </cell>
          <cell r="J24">
            <v>0</v>
          </cell>
          <cell r="K24" t="str">
            <v>NM</v>
          </cell>
          <cell r="L24">
            <v>0</v>
          </cell>
          <cell r="N24">
            <v>0</v>
          </cell>
          <cell r="P24">
            <v>0</v>
          </cell>
          <cell r="R24">
            <v>0</v>
          </cell>
          <cell r="T24">
            <v>0</v>
          </cell>
          <cell r="V24">
            <v>0</v>
          </cell>
        </row>
        <row r="25">
          <cell r="B25" t="str">
            <v>Other</v>
          </cell>
          <cell r="E25">
            <v>0</v>
          </cell>
          <cell r="F25">
            <v>0</v>
          </cell>
          <cell r="H25">
            <v>6.622000000000094</v>
          </cell>
          <cell r="J25">
            <v>10.6</v>
          </cell>
          <cell r="K25" t="str">
            <v>NM</v>
          </cell>
          <cell r="L25">
            <v>44.195999999999998</v>
          </cell>
          <cell r="M25">
            <v>0</v>
          </cell>
          <cell r="N25">
            <v>20</v>
          </cell>
          <cell r="O25">
            <v>0</v>
          </cell>
          <cell r="P25">
            <v>20</v>
          </cell>
          <cell r="Q25">
            <v>0</v>
          </cell>
          <cell r="R25">
            <v>0</v>
          </cell>
          <cell r="S25">
            <v>0</v>
          </cell>
          <cell r="T25">
            <v>50</v>
          </cell>
          <cell r="U25">
            <v>0</v>
          </cell>
          <cell r="V25">
            <v>100</v>
          </cell>
          <cell r="W25">
            <v>0</v>
          </cell>
        </row>
        <row r="26">
          <cell r="B26" t="str">
            <v>Total Product Sales</v>
          </cell>
          <cell r="C26">
            <v>1039.1000000000001</v>
          </cell>
          <cell r="D26">
            <v>1278.4000000009999</v>
          </cell>
          <cell r="E26">
            <v>1742.8969999999999</v>
          </cell>
          <cell r="F26">
            <v>2163.6285596696475</v>
          </cell>
          <cell r="H26">
            <v>2621.5219999999999</v>
          </cell>
          <cell r="I26">
            <v>0.21163218533234085</v>
          </cell>
          <cell r="J26">
            <v>3748.9</v>
          </cell>
          <cell r="K26">
            <v>0.43004712529591593</v>
          </cell>
          <cell r="L26">
            <v>5488.0850000000009</v>
          </cell>
          <cell r="M26">
            <v>0.46391874949985357</v>
          </cell>
          <cell r="N26">
            <v>7647.36</v>
          </cell>
          <cell r="O26">
            <v>0.39344780556423564</v>
          </cell>
          <cell r="P26">
            <v>9688.378081043611</v>
          </cell>
          <cell r="Q26">
            <v>0.26689185301118434</v>
          </cell>
          <cell r="R26">
            <v>11155.849523955847</v>
          </cell>
          <cell r="S26">
            <v>0.15146719405836429</v>
          </cell>
          <cell r="T26">
            <v>12460.719557889535</v>
          </cell>
          <cell r="U26">
            <v>0.11696733907459378</v>
          </cell>
          <cell r="V26">
            <v>13619.757356204351</v>
          </cell>
          <cell r="W26">
            <v>9.3015318491857624E-2</v>
          </cell>
        </row>
        <row r="27">
          <cell r="B27" t="str">
            <v>Royalties</v>
          </cell>
          <cell r="C27">
            <v>189.27</v>
          </cell>
          <cell r="D27">
            <v>207.24100000000001</v>
          </cell>
          <cell r="E27">
            <v>264.47500000000002</v>
          </cell>
          <cell r="F27">
            <v>365.55</v>
          </cell>
          <cell r="H27">
            <v>500.86800000000005</v>
          </cell>
          <cell r="I27">
            <v>0.37017644645055414</v>
          </cell>
          <cell r="J27">
            <v>641.1</v>
          </cell>
          <cell r="K27">
            <v>0.27997795826445282</v>
          </cell>
          <cell r="L27">
            <v>935.09699999999998</v>
          </cell>
          <cell r="M27">
            <v>0.45858212447356106</v>
          </cell>
          <cell r="N27">
            <v>1258</v>
          </cell>
          <cell r="O27">
            <v>0.34531497801832334</v>
          </cell>
          <cell r="P27">
            <v>1354.247040639616</v>
          </cell>
          <cell r="Q27">
            <v>7.6507981430537386E-2</v>
          </cell>
          <cell r="R27">
            <v>1688.1867871459806</v>
          </cell>
          <cell r="S27">
            <v>0.24658702325732507</v>
          </cell>
          <cell r="T27">
            <v>1891.1844200255673</v>
          </cell>
          <cell r="U27">
            <v>0.12024595526113013</v>
          </cell>
          <cell r="V27">
            <v>1947.6307931733611</v>
          </cell>
          <cell r="W27">
            <v>2.9847101398514431E-2</v>
          </cell>
        </row>
        <row r="28">
          <cell r="B28" t="str">
            <v>Contract and Other</v>
          </cell>
          <cell r="C28">
            <v>83.242000000000004</v>
          </cell>
          <cell r="D28">
            <v>151.72999999999999</v>
          </cell>
          <cell r="E28">
            <v>36.659999999999997</v>
          </cell>
          <cell r="F28">
            <v>54.442999999999998</v>
          </cell>
          <cell r="H28">
            <v>177.87299999999999</v>
          </cell>
          <cell r="I28">
            <v>2.2671417813125654</v>
          </cell>
          <cell r="J28">
            <v>231.2</v>
          </cell>
          <cell r="K28">
            <v>0.29980379259359213</v>
          </cell>
          <cell r="L28">
            <v>210.24099999999999</v>
          </cell>
          <cell r="M28">
            <v>-9.0653114186851236E-2</v>
          </cell>
          <cell r="N28">
            <v>215</v>
          </cell>
          <cell r="O28">
            <v>0.12</v>
          </cell>
          <cell r="P28">
            <v>236.50000000000003</v>
          </cell>
          <cell r="Q28">
            <v>0.1</v>
          </cell>
          <cell r="R28">
            <v>260.15000000000003</v>
          </cell>
          <cell r="S28">
            <v>0.1</v>
          </cell>
          <cell r="T28">
            <v>234.13500000000005</v>
          </cell>
          <cell r="U28">
            <v>-0.1</v>
          </cell>
          <cell r="V28">
            <v>210.72150000000005</v>
          </cell>
          <cell r="W28">
            <v>-0.1</v>
          </cell>
        </row>
        <row r="29">
          <cell r="B29" t="str">
            <v>Total Revenues</v>
          </cell>
          <cell r="C29">
            <v>1311.6120000000001</v>
          </cell>
          <cell r="D29">
            <v>1637.3710000009999</v>
          </cell>
          <cell r="E29">
            <v>2044.0319999999999</v>
          </cell>
          <cell r="F29">
            <v>2583.6215596696479</v>
          </cell>
          <cell r="H29">
            <v>3300.2629999999999</v>
          </cell>
          <cell r="I29">
            <v>0.27737864225826647</v>
          </cell>
          <cell r="J29">
            <v>4621.2</v>
          </cell>
          <cell r="K29">
            <v>0.40025204051919494</v>
          </cell>
          <cell r="L29">
            <v>6633.4230000000007</v>
          </cell>
          <cell r="M29">
            <v>0.43543300441443811</v>
          </cell>
          <cell r="N29">
            <v>9120.36</v>
          </cell>
          <cell r="O29">
            <v>0.37491005774846564</v>
          </cell>
          <cell r="P29">
            <v>11279.125121683228</v>
          </cell>
          <cell r="Q29">
            <v>0.23669735862216257</v>
          </cell>
          <cell r="R29">
            <v>13104.186311101828</v>
          </cell>
          <cell r="S29">
            <v>0.16180875464445954</v>
          </cell>
          <cell r="T29">
            <v>14586.038977915103</v>
          </cell>
          <cell r="U29">
            <v>0.11308238692835526</v>
          </cell>
          <cell r="V29">
            <v>15778.109649377711</v>
          </cell>
          <cell r="W29">
            <v>8.1726826129255414E-2</v>
          </cell>
          <cell r="AB29" t="str">
            <v>mstag:revenueNet</v>
          </cell>
          <cell r="AC29">
            <v>6</v>
          </cell>
          <cell r="AD29" t="str">
            <v>ISO4217:USD</v>
          </cell>
          <cell r="AE29" t="b">
            <v>0</v>
          </cell>
          <cell r="AF29" t="b">
            <v>0</v>
          </cell>
        </row>
        <row r="30">
          <cell r="B30" t="str">
            <v>Operating Expenses:</v>
          </cell>
        </row>
        <row r="31">
          <cell r="B31" t="str">
            <v xml:space="preserve">   Cost of Sales</v>
          </cell>
          <cell r="C31">
            <v>192.191</v>
          </cell>
          <cell r="D31">
            <v>272.06799999999998</v>
          </cell>
          <cell r="E31">
            <v>354.44200000000001</v>
          </cell>
          <cell r="F31">
            <v>441.63</v>
          </cell>
          <cell r="H31">
            <v>480.15100000000001</v>
          </cell>
          <cell r="I31">
            <v>8.7224599778094714E-2</v>
          </cell>
          <cell r="J31">
            <v>672.5</v>
          </cell>
          <cell r="K31">
            <v>0.40060106091625336</v>
          </cell>
          <cell r="L31">
            <v>1011.0629999999999</v>
          </cell>
          <cell r="M31">
            <v>0.50343940520446084</v>
          </cell>
          <cell r="N31">
            <v>1222.5376000000001</v>
          </cell>
          <cell r="O31">
            <v>0.20916065566636322</v>
          </cell>
          <cell r="P31">
            <v>1506.7599287814626</v>
          </cell>
          <cell r="Q31">
            <v>0.23248555200385046</v>
          </cell>
          <cell r="R31">
            <v>1619.0699996815897</v>
          </cell>
          <cell r="S31">
            <v>7.453746861383137E-2</v>
          </cell>
          <cell r="T31">
            <v>1702.8029601920346</v>
          </cell>
          <cell r="U31">
            <v>5.1716701888684158E-2</v>
          </cell>
          <cell r="V31">
            <v>1774.5598005138277</v>
          </cell>
          <cell r="W31">
            <v>4.2140424934251186E-2</v>
          </cell>
          <cell r="AB31" t="str">
            <v>mstag:costOfSalesWithDepreciation</v>
          </cell>
          <cell r="AC31">
            <v>6</v>
          </cell>
          <cell r="AD31" t="str">
            <v>ISO4217:USD</v>
          </cell>
          <cell r="AE31" t="b">
            <v>0</v>
          </cell>
          <cell r="AF31" t="b">
            <v>0</v>
          </cell>
        </row>
        <row r="32">
          <cell r="B32" t="str">
            <v xml:space="preserve">   % of Total Product Sales</v>
          </cell>
          <cell r="C32">
            <v>0.18544094944037054</v>
          </cell>
          <cell r="D32">
            <v>0.21343688711052525</v>
          </cell>
          <cell r="E32">
            <v>0.20422894035150643</v>
          </cell>
          <cell r="F32">
            <v>0.20411813643926785</v>
          </cell>
          <cell r="H32">
            <v>0.18315734142227302</v>
          </cell>
          <cell r="J32">
            <v>0.17938595321294246</v>
          </cell>
          <cell r="L32">
            <v>0.18422874281283902</v>
          </cell>
          <cell r="N32">
            <v>0.15986400535609677</v>
          </cell>
          <cell r="P32">
            <v>0.15552241212898224</v>
          </cell>
          <cell r="R32">
            <v>0.1575</v>
          </cell>
          <cell r="T32">
            <v>0.158</v>
          </cell>
          <cell r="V32">
            <v>0.16</v>
          </cell>
        </row>
        <row r="33">
          <cell r="B33" t="str">
            <v xml:space="preserve">   R&amp;D</v>
          </cell>
          <cell r="C33">
            <v>367.29099999999994</v>
          </cell>
          <cell r="D33">
            <v>489.87900000000002</v>
          </cell>
          <cell r="E33">
            <v>526.23</v>
          </cell>
          <cell r="F33">
            <v>623.48199999999997</v>
          </cell>
          <cell r="H33">
            <v>721.96299999999997</v>
          </cell>
          <cell r="I33">
            <v>0.15795323682159235</v>
          </cell>
          <cell r="J33">
            <v>947.5</v>
          </cell>
          <cell r="K33">
            <v>0.3123941254607232</v>
          </cell>
          <cell r="L33">
            <v>1261.8240000000001</v>
          </cell>
          <cell r="M33">
            <v>0.33174036939314</v>
          </cell>
          <cell r="N33">
            <v>1677.1420800000001</v>
          </cell>
          <cell r="O33">
            <v>0.3291410529519172</v>
          </cell>
          <cell r="P33">
            <v>2058.4403347071889</v>
          </cell>
          <cell r="Q33">
            <v>0.22735000168094799</v>
          </cell>
          <cell r="R33">
            <v>2384.9619086205325</v>
          </cell>
          <cell r="S33">
            <v>0.15862571696050209</v>
          </cell>
          <cell r="T33">
            <v>2654.6590939805487</v>
          </cell>
          <cell r="U33">
            <v>0.11308238692835548</v>
          </cell>
          <cell r="V33">
            <v>2871.6159561867435</v>
          </cell>
          <cell r="W33">
            <v>8.1726826129255414E-2</v>
          </cell>
          <cell r="AB33" t="str">
            <v>mstag:researchAndDevelopment</v>
          </cell>
          <cell r="AC33">
            <v>6</v>
          </cell>
          <cell r="AD33" t="str">
            <v>ISO4217:USD</v>
          </cell>
          <cell r="AE33" t="b">
            <v>0</v>
          </cell>
          <cell r="AF33" t="b">
            <v>0</v>
          </cell>
        </row>
        <row r="34">
          <cell r="B34" t="str">
            <v xml:space="preserve">   % of Revenue</v>
          </cell>
          <cell r="C34">
            <v>0.28003022235234193</v>
          </cell>
          <cell r="D34">
            <v>0.29918631757842351</v>
          </cell>
          <cell r="E34">
            <v>0.25744704583881273</v>
          </cell>
          <cell r="F34">
            <v>0.24132094643138094</v>
          </cell>
          <cell r="H34">
            <v>0.21875923221876559</v>
          </cell>
          <cell r="J34">
            <v>0.20503332467757293</v>
          </cell>
          <cell r="L34">
            <v>0.19022215227341902</v>
          </cell>
          <cell r="N34">
            <v>0.18388989908293094</v>
          </cell>
          <cell r="P34">
            <v>0.1825</v>
          </cell>
          <cell r="R34">
            <v>0.182</v>
          </cell>
          <cell r="T34">
            <v>0.182</v>
          </cell>
          <cell r="V34">
            <v>0.182</v>
          </cell>
        </row>
        <row r="35">
          <cell r="B35" t="str">
            <v xml:space="preserve">   SG&amp;A</v>
          </cell>
          <cell r="C35">
            <v>467.94299999999998</v>
          </cell>
          <cell r="D35">
            <v>497.03599999999994</v>
          </cell>
          <cell r="E35">
            <v>446.90600000000001</v>
          </cell>
          <cell r="F35">
            <v>546.27599999999995</v>
          </cell>
          <cell r="H35">
            <v>794.88499999999999</v>
          </cell>
          <cell r="I35">
            <v>0.45509778939583656</v>
          </cell>
          <cell r="J35">
            <v>1088.2</v>
          </cell>
          <cell r="K35">
            <v>0.36900306333620603</v>
          </cell>
          <cell r="L35">
            <v>1435.0319999999999</v>
          </cell>
          <cell r="M35">
            <v>0.31872082337805541</v>
          </cell>
          <cell r="N35">
            <v>1928.0563000000002</v>
          </cell>
          <cell r="O35">
            <v>0.34356327942512799</v>
          </cell>
          <cell r="P35">
            <v>2114.835960315605</v>
          </cell>
          <cell r="Q35">
            <v>9.6874588317573895E-2</v>
          </cell>
          <cell r="R35">
            <v>2293.2326044428196</v>
          </cell>
          <cell r="S35">
            <v>8.4354837668162208E-2</v>
          </cell>
          <cell r="T35">
            <v>2406.696431355992</v>
          </cell>
          <cell r="U35">
            <v>4.9477679103878014E-2</v>
          </cell>
          <cell r="V35">
            <v>2406.1617215301007</v>
          </cell>
          <cell r="W35">
            <v>-2.2217585023387443E-4</v>
          </cell>
          <cell r="AB35" t="str">
            <v>mstag:sellingGeneralAndAdministrativeExpenses</v>
          </cell>
          <cell r="AC35">
            <v>6</v>
          </cell>
          <cell r="AD35" t="str">
            <v>ISO4217:USD</v>
          </cell>
          <cell r="AE35" t="b">
            <v>0</v>
          </cell>
          <cell r="AF35" t="b">
            <v>0</v>
          </cell>
        </row>
        <row r="36">
          <cell r="B36" t="str">
            <v xml:space="preserve">   % of Sales</v>
          </cell>
          <cell r="C36">
            <v>0.35676937996907621</v>
          </cell>
          <cell r="D36">
            <v>0.30355734894516662</v>
          </cell>
          <cell r="E36">
            <v>0.21863943421629409</v>
          </cell>
          <cell r="F36">
            <v>0.21143808695800206</v>
          </cell>
          <cell r="H36">
            <v>0.24085504700685975</v>
          </cell>
          <cell r="J36">
            <v>0.23547996191465423</v>
          </cell>
          <cell r="L36">
            <v>0.2163335581041643</v>
          </cell>
          <cell r="N36">
            <v>0.21140133722791646</v>
          </cell>
          <cell r="P36">
            <v>0.1875</v>
          </cell>
          <cell r="R36">
            <v>0.17499999999999999</v>
          </cell>
          <cell r="T36">
            <v>0.16500000000000001</v>
          </cell>
          <cell r="V36">
            <v>0.1525</v>
          </cell>
        </row>
        <row r="37">
          <cell r="B37" t="str">
            <v xml:space="preserve">  Collaborative payments</v>
          </cell>
          <cell r="C37">
            <v>0</v>
          </cell>
          <cell r="D37">
            <v>0</v>
          </cell>
          <cell r="E37">
            <v>246.65700000000001</v>
          </cell>
          <cell r="F37">
            <v>350.72500000000002</v>
          </cell>
          <cell r="H37">
            <v>457.53399999999999</v>
          </cell>
          <cell r="I37">
            <v>0.30453774324613292</v>
          </cell>
          <cell r="J37">
            <v>593.6</v>
          </cell>
          <cell r="K37">
            <v>0.29738992074905912</v>
          </cell>
          <cell r="L37">
            <v>823.08299999999997</v>
          </cell>
          <cell r="M37">
            <v>0.38659535040431248</v>
          </cell>
          <cell r="N37">
            <v>1041</v>
          </cell>
          <cell r="O37">
            <v>0.26475701721454592</v>
          </cell>
          <cell r="P37">
            <v>1191.2653338930295</v>
          </cell>
          <cell r="Q37">
            <v>0.14434710268302542</v>
          </cell>
          <cell r="R37">
            <v>1349.1657134442321</v>
          </cell>
          <cell r="S37">
            <v>0.1325484550408158</v>
          </cell>
          <cell r="T37">
            <v>1488.0617722997738</v>
          </cell>
          <cell r="U37">
            <v>0.1029495913448315</v>
          </cell>
          <cell r="V37">
            <v>1622.2236210060237</v>
          </cell>
          <cell r="W37">
            <v>9.0158789912938353E-2</v>
          </cell>
          <cell r="AB37" t="str">
            <v>mstag:otherOperatingExpense</v>
          </cell>
          <cell r="AC37">
            <v>6</v>
          </cell>
          <cell r="AD37" t="str">
            <v>ISO4217:USD</v>
          </cell>
          <cell r="AE37" t="b">
            <v>0</v>
          </cell>
          <cell r="AF37" t="b">
            <v>0</v>
          </cell>
        </row>
        <row r="38">
          <cell r="B38" t="str">
            <v>Total Operating Expenses</v>
          </cell>
          <cell r="C38">
            <v>1027.425</v>
          </cell>
          <cell r="D38">
            <v>1258.9829999999999</v>
          </cell>
          <cell r="E38">
            <v>1574.2349999999999</v>
          </cell>
          <cell r="F38">
            <v>1962.1129999999998</v>
          </cell>
          <cell r="H38">
            <v>2454.7161573414223</v>
          </cell>
          <cell r="I38">
            <v>0.25105748615977896</v>
          </cell>
          <cell r="J38">
            <v>3301.8</v>
          </cell>
          <cell r="K38">
            <v>0.34508423310987246</v>
          </cell>
          <cell r="L38">
            <v>4531.0019999999995</v>
          </cell>
          <cell r="M38">
            <v>0.37228239142286013</v>
          </cell>
          <cell r="N38">
            <v>5868.7359800000004</v>
          </cell>
          <cell r="O38">
            <v>0.29524020956071118</v>
          </cell>
          <cell r="P38">
            <v>6871.3015576972857</v>
          </cell>
          <cell r="Q38">
            <v>0.17083160345156401</v>
          </cell>
          <cell r="R38">
            <v>7646.4302261891735</v>
          </cell>
          <cell r="S38">
            <v>0.11280667308562276</v>
          </cell>
          <cell r="T38">
            <v>8252.2202578283486</v>
          </cell>
          <cell r="U38">
            <v>7.9225208851619655E-2</v>
          </cell>
          <cell r="V38">
            <v>8674.5610992366965</v>
          </cell>
          <cell r="W38">
            <v>5.117905584351079E-2</v>
          </cell>
        </row>
        <row r="39">
          <cell r="B39" t="str">
            <v xml:space="preserve">Operating Income (Loss) </v>
          </cell>
          <cell r="C39">
            <v>284.18700000000013</v>
          </cell>
          <cell r="D39">
            <v>378.38800000099991</v>
          </cell>
          <cell r="E39">
            <v>469.79700000000003</v>
          </cell>
          <cell r="F39">
            <v>621.50855966964809</v>
          </cell>
          <cell r="H39">
            <v>845.54684265857759</v>
          </cell>
          <cell r="I39">
            <v>0.36047497577187526</v>
          </cell>
          <cell r="J39">
            <v>1319.3999999999996</v>
          </cell>
          <cell r="K39">
            <v>0.56041029714158452</v>
          </cell>
          <cell r="L39">
            <v>2102.4210000000012</v>
          </cell>
          <cell r="M39">
            <v>0.59346748522055615</v>
          </cell>
          <cell r="N39">
            <v>3251.6240200000002</v>
          </cell>
          <cell r="O39">
            <v>0.54660937081583483</v>
          </cell>
          <cell r="P39">
            <v>4407.8235639859422</v>
          </cell>
          <cell r="Q39">
            <v>0.35557602504915131</v>
          </cell>
          <cell r="R39">
            <v>5457.7560849126548</v>
          </cell>
          <cell r="S39">
            <v>0.23819749263676759</v>
          </cell>
          <cell r="T39">
            <v>6333.8187200867542</v>
          </cell>
          <cell r="U39">
            <v>0.16051700031004956</v>
          </cell>
          <cell r="V39">
            <v>7103.5485501410149</v>
          </cell>
          <cell r="W39">
            <v>0.12152697512689747</v>
          </cell>
        </row>
        <row r="40">
          <cell r="B40" t="str">
            <v xml:space="preserve">        Operating Margin</v>
          </cell>
          <cell r="D40">
            <v>0.23109484655632037</v>
          </cell>
          <cell r="E40">
            <v>0.22983837826413678</v>
          </cell>
          <cell r="F40">
            <v>0.24055711926676934</v>
          </cell>
          <cell r="H40">
            <v>0.25620589712352548</v>
          </cell>
          <cell r="J40">
            <v>0.28551025707608407</v>
          </cell>
          <cell r="L40">
            <v>0.31694360513418202</v>
          </cell>
          <cell r="N40">
            <v>0.35652364818932586</v>
          </cell>
          <cell r="P40">
            <v>0.39079481045141073</v>
          </cell>
          <cell r="R40">
            <v>0.41648950612743196</v>
          </cell>
          <cell r="T40">
            <v>0.43423843372946319</v>
          </cell>
          <cell r="V40">
            <v>0.45021543822400667</v>
          </cell>
        </row>
        <row r="41">
          <cell r="B41" t="str">
            <v xml:space="preserve">   Interest, Other Income</v>
          </cell>
          <cell r="C41">
            <v>89.433999999999997</v>
          </cell>
          <cell r="D41">
            <v>90.4</v>
          </cell>
          <cell r="E41">
            <v>135.005</v>
          </cell>
          <cell r="F41">
            <v>107.822</v>
          </cell>
          <cell r="H41">
            <v>92.807000000000002</v>
          </cell>
          <cell r="J41">
            <v>82.597000000000008</v>
          </cell>
          <cell r="L41">
            <v>140.9</v>
          </cell>
          <cell r="N41">
            <v>228</v>
          </cell>
          <cell r="P41">
            <v>158.27981570681379</v>
          </cell>
          <cell r="R41">
            <v>214.14721389467866</v>
          </cell>
          <cell r="T41">
            <v>298.9218808473185</v>
          </cell>
          <cell r="V41">
            <v>424.04459975088002</v>
          </cell>
          <cell r="AB41" t="str">
            <v>mstag:interestAndDividendIncome</v>
          </cell>
          <cell r="AC41">
            <v>6</v>
          </cell>
          <cell r="AD41" t="str">
            <v>ISO4217:USD</v>
          </cell>
          <cell r="AE41" t="b">
            <v>0</v>
          </cell>
          <cell r="AF41" t="b">
            <v>0</v>
          </cell>
        </row>
        <row r="42">
          <cell r="B42" t="str">
            <v xml:space="preserve">   Interest, Other Expense</v>
          </cell>
          <cell r="C42">
            <v>-5.36</v>
          </cell>
          <cell r="D42">
            <v>-5.2780000000000005</v>
          </cell>
          <cell r="E42">
            <v>0</v>
          </cell>
          <cell r="F42">
            <v>0</v>
          </cell>
          <cell r="H42">
            <v>0</v>
          </cell>
          <cell r="J42">
            <v>0</v>
          </cell>
          <cell r="L42">
            <v>-49.9</v>
          </cell>
          <cell r="N42">
            <v>-91</v>
          </cell>
          <cell r="P42">
            <v>-99.403055999999992</v>
          </cell>
          <cell r="R42">
            <v>-99.403055999999992</v>
          </cell>
          <cell r="T42">
            <v>-99.403055999999992</v>
          </cell>
          <cell r="V42">
            <v>-77.403055999999992</v>
          </cell>
          <cell r="AB42" t="str">
            <v>mstag:interestAndDividendIncome</v>
          </cell>
          <cell r="AC42">
            <v>6</v>
          </cell>
          <cell r="AD42" t="str">
            <v>ISO4217:USD</v>
          </cell>
          <cell r="AE42" t="b">
            <v>0</v>
          </cell>
          <cell r="AF42" t="b">
            <v>0</v>
          </cell>
        </row>
        <row r="43">
          <cell r="B43" t="str">
            <v xml:space="preserve">Pretax Income (Loss) </v>
          </cell>
          <cell r="C43">
            <v>368.26100000000008</v>
          </cell>
          <cell r="D43">
            <v>463.51000000099987</v>
          </cell>
          <cell r="E43">
            <v>604.80200000000002</v>
          </cell>
          <cell r="F43">
            <v>729.3305596696481</v>
          </cell>
          <cell r="H43">
            <v>938.35384265857761</v>
          </cell>
          <cell r="I43">
            <v>0.28659608488585353</v>
          </cell>
          <cell r="J43">
            <v>1401.9969999999996</v>
          </cell>
          <cell r="K43">
            <v>0.4941026894799212</v>
          </cell>
          <cell r="L43">
            <v>2193.4210000000012</v>
          </cell>
          <cell r="M43">
            <v>0.56449764157840687</v>
          </cell>
          <cell r="N43">
            <v>3388.6240200000002</v>
          </cell>
          <cell r="O43">
            <v>0.54490360947579064</v>
          </cell>
          <cell r="P43">
            <v>4466.7003236927558</v>
          </cell>
          <cell r="Q43">
            <v>0.31814574214484725</v>
          </cell>
          <cell r="R43">
            <v>5572.5002428073331</v>
          </cell>
          <cell r="S43">
            <v>0.24756528062764227</v>
          </cell>
          <cell r="T43">
            <v>6533.3375449340729</v>
          </cell>
          <cell r="U43">
            <v>0.17242481117285435</v>
          </cell>
          <cell r="V43">
            <v>7450.1900938918943</v>
          </cell>
          <cell r="W43">
            <v>0.1403344833558684</v>
          </cell>
        </row>
        <row r="44">
          <cell r="B44" t="str">
            <v xml:space="preserve">   Provision For Income Taxes</v>
          </cell>
          <cell r="C44">
            <v>121.56800000000001</v>
          </cell>
          <cell r="D44">
            <v>143.67400000000001</v>
          </cell>
          <cell r="E44">
            <v>127.11199999999999</v>
          </cell>
          <cell r="F44">
            <v>245.797</v>
          </cell>
          <cell r="H44">
            <v>303.69799999999998</v>
          </cell>
          <cell r="J44">
            <v>507.63099999999997</v>
          </cell>
          <cell r="L44">
            <v>806.09699999999998</v>
          </cell>
          <cell r="N44">
            <v>1263.7185114200001</v>
          </cell>
          <cell r="P44">
            <v>1666.0792207373979</v>
          </cell>
          <cell r="R44">
            <v>2078.542590567135</v>
          </cell>
          <cell r="T44">
            <v>2436.934904260409</v>
          </cell>
          <cell r="V44">
            <v>2778.9209050216764</v>
          </cell>
          <cell r="AB44" t="str">
            <v>mstag:taxExpenseIncome</v>
          </cell>
          <cell r="AC44">
            <v>6</v>
          </cell>
          <cell r="AD44" t="str">
            <v>ISO4217:USD</v>
          </cell>
          <cell r="AE44" t="b">
            <v>0</v>
          </cell>
          <cell r="AF44" t="b">
            <v>0</v>
          </cell>
        </row>
        <row r="45">
          <cell r="B45" t="str">
            <v xml:space="preserve">   Effective Tax Rate</v>
          </cell>
          <cell r="C45">
            <v>0.21840079909742235</v>
          </cell>
          <cell r="D45">
            <v>0.17967483708416138</v>
          </cell>
          <cell r="E45">
            <v>0.17543014456747877</v>
          </cell>
          <cell r="F45">
            <v>0.33702605798725771</v>
          </cell>
          <cell r="H45">
            <v>0.32364976429312847</v>
          </cell>
          <cell r="J45">
            <v>0.36207709431617907</v>
          </cell>
          <cell r="L45">
            <v>0.36750724212165659</v>
          </cell>
          <cell r="N45">
            <v>0.3729296918045219</v>
          </cell>
          <cell r="P45">
            <v>0.373</v>
          </cell>
          <cell r="R45">
            <v>0.373</v>
          </cell>
          <cell r="T45">
            <v>0.373</v>
          </cell>
          <cell r="V45">
            <v>0.373</v>
          </cell>
        </row>
        <row r="46">
          <cell r="B46" t="str">
            <v>Net Income (Loss)</v>
          </cell>
          <cell r="C46">
            <v>246.69300000000007</v>
          </cell>
          <cell r="D46">
            <v>319.83600000099989</v>
          </cell>
          <cell r="E46">
            <v>477.69000000000005</v>
          </cell>
          <cell r="F46">
            <v>483.53355966964807</v>
          </cell>
          <cell r="H46">
            <v>634.65584265857763</v>
          </cell>
          <cell r="I46">
            <v>0.31253732024758918</v>
          </cell>
          <cell r="J46">
            <v>894.36599999999964</v>
          </cell>
          <cell r="K46">
            <v>0.4092141596829777</v>
          </cell>
          <cell r="L46">
            <v>1387.3240000000012</v>
          </cell>
          <cell r="M46">
            <v>0.55118150734710603</v>
          </cell>
          <cell r="N46">
            <v>2124.9055085800001</v>
          </cell>
          <cell r="O46">
            <v>0.53165771555887331</v>
          </cell>
          <cell r="P46">
            <v>2800.6211029553579</v>
          </cell>
          <cell r="Q46">
            <v>0.31799794938971893</v>
          </cell>
          <cell r="R46">
            <v>3493.9576522401981</v>
          </cell>
          <cell r="S46">
            <v>0.24756528062764227</v>
          </cell>
          <cell r="T46">
            <v>4096.4026406736639</v>
          </cell>
          <cell r="U46">
            <v>0.17242481117285435</v>
          </cell>
          <cell r="V46">
            <v>4671.2691888702175</v>
          </cell>
          <cell r="W46">
            <v>0.1403344833558684</v>
          </cell>
        </row>
        <row r="48">
          <cell r="B48" t="str">
            <v>EPS, basic</v>
          </cell>
          <cell r="C48">
            <v>0.240507155948992</v>
          </cell>
          <cell r="D48">
            <v>0.30625130463021294</v>
          </cell>
          <cell r="E48">
            <v>0.84741827980205642</v>
          </cell>
          <cell r="F48">
            <v>0.46558555820163972</v>
          </cell>
          <cell r="H48">
            <v>0.61351622099003444</v>
          </cell>
          <cell r="I48">
            <v>0.31773035091506774</v>
          </cell>
          <cell r="J48">
            <v>0.84760772011960184</v>
          </cell>
          <cell r="K48">
            <v>0.38155714734292223</v>
          </cell>
          <cell r="L48">
            <v>1.3150588841956803</v>
          </cell>
          <cell r="M48">
            <v>0.55149469852648192</v>
          </cell>
          <cell r="N48">
            <v>2.0160393819544593</v>
          </cell>
          <cell r="O48">
            <v>0.53304114833421656</v>
          </cell>
          <cell r="P48">
            <v>2.6578594958545239</v>
          </cell>
          <cell r="Q48">
            <v>0.31835693272908627</v>
          </cell>
          <cell r="R48">
            <v>3.3158532278145931</v>
          </cell>
          <cell r="S48">
            <v>0.24756528062764227</v>
          </cell>
          <cell r="T48">
            <v>3.8875885944974238</v>
          </cell>
          <cell r="U48">
            <v>0.17242481117285435</v>
          </cell>
          <cell r="V48">
            <v>4.4331513314063864</v>
          </cell>
          <cell r="W48">
            <v>0.1403344833558684</v>
          </cell>
          <cell r="Y48" t="str">
            <v>Growth</v>
          </cell>
          <cell r="Z48" t="str">
            <v>3 year</v>
          </cell>
          <cell r="AA48" t="str">
            <v>4 year</v>
          </cell>
        </row>
        <row r="49">
          <cell r="B49" t="str">
            <v>EPS, diluted</v>
          </cell>
          <cell r="C49">
            <v>0.23296000755465324</v>
          </cell>
          <cell r="D49">
            <v>0.29831162314462278</v>
          </cell>
          <cell r="E49">
            <v>0.83443278873473636</v>
          </cell>
          <cell r="F49">
            <v>0.46096594929398294</v>
          </cell>
          <cell r="H49">
            <v>0.60195636879300407</v>
          </cell>
          <cell r="I49">
            <v>0.30585864252004424</v>
          </cell>
          <cell r="J49">
            <v>0.82872362999196592</v>
          </cell>
          <cell r="K49">
            <v>0.37671710601493902</v>
          </cell>
          <cell r="L49">
            <v>1.2834315032439099</v>
          </cell>
          <cell r="M49">
            <v>0.54868457564840067</v>
          </cell>
          <cell r="N49">
            <v>1.9766562870511628</v>
          </cell>
          <cell r="O49">
            <v>0.54013383811688231</v>
          </cell>
          <cell r="P49">
            <v>2.6131703146035923</v>
          </cell>
          <cell r="Q49">
            <v>0.32201553285826989</v>
          </cell>
          <cell r="R49">
            <v>3.2657035401917991</v>
          </cell>
          <cell r="S49">
            <v>0.24970941309931183</v>
          </cell>
          <cell r="T49">
            <v>3.8441841959191563</v>
          </cell>
          <cell r="U49">
            <v>0.17713814147789497</v>
          </cell>
          <cell r="V49">
            <v>4.4101388095141756</v>
          </cell>
          <cell r="W49">
            <v>0.14722359407122476</v>
          </cell>
          <cell r="Z49">
            <v>0.36521595109433186</v>
          </cell>
          <cell r="AA49">
            <v>0.28001751631721422</v>
          </cell>
          <cell r="AB49" t="str">
            <v>mstag:adjEpsForConsensus</v>
          </cell>
          <cell r="AC49">
            <v>0</v>
          </cell>
          <cell r="AD49" t="str">
            <v>ISO4217:USD</v>
          </cell>
          <cell r="AE49" t="b">
            <v>0</v>
          </cell>
          <cell r="AF49" t="b">
            <v>0</v>
          </cell>
        </row>
        <row r="51">
          <cell r="B51" t="str">
            <v xml:space="preserve">  Options expense</v>
          </cell>
          <cell r="N51">
            <v>329.18547890000002</v>
          </cell>
          <cell r="P51">
            <v>377.92158567335071</v>
          </cell>
          <cell r="R51">
            <v>420.55366244040454</v>
          </cell>
          <cell r="T51">
            <v>453.87211418055915</v>
          </cell>
          <cell r="V51">
            <v>477.1008604580183</v>
          </cell>
          <cell r="AB51" t="str">
            <v>mstag:stockCompensation</v>
          </cell>
          <cell r="AC51">
            <v>6</v>
          </cell>
          <cell r="AD51" t="str">
            <v>ISO4217:USD</v>
          </cell>
          <cell r="AE51" t="b">
            <v>0</v>
          </cell>
          <cell r="AF51" t="b">
            <v>0</v>
          </cell>
        </row>
        <row r="52">
          <cell r="B52" t="str">
            <v>Net Income (incl options exp)</v>
          </cell>
          <cell r="N52">
            <v>1795.7200296800002</v>
          </cell>
          <cell r="P52">
            <v>2422.699517282007</v>
          </cell>
          <cell r="R52">
            <v>3073.4039897997936</v>
          </cell>
          <cell r="T52">
            <v>3642.5305264931048</v>
          </cell>
          <cell r="V52">
            <v>4194.1683284121991</v>
          </cell>
        </row>
        <row r="54">
          <cell r="B54" t="str">
            <v>EPS, diluted (incl option exp)</v>
          </cell>
          <cell r="N54">
            <v>1.670437236911628</v>
          </cell>
          <cell r="P54">
            <v>2.2605437247777207</v>
          </cell>
          <cell r="R54">
            <v>2.8726239093062675</v>
          </cell>
          <cell r="T54">
            <v>3.4182573129078739</v>
          </cell>
          <cell r="V54">
            <v>3.9597085440583326</v>
          </cell>
          <cell r="AA54">
            <v>22.250639386189256</v>
          </cell>
        </row>
        <row r="55">
          <cell r="B55" t="str">
            <v>EPS, GAAP, Diluted (incl option exp)</v>
          </cell>
          <cell r="N55">
            <v>1.6109656090046514</v>
          </cell>
          <cell r="P55">
            <v>2.1891696107162537</v>
          </cell>
          <cell r="R55">
            <v>2.8134339509056185</v>
          </cell>
          <cell r="T55">
            <v>3.3588294016576903</v>
          </cell>
          <cell r="V55">
            <v>3.8999216105509422</v>
          </cell>
          <cell r="AA55">
            <v>19.727270219320825</v>
          </cell>
        </row>
        <row r="56">
          <cell r="B56" t="str">
            <v xml:space="preserve">Basic Shares Outstanding </v>
          </cell>
          <cell r="C56">
            <v>1025.72</v>
          </cell>
          <cell r="D56">
            <v>1044.3579999999999</v>
          </cell>
          <cell r="E56">
            <v>1054.038</v>
          </cell>
          <cell r="F56">
            <v>1038.5084999999999</v>
          </cell>
          <cell r="H56">
            <v>1034.4565</v>
          </cell>
          <cell r="I56">
            <v>-3.901749480143768E-3</v>
          </cell>
          <cell r="J56">
            <v>1055.165</v>
          </cell>
          <cell r="K56">
            <v>2.0018724808631427E-2</v>
          </cell>
          <cell r="L56">
            <v>1054.952</v>
          </cell>
          <cell r="M56">
            <v>-2.0186416342460323E-4</v>
          </cell>
          <cell r="N56">
            <v>1054</v>
          </cell>
          <cell r="O56">
            <v>-9.0241072579599901E-4</v>
          </cell>
          <cell r="P56">
            <v>1053.713</v>
          </cell>
          <cell r="Q56">
            <v>-2.7229601518030666E-4</v>
          </cell>
          <cell r="R56">
            <v>1053.713</v>
          </cell>
          <cell r="S56">
            <v>0</v>
          </cell>
          <cell r="T56">
            <v>1053.713</v>
          </cell>
          <cell r="U56">
            <v>0</v>
          </cell>
          <cell r="V56">
            <v>1053.713</v>
          </cell>
          <cell r="W56">
            <v>0</v>
          </cell>
          <cell r="AB56" t="str">
            <v>mstag:averageBasicSharesOutstanding</v>
          </cell>
          <cell r="AC56">
            <v>6</v>
          </cell>
          <cell r="AD56" t="str">
            <v>ms_eqr_gcim_Decimal:ms_eqr_gcim_decimal</v>
          </cell>
          <cell r="AE56" t="b">
            <v>0</v>
          </cell>
          <cell r="AF56" t="b">
            <v>0</v>
          </cell>
        </row>
        <row r="57">
          <cell r="B57" t="str">
            <v>Diluted Shares Outstanding</v>
          </cell>
          <cell r="C57">
            <v>1058.95</v>
          </cell>
          <cell r="D57">
            <v>1072.154</v>
          </cell>
          <cell r="E57">
            <v>1070.441</v>
          </cell>
          <cell r="F57">
            <v>1048.9160000000002</v>
          </cell>
          <cell r="H57">
            <v>1054.3219999999999</v>
          </cell>
          <cell r="I57">
            <v>5.1538922087179806E-3</v>
          </cell>
          <cell r="J57">
            <v>1079.2090000000001</v>
          </cell>
          <cell r="K57">
            <v>2.3604743142986884E-2</v>
          </cell>
          <cell r="L57">
            <v>1080.9490000000001</v>
          </cell>
          <cell r="M57">
            <v>1.6122919656897938E-3</v>
          </cell>
          <cell r="N57">
            <v>1075</v>
          </cell>
          <cell r="O57">
            <v>-5.5034973897936101E-3</v>
          </cell>
          <cell r="P57">
            <v>1071.7330926745205</v>
          </cell>
          <cell r="Q57">
            <v>-3.0389835585855618E-3</v>
          </cell>
          <cell r="R57">
            <v>1069.8943150347914</v>
          </cell>
          <cell r="S57">
            <v>-1.7157048264139219E-3</v>
          </cell>
          <cell r="T57">
            <v>1065.6103953141094</v>
          </cell>
          <cell r="U57">
            <v>-4.0040587752283585E-3</v>
          </cell>
          <cell r="V57">
            <v>1059.2113742072459</v>
          </cell>
          <cell r="W57">
            <v>-6.0050287938279157E-3</v>
          </cell>
          <cell r="AB57" t="str">
            <v>mstag:averageDilutedSharesOutstanding</v>
          </cell>
          <cell r="AC57">
            <v>6</v>
          </cell>
          <cell r="AD57" t="str">
            <v>ms_eqr_gcim_Decimal:ms_eqr_gcim_decimal</v>
          </cell>
          <cell r="AE57" t="b">
            <v>0</v>
          </cell>
          <cell r="AF57" t="b">
            <v>0</v>
          </cell>
        </row>
        <row r="59">
          <cell r="H59" t="str">
            <v>2003-FY</v>
          </cell>
          <cell r="J59" t="str">
            <v>2004-FY</v>
          </cell>
          <cell r="L59" t="str">
            <v>2005-FY</v>
          </cell>
          <cell r="N59" t="str">
            <v>2006-FY</v>
          </cell>
          <cell r="P59" t="str">
            <v>2007-FY</v>
          </cell>
          <cell r="R59" t="str">
            <v>2008-FY</v>
          </cell>
          <cell r="T59" t="str">
            <v>2009-FY</v>
          </cell>
          <cell r="V59" t="str">
            <v>2010-FY</v>
          </cell>
        </row>
        <row r="60">
          <cell r="B60" t="str">
            <v>Reconciliation to GAAP earnings/loss</v>
          </cell>
          <cell r="E60">
            <v>-3.0000000001564331E-3</v>
          </cell>
        </row>
        <row r="61">
          <cell r="B61" t="str">
            <v>Adjustments:</v>
          </cell>
        </row>
        <row r="62">
          <cell r="B62" t="str">
            <v xml:space="preserve">   Contract revenue</v>
          </cell>
          <cell r="C62">
            <v>-19.399999999999999</v>
          </cell>
          <cell r="D62">
            <v>-125.1</v>
          </cell>
          <cell r="E62">
            <v>0</v>
          </cell>
          <cell r="AB62" t="str">
            <v>mstag:otherProvisionsOneTimeGrossOfTax</v>
          </cell>
          <cell r="AC62">
            <v>6</v>
          </cell>
          <cell r="AD62" t="str">
            <v>ISO4217:USD</v>
          </cell>
          <cell r="AE62" t="b">
            <v>0</v>
          </cell>
          <cell r="AF62" t="b">
            <v>0</v>
          </cell>
        </row>
        <row r="63">
          <cell r="B63" t="str">
            <v xml:space="preserve">   Cost of sales</v>
          </cell>
          <cell r="C63">
            <v>93.4</v>
          </cell>
          <cell r="D63">
            <v>92.9</v>
          </cell>
          <cell r="AB63" t="str">
            <v>mstag:otherProvisionsOneTimeGrossOfTax</v>
          </cell>
          <cell r="AC63">
            <v>6</v>
          </cell>
          <cell r="AD63" t="str">
            <v>ISO4217:USD</v>
          </cell>
          <cell r="AE63" t="b">
            <v>0</v>
          </cell>
          <cell r="AF63" t="b">
            <v>0</v>
          </cell>
        </row>
        <row r="64">
          <cell r="B64" t="str">
            <v>Recurring charges related to redemption</v>
          </cell>
          <cell r="C64">
            <v>197.7</v>
          </cell>
          <cell r="D64">
            <v>375.3</v>
          </cell>
          <cell r="E64">
            <v>321.81599999999997</v>
          </cell>
          <cell r="F64">
            <v>155.71299999999999</v>
          </cell>
          <cell r="H64">
            <v>154.30000000000001</v>
          </cell>
          <cell r="J64">
            <v>145.48500000000001</v>
          </cell>
          <cell r="L64">
            <v>122.7</v>
          </cell>
          <cell r="N64">
            <v>95</v>
          </cell>
          <cell r="P64">
            <v>70</v>
          </cell>
          <cell r="R64">
            <v>49</v>
          </cell>
          <cell r="T64">
            <v>49</v>
          </cell>
          <cell r="V64">
            <v>49</v>
          </cell>
          <cell r="AB64" t="str">
            <v>mstag:amortizationOfIntangiblesAssumedToHaveIndefiniteLifeIncomeStatement</v>
          </cell>
          <cell r="AC64">
            <v>6</v>
          </cell>
          <cell r="AD64" t="str">
            <v>ISO4217:USD</v>
          </cell>
          <cell r="AE64" t="b">
            <v>0</v>
          </cell>
          <cell r="AF64" t="b">
            <v>0</v>
          </cell>
        </row>
        <row r="65">
          <cell r="B65" t="str">
            <v>Litagation and other charges</v>
          </cell>
          <cell r="C65">
            <v>1437.7</v>
          </cell>
          <cell r="D65">
            <v>0</v>
          </cell>
          <cell r="E65">
            <v>0</v>
          </cell>
          <cell r="F65">
            <v>543.90499999999997</v>
          </cell>
          <cell r="J65">
            <v>37.1</v>
          </cell>
          <cell r="L65">
            <v>57.8</v>
          </cell>
          <cell r="N65">
            <v>52</v>
          </cell>
          <cell r="P65">
            <v>52</v>
          </cell>
          <cell r="R65">
            <v>52</v>
          </cell>
          <cell r="T65">
            <v>52</v>
          </cell>
          <cell r="V65">
            <v>52</v>
          </cell>
          <cell r="AB65" t="str">
            <v>mstag:restructuringCostsOneTime</v>
          </cell>
          <cell r="AC65">
            <v>6</v>
          </cell>
          <cell r="AD65" t="str">
            <v>ISO4217:USD</v>
          </cell>
          <cell r="AE65" t="b">
            <v>0</v>
          </cell>
          <cell r="AF65" t="b">
            <v>0</v>
          </cell>
        </row>
        <row r="66">
          <cell r="B66" t="str">
            <v xml:space="preserve">   Other</v>
          </cell>
          <cell r="C66">
            <v>32.299999999999997</v>
          </cell>
          <cell r="D66">
            <v>4.9000000000000004</v>
          </cell>
          <cell r="E66">
            <v>0</v>
          </cell>
          <cell r="H66">
            <v>115.8</v>
          </cell>
          <cell r="AB66" t="str">
            <v>mstag:otherProvisionsOneTimeGrossOfTax</v>
          </cell>
          <cell r="AC66">
            <v>6</v>
          </cell>
          <cell r="AD66" t="str">
            <v>ISO4217:USD</v>
          </cell>
          <cell r="AE66" t="b">
            <v>1</v>
          </cell>
          <cell r="AF66" t="b">
            <v>0</v>
          </cell>
        </row>
        <row r="67">
          <cell r="B67" t="str">
            <v xml:space="preserve">   Other income, net (adjustment)</v>
          </cell>
          <cell r="C67">
            <v>-12.933999999999997</v>
          </cell>
          <cell r="D67">
            <v>125.69999999999999</v>
          </cell>
          <cell r="E67">
            <v>0</v>
          </cell>
          <cell r="H67">
            <v>0</v>
          </cell>
          <cell r="J67">
            <v>0</v>
          </cell>
          <cell r="L67">
            <v>0</v>
          </cell>
          <cell r="N67">
            <v>0</v>
          </cell>
          <cell r="P67">
            <v>0</v>
          </cell>
          <cell r="R67">
            <v>0</v>
          </cell>
          <cell r="T67">
            <v>0</v>
          </cell>
          <cell r="V67">
            <v>0</v>
          </cell>
          <cell r="AB67" t="str">
            <v>mstag:otherOperatingExpense</v>
          </cell>
          <cell r="AC67">
            <v>6</v>
          </cell>
          <cell r="AD67" t="str">
            <v>ISO4217:USD</v>
          </cell>
          <cell r="AE67" t="b">
            <v>1</v>
          </cell>
          <cell r="AF67" t="b">
            <v>0</v>
          </cell>
        </row>
        <row r="68">
          <cell r="B68" t="str">
            <v xml:space="preserve">   Income tax (benefit) provision adjustment</v>
          </cell>
          <cell r="C68">
            <v>324.60000000000002</v>
          </cell>
          <cell r="D68">
            <v>126.7</v>
          </cell>
          <cell r="E68">
            <v>0</v>
          </cell>
          <cell r="H68">
            <v>13.3</v>
          </cell>
          <cell r="J68">
            <v>73.031000000000006</v>
          </cell>
          <cell r="L68">
            <v>72.2</v>
          </cell>
          <cell r="N68">
            <v>83.067999999999998</v>
          </cell>
          <cell r="P68">
            <v>45.506</v>
          </cell>
          <cell r="R68">
            <v>37.673000000000002</v>
          </cell>
          <cell r="T68">
            <v>37.673000000000002</v>
          </cell>
          <cell r="V68">
            <v>37.673000000000002</v>
          </cell>
          <cell r="AB68" t="str">
            <v>mstag:taxOnOtherProvisionsOneTime</v>
          </cell>
          <cell r="AC68">
            <v>6</v>
          </cell>
          <cell r="AD68" t="str">
            <v>ISO4217:USD</v>
          </cell>
          <cell r="AE68" t="b">
            <v>0</v>
          </cell>
          <cell r="AF68" t="b">
            <v>0</v>
          </cell>
        </row>
        <row r="69">
          <cell r="B69" t="str">
            <v xml:space="preserve">   Effect of accounting change</v>
          </cell>
          <cell r="C69">
            <v>0</v>
          </cell>
          <cell r="D69">
            <v>-57.8</v>
          </cell>
          <cell r="E69">
            <v>-5.6</v>
          </cell>
          <cell r="H69">
            <v>-47</v>
          </cell>
          <cell r="AB69" t="str">
            <v>mstag:cumulativeEffectOfChangeInAccountingPrincipleNetOfTax</v>
          </cell>
          <cell r="AC69">
            <v>6</v>
          </cell>
          <cell r="AD69" t="str">
            <v>ISO4217:USD</v>
          </cell>
          <cell r="AE69" t="b">
            <v>0</v>
          </cell>
          <cell r="AF69" t="b">
            <v>0</v>
          </cell>
        </row>
        <row r="70">
          <cell r="B70" t="str">
            <v xml:space="preserve">  GAAP Net income (loss)</v>
          </cell>
          <cell r="C70">
            <v>-1157.5410000000002</v>
          </cell>
          <cell r="D70">
            <v>-73.963999999000151</v>
          </cell>
          <cell r="E70">
            <v>150.27400000000009</v>
          </cell>
          <cell r="F70">
            <v>-216.08444033035187</v>
          </cell>
          <cell r="H70">
            <v>562.45584265857758</v>
          </cell>
          <cell r="J70">
            <v>784.81199999999967</v>
          </cell>
          <cell r="L70">
            <v>1279.0240000000013</v>
          </cell>
          <cell r="N70">
            <v>1731.7880296800001</v>
          </cell>
          <cell r="P70">
            <v>2346.2055172820069</v>
          </cell>
          <cell r="R70">
            <v>3010.0769897997934</v>
          </cell>
          <cell r="T70">
            <v>3579.2035264931046</v>
          </cell>
          <cell r="V70">
            <v>4130.8413284121989</v>
          </cell>
        </row>
        <row r="71">
          <cell r="B71" t="str">
            <v>EARNINGS (LOSS) PER SHARE</v>
          </cell>
          <cell r="F71">
            <v>699.61799999999994</v>
          </cell>
          <cell r="H71">
            <v>457.53399999999999</v>
          </cell>
          <cell r="L71">
            <v>1139.4573944602898</v>
          </cell>
        </row>
        <row r="72">
          <cell r="B72" t="str">
            <v xml:space="preserve">   Basic</v>
          </cell>
          <cell r="C72">
            <v>-1.128515579300394</v>
          </cell>
          <cell r="D72">
            <v>-7.0822457432221667E-2</v>
          </cell>
          <cell r="E72">
            <v>0.14256981247355416</v>
          </cell>
          <cell r="F72">
            <v>-0.20807190343685381</v>
          </cell>
          <cell r="H72">
            <v>0.54372111602428674</v>
          </cell>
          <cell r="J72">
            <v>0.7437813043457655</v>
          </cell>
          <cell r="L72">
            <v>1.2124001850321164</v>
          </cell>
          <cell r="N72">
            <v>1.6430626467552183</v>
          </cell>
          <cell r="P72">
            <v>2.2266077359603678</v>
          </cell>
          <cell r="R72">
            <v>2.8566383728774283</v>
          </cell>
          <cell r="T72">
            <v>3.3967536952596245</v>
          </cell>
          <cell r="V72">
            <v>3.92027177078787</v>
          </cell>
        </row>
        <row r="73">
          <cell r="B73" t="str">
            <v xml:space="preserve">   Diluted</v>
          </cell>
          <cell r="C73">
            <v>-1.0931026016336938</v>
          </cell>
          <cell r="D73">
            <v>-6.898635830207242E-2</v>
          </cell>
          <cell r="E73">
            <v>0.14038513098806948</v>
          </cell>
          <cell r="F73">
            <v>-0.20600738317496523</v>
          </cell>
          <cell r="H73">
            <v>0.53347634086984586</v>
          </cell>
          <cell r="J73">
            <v>0.72721039205566262</v>
          </cell>
          <cell r="L73">
            <v>1.1832417625623421</v>
          </cell>
          <cell r="N73">
            <v>1.6109656090046514</v>
          </cell>
          <cell r="P73">
            <v>2.1891696107162537</v>
          </cell>
          <cell r="R73">
            <v>2.8134339509056185</v>
          </cell>
          <cell r="T73">
            <v>3.3588294016576903</v>
          </cell>
          <cell r="V73">
            <v>3.8999216105509422</v>
          </cell>
        </row>
        <row r="74">
          <cell r="B74" t="str">
            <v>Period End Basic Shares</v>
          </cell>
          <cell r="D74">
            <v>0</v>
          </cell>
          <cell r="E74">
            <v>527.79422299999999</v>
          </cell>
          <cell r="F74">
            <v>1025.155974</v>
          </cell>
          <cell r="H74">
            <v>1047.3900000000001</v>
          </cell>
          <cell r="J74">
            <v>1047.127</v>
          </cell>
          <cell r="L74">
            <v>1053.713</v>
          </cell>
          <cell r="N74">
            <v>1053.713</v>
          </cell>
          <cell r="P74">
            <v>1053.713</v>
          </cell>
          <cell r="R74">
            <v>1053.713</v>
          </cell>
          <cell r="T74">
            <v>1053.713</v>
          </cell>
          <cell r="V74">
            <v>0</v>
          </cell>
        </row>
        <row r="75">
          <cell r="B75" t="str">
            <v>Federal tax rate</v>
          </cell>
          <cell r="C75">
            <v>0.35</v>
          </cell>
          <cell r="D75">
            <v>0.35</v>
          </cell>
          <cell r="E75">
            <v>0.35</v>
          </cell>
          <cell r="F75">
            <v>0.35</v>
          </cell>
          <cell r="H75">
            <v>0.35</v>
          </cell>
          <cell r="J75">
            <v>0.35</v>
          </cell>
          <cell r="L75">
            <v>0.35</v>
          </cell>
          <cell r="N75">
            <v>0.35</v>
          </cell>
          <cell r="P75">
            <v>0.35</v>
          </cell>
          <cell r="R75">
            <v>0.35</v>
          </cell>
          <cell r="T75">
            <v>0.35</v>
          </cell>
          <cell r="V75">
            <v>0.35</v>
          </cell>
        </row>
        <row r="76">
          <cell r="B76" t="str">
            <v xml:space="preserve">     Federal taxes</v>
          </cell>
          <cell r="C76">
            <v>-527.51800000000003</v>
          </cell>
          <cell r="D76">
            <v>1.391</v>
          </cell>
          <cell r="E76">
            <v>99.045000000000002</v>
          </cell>
          <cell r="F76">
            <v>10.412000000000001</v>
          </cell>
        </row>
        <row r="77">
          <cell r="B77" t="str">
            <v>Statutory tax rate</v>
          </cell>
          <cell r="C77">
            <v>0.36520971796223067</v>
          </cell>
          <cell r="D77">
            <v>0.5913012221423436</v>
          </cell>
          <cell r="E77">
            <v>0.40731384724115299</v>
          </cell>
          <cell r="F77">
            <v>0.37813580484056852</v>
          </cell>
          <cell r="H77">
            <v>0.32364976429312847</v>
          </cell>
          <cell r="J77">
            <v>0.36207709431617907</v>
          </cell>
          <cell r="L77">
            <v>0.36750724212165659</v>
          </cell>
          <cell r="N77">
            <v>0.3729296918045219</v>
          </cell>
          <cell r="P77">
            <v>0.373</v>
          </cell>
          <cell r="R77">
            <v>0.373</v>
          </cell>
          <cell r="T77">
            <v>0.373</v>
          </cell>
          <cell r="V77">
            <v>0.373</v>
          </cell>
          <cell r="AB77" t="str">
            <v>mstag:statutoryTaxRate</v>
          </cell>
          <cell r="AC77">
            <v>0</v>
          </cell>
          <cell r="AD77" t="str">
            <v>ms_eqr_gcim_Decimal:ms_eqr_gcim_decimal</v>
          </cell>
          <cell r="AE77" t="b">
            <v>0</v>
          </cell>
          <cell r="AF77" t="b">
            <v>0</v>
          </cell>
        </row>
        <row r="78">
          <cell r="B78" t="str">
            <v xml:space="preserve">     State taxes</v>
          </cell>
          <cell r="C78">
            <v>-22.923999999999999</v>
          </cell>
          <cell r="D78">
            <v>0.95899999999999996</v>
          </cell>
          <cell r="E78">
            <v>16.219000000000001</v>
          </cell>
          <cell r="F78">
            <v>0.83699999999999997</v>
          </cell>
        </row>
        <row r="79">
          <cell r="B79" t="str">
            <v>Unrecorded Goodwill</v>
          </cell>
          <cell r="D79">
            <v>0</v>
          </cell>
          <cell r="E79">
            <v>0</v>
          </cell>
          <cell r="F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AB79" t="str">
            <v>mstag:unrecordedGoodwillFromPoolingAndAmortizedOrWrittenOffGoodwill</v>
          </cell>
          <cell r="AC79">
            <v>6</v>
          </cell>
          <cell r="AD79" t="str">
            <v>ISO4217:USD</v>
          </cell>
          <cell r="AE79" t="b">
            <v>0</v>
          </cell>
          <cell r="AF79" t="b">
            <v>0</v>
          </cell>
        </row>
        <row r="80">
          <cell r="B80" t="str">
            <v>Common Dividends</v>
          </cell>
          <cell r="D80">
            <v>0</v>
          </cell>
          <cell r="E80">
            <v>0</v>
          </cell>
          <cell r="F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AB80" t="str">
            <v>mstag:commonDividends</v>
          </cell>
          <cell r="AC80">
            <v>6</v>
          </cell>
          <cell r="AD80" t="str">
            <v>ISO4217:USD</v>
          </cell>
          <cell r="AE80" t="b">
            <v>0</v>
          </cell>
          <cell r="AF80" t="b">
            <v>0</v>
          </cell>
        </row>
        <row r="82">
          <cell r="B82" t="str">
            <v>ROYALTIES</v>
          </cell>
        </row>
        <row r="83">
          <cell r="B83" t="str">
            <v>Rituxan Ex-US Royalty ($M)</v>
          </cell>
          <cell r="N83">
            <v>186.5</v>
          </cell>
          <cell r="P83">
            <v>214.47500000000002</v>
          </cell>
          <cell r="R83">
            <v>231.63300000000001</v>
          </cell>
          <cell r="T83">
            <v>247.84731000000002</v>
          </cell>
          <cell r="V83">
            <v>315.26177832000002</v>
          </cell>
        </row>
        <row r="84">
          <cell r="B84" t="str">
            <v>Rituxan Royalty Rate (%)</v>
          </cell>
          <cell r="N84">
            <v>0.1</v>
          </cell>
          <cell r="P84">
            <v>0.1</v>
          </cell>
          <cell r="R84">
            <v>0.1</v>
          </cell>
          <cell r="T84">
            <v>0.1</v>
          </cell>
          <cell r="V84">
            <v>0.12</v>
          </cell>
        </row>
        <row r="85">
          <cell r="B85" t="str">
            <v>Avastin Ex-US Royalty ($M)</v>
          </cell>
          <cell r="N85">
            <v>84.75</v>
          </cell>
          <cell r="P85">
            <v>150</v>
          </cell>
          <cell r="R85">
            <v>277.5</v>
          </cell>
          <cell r="T85">
            <v>375</v>
          </cell>
          <cell r="V85">
            <v>435</v>
          </cell>
        </row>
        <row r="86">
          <cell r="B86" t="str">
            <v>Avastin Royalty Rate (%)</v>
          </cell>
          <cell r="N86">
            <v>0.15</v>
          </cell>
          <cell r="P86">
            <v>0.15</v>
          </cell>
          <cell r="R86">
            <v>0.15</v>
          </cell>
          <cell r="T86">
            <v>0.15</v>
          </cell>
          <cell r="V86">
            <v>0.15</v>
          </cell>
        </row>
        <row r="87">
          <cell r="B87" t="str">
            <v>Herceptin Ex-US Royalty ($M)</v>
          </cell>
          <cell r="N87">
            <v>341.875</v>
          </cell>
          <cell r="P87">
            <v>407.96875</v>
          </cell>
          <cell r="R87">
            <v>434.40625</v>
          </cell>
          <cell r="T87">
            <v>452.25156250000003</v>
          </cell>
          <cell r="V87">
            <v>467.241625</v>
          </cell>
        </row>
        <row r="88">
          <cell r="B88" t="str">
            <v>Herceptin Ex-US Sales ($M)</v>
          </cell>
          <cell r="N88">
            <v>1175</v>
          </cell>
          <cell r="P88">
            <v>1468.75</v>
          </cell>
          <cell r="R88">
            <v>1586.25</v>
          </cell>
          <cell r="T88">
            <v>1665.5625</v>
          </cell>
          <cell r="V88">
            <v>1732.1849999999999</v>
          </cell>
        </row>
        <row r="89">
          <cell r="B89" t="str">
            <v>Royalty - $500M</v>
          </cell>
          <cell r="N89">
            <v>100</v>
          </cell>
          <cell r="P89">
            <v>100</v>
          </cell>
          <cell r="R89">
            <v>100</v>
          </cell>
          <cell r="T89">
            <v>100</v>
          </cell>
          <cell r="V89">
            <v>100</v>
          </cell>
        </row>
        <row r="90">
          <cell r="B90" t="str">
            <v>Royalty rate (%)</v>
          </cell>
          <cell r="N90">
            <v>0.2</v>
          </cell>
          <cell r="P90">
            <v>0.2</v>
          </cell>
          <cell r="R90">
            <v>0.2</v>
          </cell>
          <cell r="T90">
            <v>0.2</v>
          </cell>
          <cell r="V90">
            <v>0.2</v>
          </cell>
        </row>
        <row r="91">
          <cell r="B91" t="str">
            <v>Royalty - After $500M</v>
          </cell>
          <cell r="N91">
            <v>241.875</v>
          </cell>
          <cell r="P91">
            <v>307.96875</v>
          </cell>
          <cell r="R91">
            <v>334.40625</v>
          </cell>
          <cell r="T91">
            <v>352.25156250000003</v>
          </cell>
          <cell r="V91">
            <v>367.241625</v>
          </cell>
        </row>
        <row r="92">
          <cell r="B92" t="str">
            <v>Royalty rate (%)</v>
          </cell>
          <cell r="N92">
            <v>0.22500000000000001</v>
          </cell>
          <cell r="P92">
            <v>0.22500000000000001</v>
          </cell>
          <cell r="R92">
            <v>0.22500000000000001</v>
          </cell>
          <cell r="T92">
            <v>0.22500000000000001</v>
          </cell>
          <cell r="V92">
            <v>0.22500000000000001</v>
          </cell>
        </row>
        <row r="93">
          <cell r="B93" t="str">
            <v>Lucentis Ex-US Royalty ($M)</v>
          </cell>
          <cell r="N93">
            <v>0</v>
          </cell>
          <cell r="P93">
            <v>25</v>
          </cell>
          <cell r="R93">
            <v>75</v>
          </cell>
          <cell r="T93">
            <v>112.5</v>
          </cell>
          <cell r="V93">
            <v>137.5</v>
          </cell>
        </row>
        <row r="94">
          <cell r="B94" t="str">
            <v>Lucentis COGS (%)</v>
          </cell>
          <cell r="N94">
            <v>0.25</v>
          </cell>
          <cell r="P94">
            <v>0.25</v>
          </cell>
          <cell r="R94">
            <v>0.25</v>
          </cell>
          <cell r="T94">
            <v>0.25</v>
          </cell>
          <cell r="V94">
            <v>0.25</v>
          </cell>
        </row>
        <row r="95">
          <cell r="B95" t="str">
            <v>Raptiva Ex-US Royalty ($M)</v>
          </cell>
          <cell r="N95">
            <v>6.4756240620749992</v>
          </cell>
          <cell r="P95">
            <v>6.8032906396159953</v>
          </cell>
          <cell r="R95">
            <v>7.1475371459805652</v>
          </cell>
          <cell r="T95">
            <v>7.5092025255671828</v>
          </cell>
          <cell r="V95">
            <v>7.8891681733608801</v>
          </cell>
        </row>
        <row r="96">
          <cell r="B96" t="str">
            <v>Cabilly Royalty ($M)</v>
          </cell>
          <cell r="L96">
            <v>70</v>
          </cell>
          <cell r="N96">
            <v>80.5</v>
          </cell>
          <cell r="O96">
            <v>0.15</v>
          </cell>
          <cell r="P96">
            <v>92.574999999999989</v>
          </cell>
          <cell r="Q96">
            <v>0.15</v>
          </cell>
          <cell r="R96">
            <v>109.23849999999999</v>
          </cell>
          <cell r="S96">
            <v>0.18</v>
          </cell>
          <cell r="T96">
            <v>131.08619999999999</v>
          </cell>
          <cell r="U96">
            <v>0.2</v>
          </cell>
          <cell r="V96">
            <v>163.85774999999998</v>
          </cell>
          <cell r="W96">
            <v>0.25</v>
          </cell>
        </row>
        <row r="97">
          <cell r="B97" t="str">
            <v>Other Royalties ($M)</v>
          </cell>
          <cell r="N97">
            <v>440</v>
          </cell>
          <cell r="P97">
            <v>484.00000000000006</v>
          </cell>
          <cell r="Q97">
            <v>0.1</v>
          </cell>
          <cell r="R97">
            <v>532.40000000000009</v>
          </cell>
          <cell r="S97">
            <v>0.1</v>
          </cell>
          <cell r="T97">
            <v>585.6400000000001</v>
          </cell>
          <cell r="U97">
            <v>0.1</v>
          </cell>
          <cell r="V97">
            <v>644.20400000000018</v>
          </cell>
          <cell r="W97">
            <v>0.1</v>
          </cell>
        </row>
        <row r="98">
          <cell r="B98" t="str">
            <v>TOTAL ROYALTIES</v>
          </cell>
          <cell r="N98">
            <v>1140.100624062075</v>
          </cell>
          <cell r="P98">
            <v>1380.8220406396158</v>
          </cell>
          <cell r="R98">
            <v>1667.3252871459806</v>
          </cell>
          <cell r="T98">
            <v>1911.8342750255674</v>
          </cell>
          <cell r="V98">
            <v>2170.954321493361</v>
          </cell>
        </row>
        <row r="100">
          <cell r="B100" t="str">
            <v>COGS</v>
          </cell>
        </row>
        <row r="101">
          <cell r="B101" t="str">
            <v>Rituxan US COGS ($M)</v>
          </cell>
          <cell r="P101">
            <v>297.70939266920749</v>
          </cell>
          <cell r="R101">
            <v>330.13953356203393</v>
          </cell>
          <cell r="T101">
            <v>361.38962422106277</v>
          </cell>
          <cell r="V101">
            <v>394.45</v>
          </cell>
        </row>
        <row r="102">
          <cell r="B102" t="str">
            <v>Rituxan US COGS (%)</v>
          </cell>
          <cell r="P102">
            <v>0.1225</v>
          </cell>
          <cell r="R102">
            <v>0.1225</v>
          </cell>
          <cell r="T102">
            <v>0.1225</v>
          </cell>
          <cell r="V102">
            <v>0.1225</v>
          </cell>
        </row>
        <row r="103">
          <cell r="B103" t="str">
            <v>Avastin US COGS ($M)</v>
          </cell>
          <cell r="P103">
            <v>338.15533923473572</v>
          </cell>
          <cell r="R103">
            <v>456.25553488746044</v>
          </cell>
          <cell r="T103">
            <v>554.96139897186345</v>
          </cell>
          <cell r="V103">
            <v>636.86124684705521</v>
          </cell>
        </row>
        <row r="104">
          <cell r="B104" t="str">
            <v>Avastin US COGS (%)</v>
          </cell>
          <cell r="P104">
            <v>0.12</v>
          </cell>
          <cell r="R104">
            <v>0.12</v>
          </cell>
          <cell r="T104">
            <v>0.12</v>
          </cell>
          <cell r="V104">
            <v>0.12</v>
          </cell>
        </row>
        <row r="105">
          <cell r="B105" t="str">
            <v>Herceptin US COGS ($M)</v>
          </cell>
          <cell r="P105">
            <v>188.03529142302889</v>
          </cell>
          <cell r="R105">
            <v>201.22743725388611</v>
          </cell>
          <cell r="T105">
            <v>212.71601293076185</v>
          </cell>
          <cell r="V105">
            <v>224.86570784728451</v>
          </cell>
        </row>
        <row r="106">
          <cell r="B106" t="str">
            <v>Herceptin US COGS (%)</v>
          </cell>
          <cell r="P106">
            <v>0.12</v>
          </cell>
          <cell r="R106">
            <v>0.12</v>
          </cell>
          <cell r="T106">
            <v>0.12</v>
          </cell>
          <cell r="V106">
            <v>0.12</v>
          </cell>
        </row>
        <row r="107">
          <cell r="B107" t="str">
            <v>Lucentis COGS ($M)</v>
          </cell>
          <cell r="P107">
            <v>36</v>
          </cell>
          <cell r="R107">
            <v>44</v>
          </cell>
          <cell r="T107">
            <v>48</v>
          </cell>
          <cell r="V107">
            <v>52</v>
          </cell>
        </row>
        <row r="108">
          <cell r="B108" t="str">
            <v>Lucentis COGS (%)</v>
          </cell>
          <cell r="P108">
            <v>0.08</v>
          </cell>
          <cell r="R108">
            <v>0.08</v>
          </cell>
          <cell r="T108">
            <v>0.08</v>
          </cell>
          <cell r="V108">
            <v>0.08</v>
          </cell>
        </row>
        <row r="109">
          <cell r="B109" t="str">
            <v>Tarceva COGS ($M)</v>
          </cell>
          <cell r="P109">
            <v>27.886133421897846</v>
          </cell>
          <cell r="R109">
            <v>31.358250204914803</v>
          </cell>
          <cell r="T109">
            <v>35.47312452941911</v>
          </cell>
          <cell r="V109">
            <v>38.738165421000645</v>
          </cell>
        </row>
        <row r="110">
          <cell r="B110" t="str">
            <v>Xolair COGS ($M)</v>
          </cell>
          <cell r="P110">
            <v>162.55170346477431</v>
          </cell>
          <cell r="R110">
            <v>171.61265728377725</v>
          </cell>
          <cell r="T110">
            <v>183.38112754984081</v>
          </cell>
          <cell r="V110">
            <v>196.51930021468087</v>
          </cell>
        </row>
        <row r="111">
          <cell r="B111" t="str">
            <v>Xolair US COGS ($M))</v>
          </cell>
          <cell r="P111">
            <v>142.32963792903627</v>
          </cell>
          <cell r="R111">
            <v>145.82952372571125</v>
          </cell>
          <cell r="T111">
            <v>148.31606591087103</v>
          </cell>
          <cell r="V111">
            <v>151.8113466249944</v>
          </cell>
        </row>
        <row r="112">
          <cell r="B112" t="str">
            <v>Xolair EU COGS ($M))</v>
          </cell>
          <cell r="P112">
            <v>20.222065535738043</v>
          </cell>
          <cell r="R112">
            <v>25.783133558066002</v>
          </cell>
          <cell r="T112">
            <v>35.065061638969773</v>
          </cell>
          <cell r="V112">
            <v>44.707953589686461</v>
          </cell>
        </row>
        <row r="113">
          <cell r="B113" t="str">
            <v>Raptiva COGS ($M)</v>
          </cell>
          <cell r="P113">
            <v>31.567268567818218</v>
          </cell>
          <cell r="R113">
            <v>30.496158489517082</v>
          </cell>
          <cell r="T113">
            <v>32.039264109086645</v>
          </cell>
          <cell r="V113">
            <v>33.660450873006425</v>
          </cell>
        </row>
        <row r="114">
          <cell r="B114" t="str">
            <v>Raptiva US COGS ($M))</v>
          </cell>
          <cell r="P114">
            <v>17.960687288586225</v>
          </cell>
          <cell r="R114">
            <v>16.20108419755595</v>
          </cell>
          <cell r="T114">
            <v>17.020859057952279</v>
          </cell>
          <cell r="V114">
            <v>17.882114526284667</v>
          </cell>
        </row>
        <row r="115">
          <cell r="B115" t="str">
            <v>Raptiva EU COGS ($M))</v>
          </cell>
          <cell r="P115">
            <v>13.606581279231992</v>
          </cell>
          <cell r="R115">
            <v>14.295074291961132</v>
          </cell>
          <cell r="T115">
            <v>15.018405051134366</v>
          </cell>
          <cell r="V115">
            <v>15.778336346721762</v>
          </cell>
        </row>
        <row r="116">
          <cell r="B116" t="str">
            <v>Other Products COGS ($M)</v>
          </cell>
          <cell r="P116">
            <v>102.06479999999999</v>
          </cell>
          <cell r="R116">
            <v>99.100427999999994</v>
          </cell>
          <cell r="T116">
            <v>103.70992788</v>
          </cell>
          <cell r="V116">
            <v>108.44268931079999</v>
          </cell>
        </row>
        <row r="117">
          <cell r="B117" t="str">
            <v>Other Products COGS (%)</v>
          </cell>
          <cell r="P117">
            <v>0.12</v>
          </cell>
          <cell r="R117">
            <v>0.12</v>
          </cell>
          <cell r="T117">
            <v>0.12</v>
          </cell>
          <cell r="V117">
            <v>0.12</v>
          </cell>
        </row>
        <row r="118">
          <cell r="B118" t="str">
            <v>COGS on Roche Transfer ($M)</v>
          </cell>
          <cell r="P118">
            <v>322.79000000000002</v>
          </cell>
          <cell r="R118">
            <v>254.88000000000002</v>
          </cell>
          <cell r="T118">
            <v>171.13247999999999</v>
          </cell>
          <cell r="V118">
            <v>89.022239999999996</v>
          </cell>
        </row>
        <row r="119">
          <cell r="B119" t="str">
            <v>Roche Transfer COGS (%)</v>
          </cell>
          <cell r="P119">
            <v>0.8</v>
          </cell>
          <cell r="R119">
            <v>0.8</v>
          </cell>
          <cell r="T119">
            <v>0.8</v>
          </cell>
          <cell r="V119">
            <v>0.8</v>
          </cell>
        </row>
        <row r="120">
          <cell r="B120" t="str">
            <v>TOTAL COGS</v>
          </cell>
          <cell r="P120">
            <v>1506.7599287814626</v>
          </cell>
          <cell r="R120">
            <v>1619.0699996815897</v>
          </cell>
          <cell r="T120">
            <v>1702.8029601920346</v>
          </cell>
          <cell r="V120">
            <v>1774.5598005138277</v>
          </cell>
        </row>
        <row r="122">
          <cell r="B122" t="str">
            <v>COLLABORATIVE</v>
          </cell>
        </row>
        <row r="123">
          <cell r="B123" t="str">
            <v>Rituxan Payment ($M)</v>
          </cell>
          <cell r="P123">
            <v>777.68984207466451</v>
          </cell>
          <cell r="R123">
            <v>862.40531216204784</v>
          </cell>
          <cell r="T123">
            <v>944.03820204685792</v>
          </cell>
          <cell r="V123">
            <v>1030.4000000000001</v>
          </cell>
        </row>
        <row r="124">
          <cell r="B124" t="str">
            <v>Rituxan payment (%)</v>
          </cell>
          <cell r="P124">
            <v>0.32</v>
          </cell>
          <cell r="R124">
            <v>0.32</v>
          </cell>
          <cell r="T124">
            <v>0.32</v>
          </cell>
          <cell r="V124">
            <v>0.32</v>
          </cell>
        </row>
        <row r="125">
          <cell r="B125" t="str">
            <v>Tarceva Payment ($M)</v>
          </cell>
          <cell r="P125">
            <v>266.36815092992731</v>
          </cell>
          <cell r="R125">
            <v>327.82412715160547</v>
          </cell>
          <cell r="T125">
            <v>371.21780755890063</v>
          </cell>
          <cell r="V125">
            <v>409.91598848300674</v>
          </cell>
        </row>
        <row r="126">
          <cell r="B126" t="str">
            <v>Xolair Payment ($M)</v>
          </cell>
          <cell r="P126">
            <v>138.81661576624447</v>
          </cell>
          <cell r="R126">
            <v>148.69147088800673</v>
          </cell>
          <cell r="T126">
            <v>162.04257240736885</v>
          </cell>
          <cell r="V126">
            <v>170.5998248078663</v>
          </cell>
        </row>
        <row r="127">
          <cell r="B127" t="str">
            <v>Payment to Genentech ($M)</v>
          </cell>
          <cell r="P127">
            <v>147.07395919333749</v>
          </cell>
          <cell r="R127">
            <v>169.2664114673434</v>
          </cell>
          <cell r="T127">
            <v>193.95177849883135</v>
          </cell>
          <cell r="V127">
            <v>212.53588527499218</v>
          </cell>
        </row>
        <row r="128">
          <cell r="B128" t="str">
            <v>DNA Ex-US Profit ($M)</v>
          </cell>
          <cell r="P128">
            <v>-8.2573434270930335</v>
          </cell>
          <cell r="R128">
            <v>-20.574940579336669</v>
          </cell>
          <cell r="T128">
            <v>-31.909206091462487</v>
          </cell>
          <cell r="V128">
            <v>-41.936060467125898</v>
          </cell>
        </row>
        <row r="129">
          <cell r="B129" t="str">
            <v>Raptiva Payment ($M)</v>
          </cell>
          <cell r="P129">
            <v>8.3907251221930608</v>
          </cell>
          <cell r="R129">
            <v>10.244803242572145</v>
          </cell>
          <cell r="T129">
            <v>10.763190286646296</v>
          </cell>
          <cell r="V129">
            <v>11.307807715150599</v>
          </cell>
        </row>
        <row r="130">
          <cell r="B130" t="str">
            <v>TOTAL PAYMENTS</v>
          </cell>
          <cell r="P130">
            <v>1191.2653338930295</v>
          </cell>
          <cell r="R130">
            <v>1349.1657134442321</v>
          </cell>
          <cell r="T130">
            <v>1488.0617722997738</v>
          </cell>
          <cell r="V130">
            <v>1622.2236210060237</v>
          </cell>
        </row>
        <row r="132">
          <cell r="B132" t="str">
            <v>Current Basic Shares Outstanding</v>
          </cell>
          <cell r="H132">
            <v>1060.6189999999999</v>
          </cell>
          <cell r="AB132" t="str">
            <v>mstag:currentBasicSharesOutstanding</v>
          </cell>
          <cell r="AC132">
            <v>6</v>
          </cell>
          <cell r="AD132" t="str">
            <v>ms_eqr_gcim_Decimal:ms_eqr_gcim_decimal</v>
          </cell>
          <cell r="AE132" t="b">
            <v>0</v>
          </cell>
          <cell r="AF132" t="b">
            <v>0</v>
          </cell>
        </row>
        <row r="133">
          <cell r="B133" t="str">
            <v>Current Diluted Shares Outstanding</v>
          </cell>
          <cell r="H133">
            <v>1087.087</v>
          </cell>
          <cell r="AB133" t="str">
            <v>mstag:currentDilutedSharesOutstanding</v>
          </cell>
          <cell r="AC133">
            <v>6</v>
          </cell>
          <cell r="AD133" t="str">
            <v>ms_eqr_gcim_Decimal:ms_eqr_gcim_decimal</v>
          </cell>
          <cell r="AE133" t="b">
            <v>0</v>
          </cell>
          <cell r="AF133" t="b">
            <v>0</v>
          </cell>
        </row>
        <row r="134">
          <cell r="B134" t="str">
            <v>INTEREST CALCULATIONS</v>
          </cell>
        </row>
        <row r="135">
          <cell r="B135" t="str">
            <v>Cash and Equivalents</v>
          </cell>
          <cell r="E135">
            <v>2662.1325000000002</v>
          </cell>
          <cell r="F135">
            <v>2233.3744999999999</v>
          </cell>
          <cell r="H135">
            <v>2268.1279213292892</v>
          </cell>
          <cell r="J135">
            <v>2857.4149213292885</v>
          </cell>
          <cell r="L135">
            <v>3297.1620000000003</v>
          </cell>
          <cell r="N135">
            <v>3702.1018822259666</v>
          </cell>
          <cell r="P135">
            <v>3956.9953926703447</v>
          </cell>
          <cell r="R135">
            <v>5353.6803473669661</v>
          </cell>
          <cell r="T135">
            <v>7971.2501559284938</v>
          </cell>
          <cell r="V135">
            <v>11307.855993356801</v>
          </cell>
        </row>
        <row r="136">
          <cell r="B136" t="str">
            <v>Return on assets</v>
          </cell>
          <cell r="E136">
            <v>5.071310312315408E-2</v>
          </cell>
          <cell r="F136">
            <v>4.8277617569288091E-2</v>
          </cell>
          <cell r="H136">
            <v>4.0917886124169002E-2</v>
          </cell>
          <cell r="J136">
            <v>2.8906197480614865E-2</v>
          </cell>
          <cell r="L136">
            <v>4.2733720696768916E-2</v>
          </cell>
          <cell r="N136">
            <v>3.5000000000000003E-2</v>
          </cell>
          <cell r="P136">
            <v>0.04</v>
          </cell>
          <cell r="R136">
            <v>0.04</v>
          </cell>
          <cell r="T136">
            <v>3.7499999999999999E-2</v>
          </cell>
          <cell r="V136">
            <v>3.7499999999999999E-2</v>
          </cell>
        </row>
        <row r="137">
          <cell r="B137" t="str">
            <v>Interest Income</v>
          </cell>
          <cell r="E137">
            <v>135.005</v>
          </cell>
          <cell r="F137">
            <v>107.822</v>
          </cell>
          <cell r="H137">
            <v>92.807000000000002</v>
          </cell>
          <cell r="J137">
            <v>82.597000000000008</v>
          </cell>
          <cell r="L137">
            <v>140.9</v>
          </cell>
          <cell r="N137">
            <v>129.57356587790883</v>
          </cell>
          <cell r="P137">
            <v>158.27981570681379</v>
          </cell>
          <cell r="R137">
            <v>214.14721389467866</v>
          </cell>
          <cell r="T137">
            <v>298.9218808473185</v>
          </cell>
          <cell r="V137">
            <v>424.04459975088002</v>
          </cell>
        </row>
        <row r="138">
          <cell r="B138" t="str">
            <v>Test</v>
          </cell>
          <cell r="J138">
            <v>82.597000000000008</v>
          </cell>
          <cell r="L138">
            <v>140.9</v>
          </cell>
          <cell r="N138">
            <v>228</v>
          </cell>
          <cell r="P138">
            <v>158.27981570681379</v>
          </cell>
          <cell r="R138">
            <v>214.14721389467866</v>
          </cell>
          <cell r="T138">
            <v>298.9218808473185</v>
          </cell>
          <cell r="V138">
            <v>424.04459975088002</v>
          </cell>
        </row>
        <row r="140">
          <cell r="B140" t="str">
            <v>Interest Bearing Obligations</v>
          </cell>
          <cell r="F140">
            <v>0</v>
          </cell>
          <cell r="H140">
            <v>412.25</v>
          </cell>
          <cell r="J140">
            <v>412.25</v>
          </cell>
          <cell r="L140">
            <v>2083.0239999999999</v>
          </cell>
          <cell r="N140">
            <v>2083.0239999999999</v>
          </cell>
          <cell r="P140">
            <v>2083.0239999999999</v>
          </cell>
          <cell r="R140">
            <v>2083.0239999999999</v>
          </cell>
          <cell r="T140">
            <v>2083.0239999999999</v>
          </cell>
          <cell r="V140">
            <v>1583.0239999999999</v>
          </cell>
        </row>
        <row r="141">
          <cell r="B141" t="str">
            <v>Interest Rate</v>
          </cell>
          <cell r="F141">
            <v>9.3300000000000005E-5</v>
          </cell>
          <cell r="L141">
            <v>-4.7720552427624449E-2</v>
          </cell>
          <cell r="N141">
            <v>-4.7720552427624449E-2</v>
          </cell>
          <cell r="P141">
            <v>-4.7720552427624449E-2</v>
          </cell>
          <cell r="R141">
            <v>-4.7720552427624449E-2</v>
          </cell>
          <cell r="T141">
            <v>-4.7720552427624449E-2</v>
          </cell>
          <cell r="V141">
            <v>-4.8895693305976408E-2</v>
          </cell>
        </row>
        <row r="142">
          <cell r="B142" t="str">
            <v>Interest Expense</v>
          </cell>
          <cell r="F142">
            <v>0</v>
          </cell>
          <cell r="L142">
            <v>-99.403055999999992</v>
          </cell>
          <cell r="N142">
            <v>-99.403055999999992</v>
          </cell>
          <cell r="P142">
            <v>-99.403055999999992</v>
          </cell>
          <cell r="R142">
            <v>-99.403055999999992</v>
          </cell>
          <cell r="T142">
            <v>-99.403055999999992</v>
          </cell>
          <cell r="V142">
            <v>-77.403055999999992</v>
          </cell>
        </row>
        <row r="143">
          <cell r="B143" t="str">
            <v>Debt #1</v>
          </cell>
          <cell r="F143">
            <v>554.72799999999995</v>
          </cell>
          <cell r="H143">
            <v>623.29</v>
          </cell>
          <cell r="J143">
            <v>703.12</v>
          </cell>
          <cell r="L143">
            <v>583.02399999999989</v>
          </cell>
          <cell r="N143">
            <v>583.02399999999989</v>
          </cell>
          <cell r="P143">
            <v>583.02399999999989</v>
          </cell>
          <cell r="R143">
            <v>583.02399999999989</v>
          </cell>
          <cell r="T143">
            <v>583.02399999999989</v>
          </cell>
          <cell r="V143">
            <v>83.023999999999887</v>
          </cell>
        </row>
        <row r="144">
          <cell r="B144" t="str">
            <v>Interest Rate</v>
          </cell>
          <cell r="F144">
            <v>9.3300000000000005E-5</v>
          </cell>
          <cell r="H144">
            <v>9.3300000000000005E-5</v>
          </cell>
          <cell r="J144">
            <v>9.3300000000000005E-5</v>
          </cell>
          <cell r="L144">
            <v>4.3999999999999997E-2</v>
          </cell>
          <cell r="N144">
            <v>4.3999999999999997E-2</v>
          </cell>
          <cell r="P144">
            <v>4.3999999999999997E-2</v>
          </cell>
          <cell r="R144">
            <v>4.3999999999999997E-2</v>
          </cell>
          <cell r="T144">
            <v>4.3999999999999997E-2</v>
          </cell>
          <cell r="V144">
            <v>4.3999999999999997E-2</v>
          </cell>
        </row>
        <row r="145">
          <cell r="B145" t="str">
            <v>Interest Expense</v>
          </cell>
          <cell r="F145">
            <v>5.17561224E-2</v>
          </cell>
          <cell r="H145">
            <v>5.8152956999999998E-2</v>
          </cell>
          <cell r="J145">
            <v>6.5601095999999998E-2</v>
          </cell>
          <cell r="L145">
            <v>25.653055999999992</v>
          </cell>
          <cell r="N145">
            <v>25.653055999999992</v>
          </cell>
          <cell r="P145">
            <v>25.653055999999992</v>
          </cell>
          <cell r="R145">
            <v>25.653055999999992</v>
          </cell>
          <cell r="T145">
            <v>25.653055999999992</v>
          </cell>
          <cell r="V145">
            <v>3.653055999999995</v>
          </cell>
        </row>
        <row r="146">
          <cell r="B146" t="str">
            <v>Debt #2</v>
          </cell>
          <cell r="F146">
            <v>0</v>
          </cell>
          <cell r="H146">
            <v>0</v>
          </cell>
          <cell r="J146">
            <v>0</v>
          </cell>
          <cell r="L146">
            <v>1000</v>
          </cell>
          <cell r="N146">
            <v>1000</v>
          </cell>
          <cell r="P146">
            <v>1000</v>
          </cell>
          <cell r="R146">
            <v>1000</v>
          </cell>
          <cell r="T146">
            <v>1000</v>
          </cell>
          <cell r="V146">
            <v>1000</v>
          </cell>
        </row>
        <row r="147">
          <cell r="B147" t="str">
            <v>Interest Rate</v>
          </cell>
          <cell r="F147">
            <v>9.3300000000000005E-5</v>
          </cell>
          <cell r="H147">
            <v>0</v>
          </cell>
          <cell r="J147">
            <v>0</v>
          </cell>
          <cell r="L147">
            <v>4.7500000000000001E-2</v>
          </cell>
          <cell r="N147">
            <v>4.7500000000000001E-2</v>
          </cell>
          <cell r="P147">
            <v>4.7500000000000001E-2</v>
          </cell>
          <cell r="R147">
            <v>4.7500000000000001E-2</v>
          </cell>
          <cell r="T147">
            <v>4.7500000000000001E-2</v>
          </cell>
          <cell r="V147">
            <v>4.7500000000000001E-2</v>
          </cell>
        </row>
        <row r="148">
          <cell r="B148" t="str">
            <v>Interest Expense</v>
          </cell>
          <cell r="F148">
            <v>0</v>
          </cell>
          <cell r="H148">
            <v>0</v>
          </cell>
          <cell r="J148">
            <v>0</v>
          </cell>
          <cell r="L148">
            <v>47.5</v>
          </cell>
          <cell r="N148">
            <v>47.5</v>
          </cell>
          <cell r="P148">
            <v>47.5</v>
          </cell>
          <cell r="R148">
            <v>47.5</v>
          </cell>
          <cell r="T148">
            <v>47.5</v>
          </cell>
          <cell r="V148">
            <v>47.5</v>
          </cell>
        </row>
        <row r="149">
          <cell r="B149" t="str">
            <v>Debt #3</v>
          </cell>
          <cell r="F149">
            <v>-1590.366</v>
          </cell>
          <cell r="H149">
            <v>0</v>
          </cell>
          <cell r="J149">
            <v>0</v>
          </cell>
          <cell r="L149">
            <v>500</v>
          </cell>
          <cell r="N149">
            <v>500</v>
          </cell>
          <cell r="P149">
            <v>500</v>
          </cell>
          <cell r="R149">
            <v>500</v>
          </cell>
          <cell r="T149">
            <v>500</v>
          </cell>
          <cell r="V149">
            <v>500</v>
          </cell>
        </row>
        <row r="150">
          <cell r="B150" t="str">
            <v>Interest Rate</v>
          </cell>
          <cell r="F150">
            <v>9.3300000000000005E-5</v>
          </cell>
          <cell r="H150">
            <v>0</v>
          </cell>
          <cell r="J150">
            <v>0</v>
          </cell>
          <cell r="L150">
            <v>5.2499999999999998E-2</v>
          </cell>
          <cell r="N150">
            <v>5.2499999999999998E-2</v>
          </cell>
          <cell r="P150">
            <v>5.2499999999999998E-2</v>
          </cell>
          <cell r="R150">
            <v>5.2499999999999998E-2</v>
          </cell>
          <cell r="T150">
            <v>5.2499999999999998E-2</v>
          </cell>
          <cell r="V150">
            <v>5.2499999999999998E-2</v>
          </cell>
        </row>
        <row r="151">
          <cell r="B151" t="str">
            <v>Interest Expense</v>
          </cell>
          <cell r="F151">
            <v>-0.1483811478</v>
          </cell>
          <cell r="H151">
            <v>0</v>
          </cell>
          <cell r="J151">
            <v>0</v>
          </cell>
          <cell r="L151">
            <v>26.25</v>
          </cell>
          <cell r="N151">
            <v>26.25</v>
          </cell>
          <cell r="P151">
            <v>26.25</v>
          </cell>
          <cell r="R151">
            <v>26.25</v>
          </cell>
          <cell r="T151">
            <v>26.25</v>
          </cell>
          <cell r="V151">
            <v>26.25</v>
          </cell>
        </row>
        <row r="152">
          <cell r="D152" t="str">
            <v>2000A</v>
          </cell>
          <cell r="E152" t="str">
            <v>2001A</v>
          </cell>
          <cell r="F152" t="str">
            <v>2002A</v>
          </cell>
          <cell r="H152" t="str">
            <v>2003A</v>
          </cell>
          <cell r="I152" t="str">
            <v>2004E</v>
          </cell>
          <cell r="J152" t="str">
            <v>2005E</v>
          </cell>
          <cell r="K152" t="str">
            <v>2006E</v>
          </cell>
          <cell r="L152" t="str">
            <v>2007E</v>
          </cell>
          <cell r="M152" t="str">
            <v>2008E</v>
          </cell>
          <cell r="N152" t="str">
            <v>2009E</v>
          </cell>
          <cell r="O152" t="str">
            <v>2010E</v>
          </cell>
        </row>
        <row r="153">
          <cell r="B153" t="str">
            <v>RNOA</v>
          </cell>
        </row>
        <row r="154">
          <cell r="B154" t="str">
            <v>ROE</v>
          </cell>
        </row>
        <row r="155">
          <cell r="B155" t="str">
            <v>Operating Margin</v>
          </cell>
          <cell r="D155">
            <v>0.23109484655632037</v>
          </cell>
          <cell r="E155">
            <v>0.22983837826413678</v>
          </cell>
          <cell r="F155">
            <v>0.24055711926676934</v>
          </cell>
          <cell r="H155">
            <v>0.25620589712352548</v>
          </cell>
          <cell r="I155">
            <v>0.28551025707608407</v>
          </cell>
          <cell r="J155">
            <v>0.31694360513418202</v>
          </cell>
          <cell r="K155">
            <v>0.35652364818932586</v>
          </cell>
          <cell r="L155">
            <v>0.39079481045141073</v>
          </cell>
          <cell r="M155">
            <v>0.41648950612743196</v>
          </cell>
          <cell r="N155">
            <v>0.43423843372946319</v>
          </cell>
          <cell r="O155">
            <v>0.45021543822400667</v>
          </cell>
        </row>
        <row r="193">
          <cell r="N193">
            <v>44.013721844271316</v>
          </cell>
          <cell r="P193">
            <v>33.29289312441832</v>
          </cell>
          <cell r="R193">
            <v>26.640507605564949</v>
          </cell>
          <cell r="T193">
            <v>22.631589842223477</v>
          </cell>
          <cell r="V193">
            <v>19.727270219320825</v>
          </cell>
        </row>
      </sheetData>
      <sheetData sheetId="8" refreshError="1">
        <row r="1">
          <cell r="B1" t="str">
            <v>Genentech Balance Sheet</v>
          </cell>
          <cell r="Y1" t="str">
            <v>ElementName</v>
          </cell>
          <cell r="Z1" t="str">
            <v>ScaleOverride</v>
          </cell>
          <cell r="AA1" t="str">
            <v>UnitOverride</v>
          </cell>
          <cell r="AB1" t="str">
            <v>ReverseSign</v>
          </cell>
          <cell r="AC1" t="str">
            <v>IsDrivingAssumption</v>
          </cell>
          <cell r="AD1" t="str">
            <v>SegmentID</v>
          </cell>
        </row>
        <row r="2">
          <cell r="B2" t="str">
            <v>(Dollars in millions)</v>
          </cell>
        </row>
        <row r="4">
          <cell r="C4" t="str">
            <v>1999A</v>
          </cell>
          <cell r="D4" t="str">
            <v>2000A</v>
          </cell>
          <cell r="E4" t="str">
            <v>2001A</v>
          </cell>
          <cell r="F4" t="str">
            <v>2002A</v>
          </cell>
          <cell r="H4" t="str">
            <v>2003A</v>
          </cell>
          <cell r="J4" t="str">
            <v>2004A</v>
          </cell>
          <cell r="L4" t="str">
            <v>2005A</v>
          </cell>
          <cell r="N4" t="str">
            <v>2006E</v>
          </cell>
          <cell r="P4" t="str">
            <v>2007E</v>
          </cell>
          <cell r="R4" t="str">
            <v>2008E</v>
          </cell>
          <cell r="T4" t="str">
            <v>2009E</v>
          </cell>
          <cell r="V4" t="str">
            <v>2010E</v>
          </cell>
        </row>
        <row r="6">
          <cell r="B6" t="str">
            <v>Cash and Equivalents</v>
          </cell>
          <cell r="D6">
            <v>551.38400000000001</v>
          </cell>
          <cell r="E6">
            <v>395.20299999999997</v>
          </cell>
          <cell r="F6">
            <v>208.13</v>
          </cell>
          <cell r="H6">
            <v>371.87784265857772</v>
          </cell>
          <cell r="J6">
            <v>270.12299999999999</v>
          </cell>
          <cell r="L6">
            <v>1225.511</v>
          </cell>
          <cell r="N6">
            <v>1001.9307644519329</v>
          </cell>
          <cell r="P6">
            <v>1235.2980208887568</v>
          </cell>
          <cell r="R6">
            <v>2295.300673845175</v>
          </cell>
          <cell r="T6">
            <v>3470.4376380118142</v>
          </cell>
          <cell r="V6">
            <v>4968.5123487017881</v>
          </cell>
          <cell r="Y6" t="str">
            <v>mstag:cashAndCashEquivalents</v>
          </cell>
          <cell r="Z6">
            <v>6</v>
          </cell>
          <cell r="AA6" t="str">
            <v>ISO4217:USD</v>
          </cell>
          <cell r="AB6" t="b">
            <v>0</v>
          </cell>
          <cell r="AC6" t="b">
            <v>0</v>
          </cell>
        </row>
        <row r="7">
          <cell r="B7" t="str">
            <v>Short-term investments</v>
          </cell>
          <cell r="D7">
            <v>642.47500000000002</v>
          </cell>
          <cell r="E7">
            <v>952.875</v>
          </cell>
          <cell r="F7">
            <v>826.44200000000001</v>
          </cell>
          <cell r="H7">
            <v>1139.6199999999999</v>
          </cell>
          <cell r="J7">
            <v>1394.982</v>
          </cell>
          <cell r="L7">
            <v>1139.6500000000001</v>
          </cell>
          <cell r="N7">
            <v>1139.6500000000001</v>
          </cell>
          <cell r="P7">
            <v>1264.6500000000001</v>
          </cell>
          <cell r="R7">
            <v>1514.65</v>
          </cell>
          <cell r="T7">
            <v>2014.65</v>
          </cell>
          <cell r="V7">
            <v>2514.65</v>
          </cell>
          <cell r="Y7" t="str">
            <v>mstag:shortTermInvestments</v>
          </cell>
          <cell r="Z7">
            <v>6</v>
          </cell>
          <cell r="AA7" t="str">
            <v>ISO4217:USD</v>
          </cell>
          <cell r="AB7" t="b">
            <v>0</v>
          </cell>
          <cell r="AC7" t="b">
            <v>0</v>
          </cell>
        </row>
        <row r="8">
          <cell r="B8" t="str">
            <v>Receivables, trade</v>
          </cell>
          <cell r="D8">
            <v>162.12100000000001</v>
          </cell>
          <cell r="E8">
            <v>193.203</v>
          </cell>
          <cell r="F8">
            <v>224.34299999999999</v>
          </cell>
          <cell r="H8">
            <v>299.10000000000002</v>
          </cell>
          <cell r="J8">
            <v>599.05200000000002</v>
          </cell>
          <cell r="L8">
            <v>554.45500000000004</v>
          </cell>
          <cell r="N8">
            <v>760.03000000000009</v>
          </cell>
          <cell r="P8">
            <v>939.92709347360233</v>
          </cell>
          <cell r="R8">
            <v>1092.0155259251524</v>
          </cell>
          <cell r="T8">
            <v>1122.0029983011618</v>
          </cell>
          <cell r="V8">
            <v>1051.8739766251808</v>
          </cell>
          <cell r="Y8" t="str">
            <v>mstag:tradeReceivables</v>
          </cell>
          <cell r="Z8">
            <v>6</v>
          </cell>
          <cell r="AA8" t="str">
            <v>ISO4217:USD</v>
          </cell>
          <cell r="AB8" t="b">
            <v>0</v>
          </cell>
          <cell r="AC8" t="b">
            <v>0</v>
          </cell>
        </row>
        <row r="9">
          <cell r="B9" t="str">
            <v>Receivables, other</v>
          </cell>
          <cell r="D9">
            <v>63.262</v>
          </cell>
          <cell r="E9">
            <v>77.837000000000003</v>
          </cell>
          <cell r="F9">
            <v>87.244</v>
          </cell>
          <cell r="H9">
            <v>73.400000000000006</v>
          </cell>
          <cell r="J9">
            <v>140.83799999999999</v>
          </cell>
          <cell r="L9">
            <v>232.297</v>
          </cell>
          <cell r="N9">
            <v>228.00900000000001</v>
          </cell>
          <cell r="P9">
            <v>281.9781280420807</v>
          </cell>
          <cell r="R9">
            <v>327.6046577775457</v>
          </cell>
          <cell r="T9">
            <v>336.60089949034852</v>
          </cell>
          <cell r="V9">
            <v>315.56219298755423</v>
          </cell>
          <cell r="Y9" t="str">
            <v>mstag:tradeReceivables</v>
          </cell>
          <cell r="Z9">
            <v>6</v>
          </cell>
          <cell r="AA9" t="str">
            <v>ISO4217:USD</v>
          </cell>
          <cell r="AB9" t="b">
            <v>0</v>
          </cell>
          <cell r="AC9" t="b">
            <v>0</v>
          </cell>
        </row>
        <row r="10">
          <cell r="B10" t="str">
            <v>Receivables, related party</v>
          </cell>
          <cell r="D10">
            <v>36.298999999999999</v>
          </cell>
          <cell r="E10">
            <v>66.867000000000004</v>
          </cell>
          <cell r="F10">
            <v>106.89400000000001</v>
          </cell>
          <cell r="H10">
            <v>201.6</v>
          </cell>
          <cell r="J10">
            <v>217.482</v>
          </cell>
          <cell r="L10">
            <v>296.66399999999999</v>
          </cell>
          <cell r="N10">
            <v>532.02100000000007</v>
          </cell>
          <cell r="P10">
            <v>657.94896543152163</v>
          </cell>
          <cell r="R10">
            <v>764.41086814760661</v>
          </cell>
          <cell r="T10">
            <v>785.40209881081319</v>
          </cell>
          <cell r="V10">
            <v>736.31178363762649</v>
          </cell>
          <cell r="Y10" t="str">
            <v>mstag:tradeReceivables</v>
          </cell>
          <cell r="Z10">
            <v>6</v>
          </cell>
          <cell r="AA10" t="str">
            <v>ISO4217:USD</v>
          </cell>
          <cell r="AB10" t="b">
            <v>0</v>
          </cell>
          <cell r="AC10" t="b">
            <v>0</v>
          </cell>
        </row>
        <row r="11">
          <cell r="B11" t="str">
            <v>Inventories</v>
          </cell>
          <cell r="D11">
            <v>265.83</v>
          </cell>
          <cell r="E11">
            <v>356.94600000000003</v>
          </cell>
          <cell r="F11">
            <v>393.54199999999997</v>
          </cell>
          <cell r="H11">
            <v>469.64</v>
          </cell>
          <cell r="J11">
            <v>590.34299999999996</v>
          </cell>
          <cell r="L11">
            <v>702.51499999999999</v>
          </cell>
          <cell r="N11">
            <v>905.58340740740744</v>
          </cell>
          <cell r="P11">
            <v>1076.257091986759</v>
          </cell>
          <cell r="R11">
            <v>1156.4785712011355</v>
          </cell>
          <cell r="T11">
            <v>1216.2878287085962</v>
          </cell>
          <cell r="V11">
            <v>1267.542714652734</v>
          </cell>
          <cell r="Y11" t="str">
            <v>mstag:inventories</v>
          </cell>
          <cell r="Z11">
            <v>6</v>
          </cell>
          <cell r="AA11" t="str">
            <v>ISO4217:USD</v>
          </cell>
          <cell r="AB11" t="b">
            <v>0</v>
          </cell>
          <cell r="AC11" t="b">
            <v>0</v>
          </cell>
        </row>
        <row r="12">
          <cell r="B12" t="str">
            <v>Deferred Tax assets, Net</v>
          </cell>
          <cell r="D12">
            <v>40.619</v>
          </cell>
          <cell r="E12">
            <v>139.56700000000001</v>
          </cell>
          <cell r="F12">
            <v>82.299000000000007</v>
          </cell>
          <cell r="H12">
            <v>121.88500000000001</v>
          </cell>
          <cell r="J12">
            <v>148.37</v>
          </cell>
          <cell r="L12">
            <v>166.56100000000001</v>
          </cell>
          <cell r="N12">
            <v>166.56100000000001</v>
          </cell>
          <cell r="P12">
            <v>166.56100000000001</v>
          </cell>
          <cell r="R12">
            <v>166.56100000000001</v>
          </cell>
          <cell r="T12">
            <v>166.56100000000001</v>
          </cell>
          <cell r="V12">
            <v>166.56100000000001</v>
          </cell>
          <cell r="Y12" t="str">
            <v>mstag:deferredTaxAssets</v>
          </cell>
          <cell r="Z12">
            <v>6</v>
          </cell>
          <cell r="AA12" t="str">
            <v>ISO4217:USD</v>
          </cell>
          <cell r="AB12" t="b">
            <v>0</v>
          </cell>
          <cell r="AC12" t="b">
            <v>0</v>
          </cell>
        </row>
        <row r="13">
          <cell r="B13" t="str">
            <v>Prepaid expenses and other current assets</v>
          </cell>
          <cell r="D13">
            <v>31.431999999999999</v>
          </cell>
          <cell r="E13">
            <v>38.896000000000001</v>
          </cell>
          <cell r="F13">
            <v>153.88999999999999</v>
          </cell>
          <cell r="H13">
            <v>79.44</v>
          </cell>
          <cell r="J13">
            <v>61.567</v>
          </cell>
          <cell r="L13">
            <v>101.126</v>
          </cell>
          <cell r="N13">
            <v>146.7183995</v>
          </cell>
          <cell r="P13">
            <v>206.13904673091855</v>
          </cell>
          <cell r="R13">
            <v>229.39290678567519</v>
          </cell>
          <cell r="T13">
            <v>247.56660773485044</v>
          </cell>
          <cell r="V13">
            <v>260.2368329771009</v>
          </cell>
          <cell r="Y13" t="str">
            <v>mstag:prepaidExpenses</v>
          </cell>
          <cell r="Z13">
            <v>6</v>
          </cell>
          <cell r="AA13" t="str">
            <v>ISO4217:USD</v>
          </cell>
          <cell r="AB13" t="b">
            <v>0</v>
          </cell>
          <cell r="AC13" t="b">
            <v>0</v>
          </cell>
        </row>
        <row r="14">
          <cell r="B14" t="str">
            <v>Total current assets</v>
          </cell>
          <cell r="D14">
            <v>1793.4219999999998</v>
          </cell>
          <cell r="E14">
            <v>2221.3940000000002</v>
          </cell>
          <cell r="F14">
            <v>2082.7840000000001</v>
          </cell>
          <cell r="H14">
            <v>2756.5628426585777</v>
          </cell>
          <cell r="J14">
            <v>3422.7570000000001</v>
          </cell>
          <cell r="L14">
            <v>4418.7790000000005</v>
          </cell>
          <cell r="N14">
            <v>4880.5035713593397</v>
          </cell>
          <cell r="P14">
            <v>5828.7593465536384</v>
          </cell>
          <cell r="R14">
            <v>7546.4142036822905</v>
          </cell>
          <cell r="T14">
            <v>9359.5090710575842</v>
          </cell>
          <cell r="V14">
            <v>11281.250849581984</v>
          </cell>
        </row>
        <row r="16">
          <cell r="B16" t="str">
            <v>Long-term marketable securities</v>
          </cell>
          <cell r="D16">
            <v>1265.5150000000001</v>
          </cell>
          <cell r="E16">
            <v>1516.8130000000001</v>
          </cell>
          <cell r="F16">
            <v>567.28599999999994</v>
          </cell>
          <cell r="H16">
            <v>1422.9</v>
          </cell>
          <cell r="J16">
            <v>1115.327</v>
          </cell>
          <cell r="L16">
            <v>1448.731</v>
          </cell>
          <cell r="N16">
            <v>1448.731</v>
          </cell>
          <cell r="P16">
            <v>1823.731</v>
          </cell>
          <cell r="R16">
            <v>2573.7309999999998</v>
          </cell>
          <cell r="T16">
            <v>4073.7309999999998</v>
          </cell>
          <cell r="V16">
            <v>5573.7309999999998</v>
          </cell>
          <cell r="Y16" t="str">
            <v>mstag:longTermInvestmentsNonOperating</v>
          </cell>
          <cell r="Z16">
            <v>6</v>
          </cell>
          <cell r="AA16" t="str">
            <v>ISO4217:USD</v>
          </cell>
          <cell r="AB16" t="b">
            <v>0</v>
          </cell>
          <cell r="AC16" t="b">
            <v>0</v>
          </cell>
        </row>
        <row r="17">
          <cell r="B17" t="str">
            <v>Property, Plant &amp; Equipment, Net</v>
          </cell>
          <cell r="D17">
            <v>752.89200000000005</v>
          </cell>
          <cell r="E17">
            <v>865.66800000000001</v>
          </cell>
          <cell r="F17">
            <v>1068.7339999999999</v>
          </cell>
          <cell r="H17">
            <v>1617.9</v>
          </cell>
          <cell r="J17">
            <v>2091.404</v>
          </cell>
          <cell r="L17">
            <v>3349.3519999999999</v>
          </cell>
          <cell r="N17">
            <v>4554.0653750000001</v>
          </cell>
          <cell r="P17">
            <v>5783.2955411838693</v>
          </cell>
          <cell r="R17">
            <v>6559.6626049312927</v>
          </cell>
          <cell r="T17">
            <v>6993.2829589207122</v>
          </cell>
          <cell r="V17">
            <v>7343.3774458479393</v>
          </cell>
          <cell r="Y17" t="str">
            <v>mstag:propertyPlantAndEquipmentNet</v>
          </cell>
          <cell r="Z17">
            <v>6</v>
          </cell>
          <cell r="AA17" t="str">
            <v>ISO4217:USD</v>
          </cell>
          <cell r="AB17" t="b">
            <v>0</v>
          </cell>
          <cell r="AC17" t="b">
            <v>0</v>
          </cell>
        </row>
        <row r="18">
          <cell r="B18" t="str">
            <v>Goodwill</v>
          </cell>
          <cell r="D18">
            <v>1280.3589999999999</v>
          </cell>
          <cell r="E18">
            <v>1302.4929999999999</v>
          </cell>
          <cell r="F18">
            <v>1315.09</v>
          </cell>
          <cell r="H18">
            <v>1315.09</v>
          </cell>
          <cell r="J18">
            <v>1315.019</v>
          </cell>
          <cell r="L18">
            <v>1315.019</v>
          </cell>
          <cell r="N18">
            <v>1315.019</v>
          </cell>
          <cell r="P18">
            <v>1315.019</v>
          </cell>
          <cell r="R18">
            <v>1315.019</v>
          </cell>
          <cell r="T18">
            <v>1315.019</v>
          </cell>
          <cell r="V18">
            <v>1315.019</v>
          </cell>
          <cell r="Y18" t="str">
            <v>mstag:goodwill</v>
          </cell>
          <cell r="Z18">
            <v>6</v>
          </cell>
          <cell r="AA18" t="str">
            <v>ISO4217:USD</v>
          </cell>
          <cell r="AB18" t="b">
            <v>0</v>
          </cell>
          <cell r="AC18" t="b">
            <v>0</v>
          </cell>
        </row>
        <row r="19">
          <cell r="B19" t="str">
            <v>Intangible Assets, net</v>
          </cell>
          <cell r="D19">
            <v>1455.778</v>
          </cell>
          <cell r="E19">
            <v>1113.299</v>
          </cell>
          <cell r="F19">
            <v>927.5</v>
          </cell>
          <cell r="H19">
            <v>810.81</v>
          </cell>
          <cell r="J19">
            <v>668.39099999999996</v>
          </cell>
          <cell r="L19">
            <v>573.779</v>
          </cell>
          <cell r="N19">
            <v>452.07900000000001</v>
          </cell>
          <cell r="P19">
            <v>331.57900000000001</v>
          </cell>
          <cell r="R19">
            <v>213.07900000000001</v>
          </cell>
          <cell r="T19">
            <v>213.07900000000001</v>
          </cell>
          <cell r="V19">
            <v>213.07900000000001</v>
          </cell>
          <cell r="Y19" t="str">
            <v>mstag:otherIntangibleAssets</v>
          </cell>
          <cell r="Z19">
            <v>6</v>
          </cell>
          <cell r="AA19" t="str">
            <v>ISO4217:USD</v>
          </cell>
          <cell r="AB19" t="b">
            <v>0</v>
          </cell>
          <cell r="AC19" t="b">
            <v>0</v>
          </cell>
        </row>
        <row r="20">
          <cell r="B20" t="str">
            <v>Other assets</v>
          </cell>
          <cell r="D20">
            <v>168.458</v>
          </cell>
          <cell r="E20">
            <v>127.22200000000001</v>
          </cell>
          <cell r="F20">
            <v>796.65800000000002</v>
          </cell>
          <cell r="H20">
            <v>812.7</v>
          </cell>
          <cell r="J20">
            <v>790.49700000000007</v>
          </cell>
          <cell r="L20">
            <v>1041.2190000000001</v>
          </cell>
          <cell r="N20">
            <v>1041.2190000000001</v>
          </cell>
          <cell r="P20">
            <v>1041.2190000000001</v>
          </cell>
          <cell r="R20">
            <v>1041.2190000000001</v>
          </cell>
          <cell r="T20">
            <v>1041.2190000000001</v>
          </cell>
          <cell r="V20">
            <v>1041.2190000000001</v>
          </cell>
          <cell r="Y20" t="str">
            <v>mstag:otherAssetsNonOperating</v>
          </cell>
          <cell r="Z20">
            <v>6</v>
          </cell>
          <cell r="AA20" t="str">
            <v>ISO4217:USD</v>
          </cell>
          <cell r="AB20" t="b">
            <v>0</v>
          </cell>
          <cell r="AC20" t="b">
            <v>0</v>
          </cell>
        </row>
        <row r="21">
          <cell r="B21" t="str">
            <v>Total Non-current assets</v>
          </cell>
          <cell r="D21">
            <v>4923.0019999999995</v>
          </cell>
          <cell r="E21">
            <v>4925.4949999999999</v>
          </cell>
          <cell r="F21">
            <v>4675.268</v>
          </cell>
          <cell r="H21">
            <v>5979.4000000000005</v>
          </cell>
          <cell r="J21">
            <v>5980.6379999999999</v>
          </cell>
          <cell r="L21">
            <v>7728.0999999999995</v>
          </cell>
          <cell r="N21">
            <v>8811.1133750000008</v>
          </cell>
          <cell r="P21">
            <v>10294.843541183869</v>
          </cell>
          <cell r="R21">
            <v>11702.710604931293</v>
          </cell>
          <cell r="T21">
            <v>13636.330958920713</v>
          </cell>
          <cell r="V21">
            <v>15486.425445847937</v>
          </cell>
        </row>
        <row r="23">
          <cell r="B23" t="str">
            <v>Total assets</v>
          </cell>
          <cell r="D23">
            <v>6716.4239999999991</v>
          </cell>
          <cell r="E23">
            <v>7146.8890000000001</v>
          </cell>
          <cell r="F23">
            <v>6758.0519999999997</v>
          </cell>
          <cell r="H23">
            <v>8735.9628426585787</v>
          </cell>
          <cell r="J23">
            <v>9403.3950000000004</v>
          </cell>
          <cell r="L23">
            <v>12146.879000000001</v>
          </cell>
          <cell r="N23">
            <v>13691.61694635934</v>
          </cell>
          <cell r="P23">
            <v>16123.602887737507</v>
          </cell>
          <cell r="R23">
            <v>19249.124808613582</v>
          </cell>
          <cell r="T23">
            <v>22995.840029978295</v>
          </cell>
          <cell r="V23">
            <v>26767.676295429919</v>
          </cell>
        </row>
        <row r="25">
          <cell r="B25" t="str">
            <v>Accounts Payable</v>
          </cell>
          <cell r="D25">
            <v>39.113999999999997</v>
          </cell>
          <cell r="E25">
            <v>33.347999999999999</v>
          </cell>
          <cell r="F25">
            <v>51.38</v>
          </cell>
          <cell r="H25">
            <v>59.7</v>
          </cell>
          <cell r="J25">
            <v>104.83199999999999</v>
          </cell>
          <cell r="L25">
            <v>338.97800000000001</v>
          </cell>
          <cell r="N25">
            <v>407.51253333333335</v>
          </cell>
          <cell r="P25">
            <v>456.59391781256443</v>
          </cell>
          <cell r="R25">
            <v>490.62727263078477</v>
          </cell>
          <cell r="T25">
            <v>516.00089702788932</v>
          </cell>
          <cell r="V25">
            <v>537.7453940950993</v>
          </cell>
          <cell r="Y25" t="str">
            <v>mstag:tradeAndOtherPayables</v>
          </cell>
          <cell r="Z25">
            <v>6</v>
          </cell>
          <cell r="AA25" t="str">
            <v>ISO4217:USD</v>
          </cell>
          <cell r="AB25" t="b">
            <v>0</v>
          </cell>
          <cell r="AC25" t="b">
            <v>0</v>
          </cell>
        </row>
        <row r="26">
          <cell r="B26" t="str">
            <v>Accrued liabilities-related parties</v>
          </cell>
          <cell r="D26">
            <v>12.265000000000001</v>
          </cell>
          <cell r="E26">
            <v>45.259</v>
          </cell>
          <cell r="F26">
            <v>51.116</v>
          </cell>
          <cell r="H26">
            <v>58.1</v>
          </cell>
          <cell r="J26">
            <v>108.416</v>
          </cell>
          <cell r="L26">
            <v>131.774</v>
          </cell>
          <cell r="N26">
            <v>123.24345558</v>
          </cell>
          <cell r="P26">
            <v>137.42603115394573</v>
          </cell>
          <cell r="R26">
            <v>145.28217429759431</v>
          </cell>
          <cell r="T26">
            <v>148.53996464091026</v>
          </cell>
          <cell r="V26">
            <v>147.46753868702385</v>
          </cell>
          <cell r="Y26" t="str">
            <v>mstag:accruedExpenses</v>
          </cell>
          <cell r="Z26">
            <v>6</v>
          </cell>
          <cell r="AA26" t="str">
            <v>ISO4217:USD</v>
          </cell>
          <cell r="AB26" t="b">
            <v>0</v>
          </cell>
          <cell r="AC26" t="b">
            <v>0</v>
          </cell>
        </row>
        <row r="27">
          <cell r="B27" t="str">
            <v>Accrued Liabilities</v>
          </cell>
          <cell r="D27">
            <v>386.48</v>
          </cell>
          <cell r="E27">
            <v>415.95499999999998</v>
          </cell>
          <cell r="F27">
            <v>524.12</v>
          </cell>
          <cell r="H27">
            <v>707.75</v>
          </cell>
          <cell r="J27">
            <v>978.79300000000012</v>
          </cell>
          <cell r="L27">
            <v>1144.7530000000002</v>
          </cell>
          <cell r="N27">
            <v>1109.19110022</v>
          </cell>
          <cell r="P27">
            <v>1236.8342803855116</v>
          </cell>
          <cell r="R27">
            <v>1307.5395686783486</v>
          </cell>
          <cell r="T27">
            <v>1336.8596817681923</v>
          </cell>
          <cell r="V27">
            <v>1327.2078481832148</v>
          </cell>
          <cell r="Y27" t="str">
            <v>mstag:accruedExpenses</v>
          </cell>
          <cell r="Z27">
            <v>6</v>
          </cell>
          <cell r="AA27" t="str">
            <v>ISO4217:USD</v>
          </cell>
          <cell r="AB27" t="b">
            <v>0</v>
          </cell>
          <cell r="AC27" t="b">
            <v>0</v>
          </cell>
        </row>
        <row r="28">
          <cell r="B28" t="str">
            <v>Deferred Revenue</v>
          </cell>
          <cell r="D28">
            <v>15.433</v>
          </cell>
          <cell r="E28">
            <v>19.542999999999999</v>
          </cell>
          <cell r="F28">
            <v>20.044</v>
          </cell>
          <cell r="H28">
            <v>47.48</v>
          </cell>
          <cell r="J28">
            <v>45.988999999999997</v>
          </cell>
          <cell r="L28">
            <v>44.326999999999998</v>
          </cell>
          <cell r="N28">
            <v>68.402699999999996</v>
          </cell>
          <cell r="P28">
            <v>84.593438412624209</v>
          </cell>
          <cell r="R28">
            <v>98.281397333263726</v>
          </cell>
          <cell r="T28">
            <v>109.39529233436328</v>
          </cell>
          <cell r="V28">
            <v>118.33582237033283</v>
          </cell>
          <cell r="Y28" t="str">
            <v>mstag:deferredRevenue</v>
          </cell>
          <cell r="Z28">
            <v>6</v>
          </cell>
          <cell r="AA28" t="str">
            <v>ISO4217:USD</v>
          </cell>
          <cell r="AB28" t="b">
            <v>0</v>
          </cell>
          <cell r="AC28" t="b">
            <v>0</v>
          </cell>
        </row>
        <row r="29">
          <cell r="B29" t="str">
            <v>Total current liabilities</v>
          </cell>
          <cell r="D29">
            <v>453.29200000000003</v>
          </cell>
          <cell r="E29">
            <v>514.10500000000002</v>
          </cell>
          <cell r="F29">
            <v>646.66</v>
          </cell>
          <cell r="H29">
            <v>873.03</v>
          </cell>
          <cell r="J29">
            <v>1238.0300000000002</v>
          </cell>
          <cell r="L29">
            <v>1659.8320000000001</v>
          </cell>
          <cell r="N29">
            <v>1708.3497891333334</v>
          </cell>
          <cell r="P29">
            <v>1915.447667764646</v>
          </cell>
          <cell r="R29">
            <v>2041.7304129399913</v>
          </cell>
          <cell r="T29">
            <v>2110.7958357713551</v>
          </cell>
          <cell r="V29">
            <v>2130.7566033356707</v>
          </cell>
        </row>
        <row r="31">
          <cell r="B31" t="str">
            <v xml:space="preserve">Long-Term Debt </v>
          </cell>
          <cell r="D31">
            <v>149.69200000000001</v>
          </cell>
          <cell r="E31">
            <v>149.69200000000001</v>
          </cell>
          <cell r="F31">
            <v>0</v>
          </cell>
          <cell r="H31">
            <v>412.25</v>
          </cell>
          <cell r="J31">
            <v>412.25</v>
          </cell>
          <cell r="L31">
            <v>2083.0239999999999</v>
          </cell>
          <cell r="N31">
            <v>2083.0239999999999</v>
          </cell>
          <cell r="P31">
            <v>2083.0239999999999</v>
          </cell>
          <cell r="R31">
            <v>2083.0239999999999</v>
          </cell>
          <cell r="T31">
            <v>2083.0239999999999</v>
          </cell>
          <cell r="V31">
            <v>1583.0239999999999</v>
          </cell>
          <cell r="Y31" t="str">
            <v>mstag:longTermDebt</v>
          </cell>
          <cell r="Z31">
            <v>6</v>
          </cell>
          <cell r="AA31" t="str">
            <v>ISO4217:USD</v>
          </cell>
          <cell r="AB31" t="b">
            <v>0</v>
          </cell>
          <cell r="AC31" t="b">
            <v>0</v>
          </cell>
        </row>
        <row r="32">
          <cell r="B32" t="str">
            <v>Deferred Tax Liabilities</v>
          </cell>
          <cell r="D32">
            <v>349.84800000000001</v>
          </cell>
          <cell r="E32">
            <v>447.80900000000003</v>
          </cell>
          <cell r="F32">
            <v>148.24700000000001</v>
          </cell>
          <cell r="H32">
            <v>26.056000000000001</v>
          </cell>
          <cell r="J32">
            <v>0</v>
          </cell>
          <cell r="L32">
            <v>0</v>
          </cell>
          <cell r="N32">
            <v>0</v>
          </cell>
          <cell r="P32">
            <v>0</v>
          </cell>
          <cell r="R32">
            <v>0</v>
          </cell>
          <cell r="T32">
            <v>0</v>
          </cell>
          <cell r="V32">
            <v>0</v>
          </cell>
          <cell r="Y32" t="str">
            <v>mstag:deferredTaxLiabilities</v>
          </cell>
          <cell r="Z32">
            <v>6</v>
          </cell>
          <cell r="AA32" t="str">
            <v>ISO4217:USD</v>
          </cell>
          <cell r="AB32" t="b">
            <v>0</v>
          </cell>
          <cell r="AC32" t="b">
            <v>0</v>
          </cell>
        </row>
        <row r="33">
          <cell r="B33" t="str">
            <v>Deferred Revenue</v>
          </cell>
          <cell r="D33">
            <v>87.6</v>
          </cell>
          <cell r="E33">
            <v>68.033000000000001</v>
          </cell>
          <cell r="F33">
            <v>69.533000000000001</v>
          </cell>
          <cell r="H33">
            <v>281.2</v>
          </cell>
          <cell r="J33">
            <v>267.80500000000001</v>
          </cell>
          <cell r="L33">
            <v>220.09299999999999</v>
          </cell>
          <cell r="N33">
            <v>387.61529999999999</v>
          </cell>
          <cell r="P33">
            <v>479.36281767153719</v>
          </cell>
          <cell r="R33">
            <v>556.92791822182778</v>
          </cell>
          <cell r="T33">
            <v>619.90665656139197</v>
          </cell>
          <cell r="V33">
            <v>670.56966009855273</v>
          </cell>
          <cell r="Y33" t="str">
            <v>mstag:deferredRevenue</v>
          </cell>
          <cell r="Z33">
            <v>6</v>
          </cell>
          <cell r="AA33" t="str">
            <v>ISO4217:USD</v>
          </cell>
          <cell r="AB33" t="b">
            <v>0</v>
          </cell>
          <cell r="AC33" t="b">
            <v>0</v>
          </cell>
        </row>
        <row r="34">
          <cell r="B34" t="str">
            <v>Litigation related and other long-term liabilities</v>
          </cell>
          <cell r="D34">
            <v>1.7889999999999999</v>
          </cell>
          <cell r="E34">
            <v>47.430999999999997</v>
          </cell>
          <cell r="F34">
            <v>554.72799999999995</v>
          </cell>
          <cell r="H34">
            <v>623.29</v>
          </cell>
          <cell r="J34">
            <v>703.12</v>
          </cell>
          <cell r="L34">
            <v>714.346</v>
          </cell>
          <cell r="N34">
            <v>766.346</v>
          </cell>
          <cell r="P34">
            <v>818.346</v>
          </cell>
          <cell r="R34">
            <v>870.346</v>
          </cell>
          <cell r="T34">
            <v>922.346</v>
          </cell>
          <cell r="V34">
            <v>974.346</v>
          </cell>
          <cell r="Y34" t="str">
            <v>mstag:otherLiabilitiesNonOperating</v>
          </cell>
          <cell r="Z34">
            <v>6</v>
          </cell>
          <cell r="AA34" t="str">
            <v>ISO4217:USD</v>
          </cell>
          <cell r="AB34" t="b">
            <v>0</v>
          </cell>
          <cell r="AC34" t="b">
            <v>0</v>
          </cell>
        </row>
        <row r="35">
          <cell r="B35" t="str">
            <v>Total liabilities</v>
          </cell>
          <cell r="D35">
            <v>1042.221</v>
          </cell>
          <cell r="E35">
            <v>1227.07</v>
          </cell>
          <cell r="F35">
            <v>1419.1679999999999</v>
          </cell>
          <cell r="H35">
            <v>2215.826</v>
          </cell>
          <cell r="J35">
            <v>2621.2050000000004</v>
          </cell>
          <cell r="L35">
            <v>4677.2950000000001</v>
          </cell>
          <cell r="N35">
            <v>4945.3350891333339</v>
          </cell>
          <cell r="P35">
            <v>5296.1804854361835</v>
          </cell>
          <cell r="R35">
            <v>5552.0283311618186</v>
          </cell>
          <cell r="T35">
            <v>5736.0724923327471</v>
          </cell>
          <cell r="V35">
            <v>5358.6962634342235</v>
          </cell>
        </row>
        <row r="37">
          <cell r="B37" t="str">
            <v>Stockholders' equity:</v>
          </cell>
          <cell r="J37">
            <v>642.94200000000001</v>
          </cell>
        </row>
        <row r="38">
          <cell r="B38" t="str">
            <v xml:space="preserve">Common Stock </v>
          </cell>
          <cell r="D38">
            <v>10.51</v>
          </cell>
          <cell r="E38">
            <v>10.566000000000001</v>
          </cell>
          <cell r="F38">
            <v>10.256</v>
          </cell>
          <cell r="H38">
            <v>10.494999999999999</v>
          </cell>
          <cell r="J38">
            <v>20.943000000000001</v>
          </cell>
          <cell r="L38">
            <v>21.074000000000002</v>
          </cell>
          <cell r="N38">
            <v>21.074000000000002</v>
          </cell>
          <cell r="P38">
            <v>21.074000000000002</v>
          </cell>
          <cell r="R38">
            <v>21.074000000000002</v>
          </cell>
          <cell r="T38">
            <v>21.074000000000002</v>
          </cell>
          <cell r="V38">
            <v>21.074000000000002</v>
          </cell>
          <cell r="Y38" t="str">
            <v>mstag:commonStock</v>
          </cell>
          <cell r="Z38">
            <v>6</v>
          </cell>
          <cell r="AA38" t="str">
            <v>ISO4217:USD</v>
          </cell>
          <cell r="AB38" t="b">
            <v>0</v>
          </cell>
          <cell r="AC38" t="b">
            <v>0</v>
          </cell>
        </row>
        <row r="39">
          <cell r="B39" t="str">
            <v>APIC</v>
          </cell>
          <cell r="D39">
            <v>6651.4279999999999</v>
          </cell>
          <cell r="E39">
            <v>6794.8310000000001</v>
          </cell>
          <cell r="F39">
            <v>6650.3519999999999</v>
          </cell>
          <cell r="H39">
            <v>7370.26</v>
          </cell>
          <cell r="J39">
            <v>8002.7539999999999</v>
          </cell>
          <cell r="L39">
            <v>9262.6790000000001</v>
          </cell>
          <cell r="N39">
            <v>8807.5888275460075</v>
          </cell>
          <cell r="P39">
            <v>8542.5238553393174</v>
          </cell>
          <cell r="R39">
            <v>8402.1209406899634</v>
          </cell>
          <cell r="T39">
            <v>8385.5884743906445</v>
          </cell>
          <cell r="V39">
            <v>8403.9596403285959</v>
          </cell>
          <cell r="Y39" t="str">
            <v>mstag:additionalPaidInCapital</v>
          </cell>
          <cell r="Z39">
            <v>6</v>
          </cell>
          <cell r="AA39" t="str">
            <v>ISO4217:USD</v>
          </cell>
          <cell r="AB39" t="b">
            <v>0</v>
          </cell>
          <cell r="AC39" t="b">
            <v>0</v>
          </cell>
        </row>
        <row r="40">
          <cell r="B40" t="str">
            <v>(Accumulated Deficit) Retained Earnings</v>
          </cell>
          <cell r="D40">
            <v>-1319.3530000000001</v>
          </cell>
          <cell r="E40">
            <v>-1197.3</v>
          </cell>
          <cell r="F40">
            <v>-1590.366</v>
          </cell>
          <cell r="H40">
            <v>-1157.4680000000001</v>
          </cell>
          <cell r="J40">
            <v>-1532.4549999999999</v>
          </cell>
          <cell r="L40">
            <v>-2067.5909999999999</v>
          </cell>
          <cell r="N40">
            <v>-335.80297031999976</v>
          </cell>
          <cell r="P40">
            <v>2010.4025469620071</v>
          </cell>
          <cell r="R40">
            <v>5020.4795367618008</v>
          </cell>
          <cell r="T40">
            <v>8599.6830632549063</v>
          </cell>
          <cell r="V40">
            <v>12730.524391667106</v>
          </cell>
          <cell r="Y40" t="str">
            <v>mstag:retainedEarnings</v>
          </cell>
          <cell r="Z40">
            <v>6</v>
          </cell>
          <cell r="AA40" t="str">
            <v>ISO4217:USD</v>
          </cell>
          <cell r="AB40" t="b">
            <v>0</v>
          </cell>
          <cell r="AC40" t="b">
            <v>0</v>
          </cell>
        </row>
        <row r="41">
          <cell r="B41" t="str">
            <v>Accumulated Other Comprehensive Income</v>
          </cell>
          <cell r="D41">
            <v>331.61799999999999</v>
          </cell>
          <cell r="E41">
            <v>311.72199999999998</v>
          </cell>
          <cell r="F41">
            <v>268.642</v>
          </cell>
          <cell r="H41">
            <v>296.9026437</v>
          </cell>
          <cell r="J41">
            <v>290.94799999999998</v>
          </cell>
          <cell r="L41">
            <v>253.422</v>
          </cell>
          <cell r="N41">
            <v>253.422</v>
          </cell>
          <cell r="P41">
            <v>253.422</v>
          </cell>
          <cell r="R41">
            <v>253.422</v>
          </cell>
          <cell r="T41">
            <v>253.422</v>
          </cell>
          <cell r="V41">
            <v>253.422</v>
          </cell>
          <cell r="Y41" t="str">
            <v>mstag:accumulatedOtherComprehensiveIncomeLossAndReserves</v>
          </cell>
          <cell r="Z41">
            <v>6</v>
          </cell>
          <cell r="AA41" t="str">
            <v>ISO4217:USD</v>
          </cell>
          <cell r="AB41" t="b">
            <v>0</v>
          </cell>
          <cell r="AC41" t="b">
            <v>0</v>
          </cell>
        </row>
        <row r="42">
          <cell r="B42" t="str">
            <v>Total stockholders' equity</v>
          </cell>
          <cell r="D42">
            <v>5674.2030000000004</v>
          </cell>
          <cell r="E42">
            <v>5919.8189999999995</v>
          </cell>
          <cell r="F42">
            <v>5338.884</v>
          </cell>
          <cell r="H42">
            <v>6520.1896437000005</v>
          </cell>
          <cell r="J42">
            <v>6782.1900000000005</v>
          </cell>
          <cell r="L42">
            <v>7469.5839999999998</v>
          </cell>
          <cell r="N42">
            <v>8746.2818572260094</v>
          </cell>
          <cell r="P42">
            <v>10827.422402301325</v>
          </cell>
          <cell r="R42">
            <v>13697.096477451765</v>
          </cell>
          <cell r="T42">
            <v>17259.767537645552</v>
          </cell>
          <cell r="V42">
            <v>21408.980031995699</v>
          </cell>
        </row>
        <row r="44">
          <cell r="B44" t="str">
            <v>Total Liabilities and Equity</v>
          </cell>
          <cell r="D44">
            <v>6716.4240000000009</v>
          </cell>
          <cell r="E44">
            <v>7146.8889999999992</v>
          </cell>
          <cell r="F44">
            <v>6758.0519999999997</v>
          </cell>
          <cell r="H44">
            <v>8736.0156437000005</v>
          </cell>
          <cell r="J44">
            <v>9403.3950000000004</v>
          </cell>
          <cell r="L44">
            <v>12146.879000000001</v>
          </cell>
          <cell r="N44">
            <v>13691.616946359343</v>
          </cell>
          <cell r="P44">
            <v>16123.602887737508</v>
          </cell>
          <cell r="R44">
            <v>19249.124808613582</v>
          </cell>
          <cell r="T44">
            <v>22995.840029978299</v>
          </cell>
          <cell r="V44">
            <v>26767.676295429923</v>
          </cell>
        </row>
        <row r="45">
          <cell r="J45">
            <v>0</v>
          </cell>
          <cell r="L45">
            <v>0</v>
          </cell>
          <cell r="N45">
            <v>0</v>
          </cell>
          <cell r="P45">
            <v>0</v>
          </cell>
          <cell r="R45">
            <v>0</v>
          </cell>
          <cell r="T45">
            <v>0</v>
          </cell>
          <cell r="V45">
            <v>0</v>
          </cell>
        </row>
        <row r="46">
          <cell r="J46">
            <v>0</v>
          </cell>
          <cell r="L46">
            <v>0</v>
          </cell>
          <cell r="N46">
            <v>0</v>
          </cell>
          <cell r="P46">
            <v>0</v>
          </cell>
          <cell r="R46">
            <v>0</v>
          </cell>
          <cell r="T46">
            <v>0</v>
          </cell>
          <cell r="V46">
            <v>0</v>
          </cell>
        </row>
        <row r="48">
          <cell r="B48" t="str">
            <v>change in OCI</v>
          </cell>
          <cell r="E48">
            <v>-13.619999999999948</v>
          </cell>
          <cell r="F48">
            <v>-41.321999999999832</v>
          </cell>
          <cell r="H48">
            <v>28.549801041422199</v>
          </cell>
          <cell r="J48">
            <v>-6.5446836999998368</v>
          </cell>
          <cell r="L48">
            <v>-37.672239999998425</v>
          </cell>
          <cell r="N48">
            <v>0</v>
          </cell>
          <cell r="P48">
            <v>-5.6843418860808015E-13</v>
          </cell>
          <cell r="R48">
            <v>7.9580786405131221E-13</v>
          </cell>
          <cell r="T48">
            <v>-7.3896444519050419E-13</v>
          </cell>
          <cell r="V48">
            <v>-5.1159076974727213E-13</v>
          </cell>
        </row>
        <row r="49">
          <cell r="B49" t="str">
            <v>Related to Common Stock &amp; Apic</v>
          </cell>
          <cell r="H49">
            <v>129.84699999999998</v>
          </cell>
          <cell r="J49">
            <v>1159.2129600000001</v>
          </cell>
          <cell r="L49">
            <v>1813.9807600000015</v>
          </cell>
          <cell r="N49">
            <v>0</v>
          </cell>
          <cell r="P49">
            <v>-5.6843418860808015E-13</v>
          </cell>
          <cell r="R49">
            <v>7.9580786405131221E-13</v>
          </cell>
          <cell r="T49">
            <v>-7.3896444519050419E-13</v>
          </cell>
          <cell r="V49">
            <v>-5.1159076974727213E-13</v>
          </cell>
        </row>
        <row r="50">
          <cell r="B50" t="str">
            <v>Related to Retained Earnings</v>
          </cell>
          <cell r="H50">
            <v>-129.55784265857778</v>
          </cell>
          <cell r="J50">
            <v>-1159.8029999999999</v>
          </cell>
          <cell r="L50">
            <v>-1814.127</v>
          </cell>
          <cell r="N50">
            <v>0</v>
          </cell>
          <cell r="P50">
            <v>0</v>
          </cell>
          <cell r="R50">
            <v>0</v>
          </cell>
          <cell r="T50">
            <v>0</v>
          </cell>
          <cell r="V50">
            <v>0</v>
          </cell>
        </row>
        <row r="51">
          <cell r="B51" t="str">
            <v>Related to OCI</v>
          </cell>
          <cell r="H51">
            <v>28.260643700000003</v>
          </cell>
          <cell r="J51">
            <v>-5.9546437000000196</v>
          </cell>
          <cell r="L51">
            <v>-37.525999999999982</v>
          </cell>
          <cell r="N51">
            <v>0</v>
          </cell>
          <cell r="P51">
            <v>0</v>
          </cell>
          <cell r="R51">
            <v>0</v>
          </cell>
          <cell r="T51">
            <v>0</v>
          </cell>
          <cell r="V51">
            <v>0</v>
          </cell>
        </row>
        <row r="52">
          <cell r="E52" t="e">
            <v>#REF!</v>
          </cell>
        </row>
        <row r="53">
          <cell r="H53" t="str">
            <v>2003-FY</v>
          </cell>
          <cell r="J53" t="str">
            <v>2004-FY</v>
          </cell>
          <cell r="L53" t="str">
            <v>2005-FY</v>
          </cell>
          <cell r="N53" t="str">
            <v>2006-FY</v>
          </cell>
          <cell r="P53" t="str">
            <v>2007-FY</v>
          </cell>
          <cell r="R53" t="str">
            <v>2008-FY</v>
          </cell>
          <cell r="T53" t="str">
            <v>2009-FY</v>
          </cell>
          <cell r="V53" t="str">
            <v>2010-FY</v>
          </cell>
        </row>
        <row r="54">
          <cell r="B54" t="str">
            <v>CALCULATIONS</v>
          </cell>
          <cell r="D54">
            <v>5663.6930000000002</v>
          </cell>
          <cell r="E54">
            <v>5909.2529999999997</v>
          </cell>
          <cell r="F54">
            <v>5328.6279999999997</v>
          </cell>
        </row>
        <row r="55">
          <cell r="C55">
            <v>1999</v>
          </cell>
          <cell r="D55">
            <v>2000</v>
          </cell>
          <cell r="E55" t="str">
            <v>2001</v>
          </cell>
          <cell r="F55" t="str">
            <v>2002</v>
          </cell>
          <cell r="H55" t="str">
            <v>2003A</v>
          </cell>
          <cell r="J55" t="str">
            <v>2004A</v>
          </cell>
          <cell r="L55" t="str">
            <v>2005E</v>
          </cell>
          <cell r="N55" t="str">
            <v>2006E</v>
          </cell>
          <cell r="P55" t="str">
            <v>2007E</v>
          </cell>
          <cell r="R55" t="str">
            <v>2008E</v>
          </cell>
          <cell r="T55" t="str">
            <v>2009E</v>
          </cell>
          <cell r="V55" t="str">
            <v>2010E</v>
          </cell>
        </row>
        <row r="56">
          <cell r="B56" t="str">
            <v>Revenues</v>
          </cell>
          <cell r="D56">
            <v>1637.3710000009999</v>
          </cell>
          <cell r="E56">
            <v>2044.0319999999999</v>
          </cell>
          <cell r="F56">
            <v>2583.6215596696479</v>
          </cell>
          <cell r="H56">
            <v>3300.2629999999999</v>
          </cell>
          <cell r="J56">
            <v>4621.2</v>
          </cell>
          <cell r="L56">
            <v>6633.4230000000007</v>
          </cell>
          <cell r="N56">
            <v>9120.36</v>
          </cell>
          <cell r="P56">
            <v>11279.125121683228</v>
          </cell>
          <cell r="R56">
            <v>13104.186311101828</v>
          </cell>
          <cell r="T56">
            <v>14586.038977915103</v>
          </cell>
          <cell r="V56">
            <v>15778.109649377711</v>
          </cell>
        </row>
        <row r="57">
          <cell r="B57" t="str">
            <v>Operating expenses</v>
          </cell>
          <cell r="D57">
            <v>1258.9829999999999</v>
          </cell>
          <cell r="E57">
            <v>1574.2349999999999</v>
          </cell>
          <cell r="F57">
            <v>1962.1129999999998</v>
          </cell>
          <cell r="H57">
            <v>2454.7161573414223</v>
          </cell>
          <cell r="J57">
            <v>3301.8</v>
          </cell>
          <cell r="L57">
            <v>4531.0019999999995</v>
          </cell>
          <cell r="N57">
            <v>5868.7359800000004</v>
          </cell>
          <cell r="P57">
            <v>6871.3015576972857</v>
          </cell>
          <cell r="R57">
            <v>7646.4302261891735</v>
          </cell>
          <cell r="T57">
            <v>8252.2202578283486</v>
          </cell>
          <cell r="V57">
            <v>8674.5610992366965</v>
          </cell>
        </row>
        <row r="58">
          <cell r="B58" t="str">
            <v>COGS</v>
          </cell>
          <cell r="D58">
            <v>272.06799999999998</v>
          </cell>
          <cell r="E58">
            <v>354.44200000000001</v>
          </cell>
          <cell r="F58">
            <v>441.63</v>
          </cell>
          <cell r="H58">
            <v>480.15100000000001</v>
          </cell>
          <cell r="J58">
            <v>672.5</v>
          </cell>
          <cell r="L58">
            <v>1011.0629999999999</v>
          </cell>
          <cell r="N58">
            <v>1222.5376000000001</v>
          </cell>
          <cell r="P58">
            <v>1506.7599287814626</v>
          </cell>
          <cell r="R58">
            <v>1619.0699996815897</v>
          </cell>
          <cell r="T58">
            <v>1702.8029601920346</v>
          </cell>
          <cell r="V58">
            <v>1774.5598005138277</v>
          </cell>
        </row>
        <row r="59">
          <cell r="B59" t="str">
            <v>Interest and other income</v>
          </cell>
          <cell r="D59">
            <v>90.4</v>
          </cell>
          <cell r="E59">
            <v>135.005</v>
          </cell>
          <cell r="F59">
            <v>107.822</v>
          </cell>
          <cell r="H59">
            <v>92.807000000000002</v>
          </cell>
          <cell r="J59">
            <v>82.597000000000008</v>
          </cell>
          <cell r="L59">
            <v>140.9</v>
          </cell>
          <cell r="N59">
            <v>228</v>
          </cell>
          <cell r="P59">
            <v>158.27981570681379</v>
          </cell>
          <cell r="R59">
            <v>214.14721389467866</v>
          </cell>
          <cell r="T59">
            <v>298.9218808473185</v>
          </cell>
          <cell r="V59">
            <v>424.04459975088002</v>
          </cell>
        </row>
        <row r="61">
          <cell r="B61" t="str">
            <v>Depreciation and Amortization from</v>
          </cell>
        </row>
        <row r="62">
          <cell r="A62" t="str">
            <v xml:space="preserve">Existing PP&amp;E </v>
          </cell>
          <cell r="D62">
            <v>463.00400000000002</v>
          </cell>
          <cell r="E62">
            <v>428.09100000000001</v>
          </cell>
          <cell r="F62">
            <v>88.5</v>
          </cell>
          <cell r="H62">
            <v>88.5</v>
          </cell>
          <cell r="J62">
            <v>79.650000000000006</v>
          </cell>
          <cell r="L62">
            <v>71.685000000000002</v>
          </cell>
          <cell r="N62">
            <v>64.516500000000008</v>
          </cell>
          <cell r="P62">
            <v>58.064850000000007</v>
          </cell>
          <cell r="R62">
            <v>52.258365000000005</v>
          </cell>
          <cell r="T62">
            <v>47.032528500000005</v>
          </cell>
          <cell r="V62">
            <v>42.329275650000007</v>
          </cell>
        </row>
        <row r="63">
          <cell r="A63" t="str">
            <v>2002 capital expenditures</v>
          </cell>
          <cell r="F63">
            <v>16.1416</v>
          </cell>
          <cell r="H63">
            <v>16.1416</v>
          </cell>
          <cell r="J63">
            <v>16.1416</v>
          </cell>
          <cell r="L63">
            <v>16.1416</v>
          </cell>
          <cell r="N63">
            <v>16.1416</v>
          </cell>
          <cell r="P63">
            <v>16.1416</v>
          </cell>
          <cell r="R63">
            <v>16.1416</v>
          </cell>
          <cell r="T63">
            <v>16.1416</v>
          </cell>
          <cell r="V63">
            <v>16.1416</v>
          </cell>
          <cell r="X63">
            <v>20</v>
          </cell>
        </row>
        <row r="64">
          <cell r="A64" t="str">
            <v>2003 capital expenditures</v>
          </cell>
          <cell r="H64">
            <v>20.100000000000001</v>
          </cell>
          <cell r="J64">
            <v>20.100000000000001</v>
          </cell>
          <cell r="L64">
            <v>20.100000000000001</v>
          </cell>
          <cell r="N64">
            <v>20.100000000000001</v>
          </cell>
          <cell r="P64">
            <v>20.100000000000001</v>
          </cell>
          <cell r="R64">
            <v>20.100000000000001</v>
          </cell>
          <cell r="T64">
            <v>20.100000000000001</v>
          </cell>
          <cell r="V64">
            <v>20.100000000000001</v>
          </cell>
        </row>
        <row r="65">
          <cell r="A65" t="str">
            <v>2004 capital expenditures</v>
          </cell>
          <cell r="J65">
            <v>32.492899999999999</v>
          </cell>
          <cell r="L65">
            <v>32.492899999999999</v>
          </cell>
          <cell r="N65">
            <v>32.492899999999999</v>
          </cell>
          <cell r="P65">
            <v>32.492899999999999</v>
          </cell>
          <cell r="R65">
            <v>32.492899999999999</v>
          </cell>
          <cell r="T65">
            <v>32.492899999999999</v>
          </cell>
          <cell r="V65">
            <v>32.492899999999999</v>
          </cell>
        </row>
        <row r="66">
          <cell r="A66" t="str">
            <v>2005 capital expenditures</v>
          </cell>
          <cell r="L66">
            <v>69.991200000000006</v>
          </cell>
          <cell r="N66">
            <v>69.991200000000006</v>
          </cell>
          <cell r="P66">
            <v>69.991200000000006</v>
          </cell>
          <cell r="R66">
            <v>69.991200000000006</v>
          </cell>
          <cell r="T66">
            <v>69.991200000000006</v>
          </cell>
          <cell r="V66">
            <v>69.991200000000006</v>
          </cell>
        </row>
        <row r="67">
          <cell r="A67" t="str">
            <v>2006 capital expenditures</v>
          </cell>
          <cell r="N67">
            <v>74.102924999999999</v>
          </cell>
          <cell r="P67">
            <v>74.102924999999999</v>
          </cell>
          <cell r="R67">
            <v>74.102924999999999</v>
          </cell>
          <cell r="T67">
            <v>74.102924999999999</v>
          </cell>
          <cell r="V67">
            <v>74.102924999999999</v>
          </cell>
        </row>
        <row r="68">
          <cell r="A68" t="str">
            <v>2007 capital expenditures</v>
          </cell>
          <cell r="P68">
            <v>78.953875851782612</v>
          </cell>
          <cell r="R68">
            <v>78.953875851782612</v>
          </cell>
          <cell r="T68">
            <v>78.953875851782612</v>
          </cell>
          <cell r="V68">
            <v>78.953875851782612</v>
          </cell>
        </row>
        <row r="69">
          <cell r="A69" t="str">
            <v>2008 capital expenditures</v>
          </cell>
          <cell r="R69">
            <v>58.968838399958223</v>
          </cell>
          <cell r="T69">
            <v>58.968838399958223</v>
          </cell>
          <cell r="V69">
            <v>58.968838399958223</v>
          </cell>
        </row>
        <row r="70">
          <cell r="A70" t="str">
            <v>2009 capital expenditures</v>
          </cell>
          <cell r="T70">
            <v>43.758116933745306</v>
          </cell>
          <cell r="V70">
            <v>43.758116933745306</v>
          </cell>
        </row>
        <row r="71">
          <cell r="A71" t="str">
            <v>2010 capital expenditures</v>
          </cell>
          <cell r="V71">
            <v>41.417537829616492</v>
          </cell>
        </row>
        <row r="72">
          <cell r="A72" t="str">
            <v>Total depreciation</v>
          </cell>
          <cell r="F72">
            <v>104.55499999999998</v>
          </cell>
          <cell r="H72">
            <v>125</v>
          </cell>
          <cell r="J72">
            <v>171.221</v>
          </cell>
          <cell r="L72">
            <v>210.41070000000002</v>
          </cell>
          <cell r="N72">
            <v>277.34512500000005</v>
          </cell>
          <cell r="P72">
            <v>349.84735085178261</v>
          </cell>
          <cell r="R72">
            <v>403.00970425174086</v>
          </cell>
          <cell r="T72">
            <v>441.54198468548617</v>
          </cell>
          <cell r="V72">
            <v>478.25626966510265</v>
          </cell>
        </row>
        <row r="73">
          <cell r="A73" t="str">
            <v>Amortization of intangibles</v>
          </cell>
          <cell r="F73">
            <v>170.4</v>
          </cell>
          <cell r="H73">
            <v>170.4</v>
          </cell>
          <cell r="J73">
            <v>182</v>
          </cell>
          <cell r="L73">
            <v>159.75529999999998</v>
          </cell>
          <cell r="N73">
            <v>121.7</v>
          </cell>
          <cell r="P73">
            <v>120.5</v>
          </cell>
          <cell r="R73">
            <v>118.5</v>
          </cell>
          <cell r="T73">
            <v>0</v>
          </cell>
          <cell r="V73">
            <v>0</v>
          </cell>
        </row>
        <row r="74">
          <cell r="A74" t="str">
            <v>Total depreciation and amortization</v>
          </cell>
          <cell r="C74" t="e">
            <v>#REF!</v>
          </cell>
          <cell r="D74">
            <v>463.00400000000002</v>
          </cell>
          <cell r="E74">
            <v>428.09100000000001</v>
          </cell>
          <cell r="F74">
            <v>274.95499999999998</v>
          </cell>
          <cell r="H74">
            <v>295.39999999999998</v>
          </cell>
          <cell r="J74">
            <v>353.221</v>
          </cell>
          <cell r="L74">
            <v>370.166</v>
          </cell>
          <cell r="N74">
            <v>399.04512500000004</v>
          </cell>
          <cell r="P74">
            <v>470.34735085178261</v>
          </cell>
          <cell r="R74">
            <v>521.50970425174091</v>
          </cell>
          <cell r="T74">
            <v>441.54198468548617</v>
          </cell>
          <cell r="V74">
            <v>478.25626966510265</v>
          </cell>
        </row>
        <row r="75">
          <cell r="A75" t="str">
            <v xml:space="preserve">     Depreciation as % operating expenses</v>
          </cell>
          <cell r="F75">
            <v>5.3286941170054926E-2</v>
          </cell>
          <cell r="H75">
            <v>5.0922384498980573E-2</v>
          </cell>
          <cell r="J75">
            <v>5.1856865951905022E-2</v>
          </cell>
          <cell r="L75">
            <v>4.6438006427717324E-2</v>
          </cell>
          <cell r="N75">
            <v>4.7258068167517063E-2</v>
          </cell>
          <cell r="P75">
            <v>5.0914276998930558E-2</v>
          </cell>
          <cell r="R75">
            <v>5.27056014807308E-2</v>
          </cell>
          <cell r="T75">
            <v>5.3505840960391696E-2</v>
          </cell>
          <cell r="V75">
            <v>5.513319512006043E-2</v>
          </cell>
        </row>
        <row r="76">
          <cell r="A76" t="str">
            <v xml:space="preserve">    Amortization as % of operating expenses</v>
          </cell>
          <cell r="F76">
            <v>8.6845151120246392E-2</v>
          </cell>
          <cell r="H76">
            <v>6.9417394549010317E-2</v>
          </cell>
          <cell r="J76">
            <v>5.5121448906656975E-2</v>
          </cell>
          <cell r="L76">
            <v>3.5258271790654695E-2</v>
          </cell>
          <cell r="N76">
            <v>2.0737003745736744E-2</v>
          </cell>
          <cell r="P76">
            <v>1.7536706690599972E-2</v>
          </cell>
          <cell r="R76">
            <v>1.5497427753167115E-2</v>
          </cell>
          <cell r="T76">
            <v>0</v>
          </cell>
          <cell r="V76">
            <v>0</v>
          </cell>
        </row>
        <row r="78">
          <cell r="A78" t="str">
            <v>Working Capital</v>
          </cell>
        </row>
        <row r="79">
          <cell r="A79" t="str">
            <v>Receivables and other current assets</v>
          </cell>
          <cell r="D79">
            <v>333.73300000000006</v>
          </cell>
          <cell r="E79">
            <v>516.37</v>
          </cell>
          <cell r="F79">
            <v>418.48099999999999</v>
          </cell>
          <cell r="H79">
            <v>574.1</v>
          </cell>
          <cell r="J79">
            <v>957.37199999999996</v>
          </cell>
          <cell r="L79">
            <v>1083.4160000000002</v>
          </cell>
          <cell r="N79">
            <v>1520.0600000000002</v>
          </cell>
          <cell r="P79">
            <v>1879.8541869472047</v>
          </cell>
          <cell r="R79">
            <v>2184.0310518503047</v>
          </cell>
          <cell r="T79">
            <v>2244.0059966023236</v>
          </cell>
          <cell r="V79">
            <v>2103.7479532503617</v>
          </cell>
        </row>
        <row r="80">
          <cell r="A80" t="str">
            <v>% revenue</v>
          </cell>
          <cell r="D80">
            <v>0.20382246906766779</v>
          </cell>
          <cell r="E80">
            <v>0.25262324660279295</v>
          </cell>
          <cell r="F80">
            <v>0.16197457341759783</v>
          </cell>
          <cell r="H80">
            <v>0.17395583321692848</v>
          </cell>
          <cell r="J80">
            <v>0.20716956634640354</v>
          </cell>
          <cell r="L80">
            <v>0.16332683744124263</v>
          </cell>
          <cell r="N80">
            <v>0.16666666666666669</v>
          </cell>
          <cell r="P80">
            <v>0.16666666666666666</v>
          </cell>
          <cell r="R80">
            <v>0.16666666666666666</v>
          </cell>
          <cell r="T80">
            <v>0.15384615384615385</v>
          </cell>
          <cell r="V80">
            <v>0.13333333333333333</v>
          </cell>
        </row>
        <row r="81">
          <cell r="A81" t="str">
            <v>Days receivables outstanding (CHECK)</v>
          </cell>
          <cell r="D81">
            <v>74.39520120969874</v>
          </cell>
          <cell r="E81">
            <v>92.207485010019411</v>
          </cell>
          <cell r="F81">
            <v>59.120719297423214</v>
          </cell>
          <cell r="H81">
            <v>63.493879124178889</v>
          </cell>
          <cell r="J81">
            <v>75.61689171643728</v>
          </cell>
          <cell r="L81">
            <v>59.614295666053565</v>
          </cell>
          <cell r="N81">
            <v>60.833333333333336</v>
          </cell>
          <cell r="P81">
            <v>60.833333333333336</v>
          </cell>
          <cell r="R81">
            <v>60.833333333333336</v>
          </cell>
          <cell r="T81">
            <v>56.153846153846153</v>
          </cell>
          <cell r="V81">
            <v>48.666666666666671</v>
          </cell>
        </row>
        <row r="82">
          <cell r="A82" t="str">
            <v>Accounts receivable turnover</v>
          </cell>
          <cell r="D82">
            <v>4.906230429717767</v>
          </cell>
          <cell r="E82">
            <v>3.958463892170343</v>
          </cell>
          <cell r="F82">
            <v>6.1738085114250056</v>
          </cell>
          <cell r="H82">
            <v>5.748585612262672</v>
          </cell>
          <cell r="J82">
            <v>4.8269638134392903</v>
          </cell>
          <cell r="L82">
            <v>6.1226924837735455</v>
          </cell>
          <cell r="N82">
            <v>6</v>
          </cell>
          <cell r="P82">
            <v>6</v>
          </cell>
          <cell r="R82">
            <v>6</v>
          </cell>
          <cell r="T82">
            <v>6.5</v>
          </cell>
          <cell r="V82">
            <v>7.5</v>
          </cell>
        </row>
        <row r="83">
          <cell r="A83" t="str">
            <v>Prepaid Expenses and Other</v>
          </cell>
          <cell r="D83">
            <v>31.431999999999999</v>
          </cell>
          <cell r="E83">
            <v>38.896000000000001</v>
          </cell>
          <cell r="F83">
            <v>153.88999999999999</v>
          </cell>
          <cell r="H83">
            <v>79.44</v>
          </cell>
          <cell r="J83">
            <v>61.567</v>
          </cell>
          <cell r="L83">
            <v>101.126</v>
          </cell>
          <cell r="N83">
            <v>146.7183995</v>
          </cell>
          <cell r="P83">
            <v>206.13904673091855</v>
          </cell>
          <cell r="R83">
            <v>229.39290678567519</v>
          </cell>
          <cell r="T83">
            <v>247.56660773485044</v>
          </cell>
          <cell r="V83">
            <v>260.2368329771009</v>
          </cell>
        </row>
        <row r="84">
          <cell r="A84" t="str">
            <v>% operating expenses</v>
          </cell>
          <cell r="D84">
            <v>2.496618302232834E-2</v>
          </cell>
          <cell r="E84">
            <v>2.4707873983236303E-2</v>
          </cell>
          <cell r="F84">
            <v>7.8430752968865702E-2</v>
          </cell>
          <cell r="H84">
            <v>3.236219379679213E-2</v>
          </cell>
          <cell r="J84">
            <v>1.8646495850748075E-2</v>
          </cell>
          <cell r="L84">
            <v>2.2318683593606892E-2</v>
          </cell>
          <cell r="N84">
            <v>2.5000000000000001E-2</v>
          </cell>
          <cell r="P84">
            <v>0.03</v>
          </cell>
          <cell r="R84">
            <v>0.03</v>
          </cell>
          <cell r="T84">
            <v>0.03</v>
          </cell>
          <cell r="V84">
            <v>0.03</v>
          </cell>
        </row>
        <row r="85">
          <cell r="A85" t="str">
            <v>Inventories</v>
          </cell>
          <cell r="D85">
            <v>265.83</v>
          </cell>
          <cell r="E85">
            <v>356.94600000000003</v>
          </cell>
          <cell r="F85">
            <v>393.54199999999997</v>
          </cell>
          <cell r="H85">
            <v>469.64</v>
          </cell>
          <cell r="J85">
            <v>590.34299999999996</v>
          </cell>
          <cell r="L85">
            <v>702.51499999999999</v>
          </cell>
          <cell r="N85">
            <v>905.58340740740744</v>
          </cell>
          <cell r="P85">
            <v>1076.257091986759</v>
          </cell>
          <cell r="R85">
            <v>1156.4785712011355</v>
          </cell>
          <cell r="T85">
            <v>1216.2878287085962</v>
          </cell>
          <cell r="V85">
            <v>1267.542714652734</v>
          </cell>
        </row>
        <row r="86">
          <cell r="A86" t="str">
            <v>% revenue</v>
          </cell>
          <cell r="D86">
            <v>0.16235172114312374</v>
          </cell>
          <cell r="E86">
            <v>0.17462838155175656</v>
          </cell>
          <cell r="F86">
            <v>0.15232184393534778</v>
          </cell>
          <cell r="H86">
            <v>0.14230381033269165</v>
          </cell>
          <cell r="J86">
            <v>0.12774668917164372</v>
          </cell>
          <cell r="L86">
            <v>0.10590535233468451</v>
          </cell>
          <cell r="N86">
            <v>9.9292506809753933E-2</v>
          </cell>
          <cell r="P86">
            <v>9.5420263573257086E-2</v>
          </cell>
          <cell r="R86">
            <v>8.8252604453690514E-2</v>
          </cell>
          <cell r="T86">
            <v>8.3387123162785473E-2</v>
          </cell>
          <cell r="V86">
            <v>8.033552452227545E-2</v>
          </cell>
        </row>
        <row r="87">
          <cell r="A87" t="str">
            <v>Days inventory outstanding (CHECK)</v>
          </cell>
          <cell r="D87">
            <v>356.63124660011465</v>
          </cell>
          <cell r="E87">
            <v>367.57858831628306</v>
          </cell>
          <cell r="F87">
            <v>325.25605144578043</v>
          </cell>
          <cell r="H87">
            <v>357.00977400859313</v>
          </cell>
          <cell r="J87">
            <v>320.4092118959108</v>
          </cell>
          <cell r="L87">
            <v>253.61226253952526</v>
          </cell>
          <cell r="N87">
            <v>270.37037037037038</v>
          </cell>
          <cell r="P87">
            <v>260.71428571428567</v>
          </cell>
          <cell r="R87">
            <v>260.71428571428572</v>
          </cell>
          <cell r="T87">
            <v>260.71428571428572</v>
          </cell>
          <cell r="V87">
            <v>260.71428571428572</v>
          </cell>
        </row>
        <row r="88">
          <cell r="A88" t="str">
            <v>Inventory Turnover</v>
          </cell>
          <cell r="D88">
            <v>1.0234661249670842</v>
          </cell>
          <cell r="E88">
            <v>0.9929849332952323</v>
          </cell>
          <cell r="F88">
            <v>1.1221928028012258</v>
          </cell>
          <cell r="H88">
            <v>1.0223809726599098</v>
          </cell>
          <cell r="J88">
            <v>1.1391682462568371</v>
          </cell>
          <cell r="L88">
            <v>1.4392048568357969</v>
          </cell>
          <cell r="N88">
            <v>1.35</v>
          </cell>
          <cell r="P88">
            <v>1.4</v>
          </cell>
          <cell r="R88">
            <v>1.4</v>
          </cell>
          <cell r="T88">
            <v>1.4</v>
          </cell>
          <cell r="V88">
            <v>1.4</v>
          </cell>
        </row>
        <row r="89">
          <cell r="A89" t="str">
            <v>Accounts payable</v>
          </cell>
          <cell r="D89">
            <v>39.113999999999997</v>
          </cell>
          <cell r="E89">
            <v>33.347999999999999</v>
          </cell>
          <cell r="F89">
            <v>51.38</v>
          </cell>
          <cell r="H89">
            <v>59.7</v>
          </cell>
          <cell r="J89">
            <v>104.83199999999999</v>
          </cell>
          <cell r="L89">
            <v>338.97800000000001</v>
          </cell>
          <cell r="N89">
            <v>407.51253333333335</v>
          </cell>
          <cell r="P89">
            <v>456.59391781256443</v>
          </cell>
          <cell r="R89">
            <v>490.62727263078477</v>
          </cell>
          <cell r="T89">
            <v>516.00089702788932</v>
          </cell>
          <cell r="V89">
            <v>537.7453940950993</v>
          </cell>
        </row>
        <row r="90">
          <cell r="A90" t="str">
            <v>% operating expenses</v>
          </cell>
          <cell r="D90">
            <v>3.1067933403389879E-2</v>
          </cell>
          <cell r="E90">
            <v>2.1183622521415164E-2</v>
          </cell>
          <cell r="F90">
            <v>2.6186055543182277E-2</v>
          </cell>
          <cell r="H90">
            <v>2.4320530836713122E-2</v>
          </cell>
          <cell r="J90">
            <v>3.1749954570234412E-2</v>
          </cell>
          <cell r="L90">
            <v>7.4813032525697418E-2</v>
          </cell>
          <cell r="N90">
            <v>6.943787124213642E-2</v>
          </cell>
          <cell r="P90">
            <v>6.6449407580007072E-2</v>
          </cell>
          <cell r="R90">
            <v>6.4164225412059184E-2</v>
          </cell>
          <cell r="T90">
            <v>6.2528735407709535E-2</v>
          </cell>
          <cell r="V90">
            <v>6.1991078043408712E-2</v>
          </cell>
        </row>
        <row r="91">
          <cell r="A91" t="str">
            <v>Days payable outstanding (CHECK)</v>
          </cell>
          <cell r="D91">
            <v>52.47441816016584</v>
          </cell>
          <cell r="E91">
            <v>34.34135909401256</v>
          </cell>
          <cell r="F91">
            <v>42.46473292122365</v>
          </cell>
          <cell r="H91">
            <v>45.382598390922858</v>
          </cell>
          <cell r="J91">
            <v>56.897665427509295</v>
          </cell>
          <cell r="L91">
            <v>122.37315577763206</v>
          </cell>
          <cell r="N91">
            <v>121.66666666666667</v>
          </cell>
          <cell r="P91">
            <v>110.60606060606061</v>
          </cell>
          <cell r="R91">
            <v>110.60606060606061</v>
          </cell>
          <cell r="T91">
            <v>110.60606060606061</v>
          </cell>
          <cell r="V91">
            <v>110.60606060606061</v>
          </cell>
        </row>
        <row r="92">
          <cell r="A92" t="str">
            <v>Accounts payable turnover</v>
          </cell>
          <cell r="D92">
            <v>5.1847740201630499</v>
          </cell>
          <cell r="E92">
            <v>10.32114072799749</v>
          </cell>
          <cell r="F92">
            <v>10.399924116307714</v>
          </cell>
          <cell r="H92">
            <v>10.580068506964043</v>
          </cell>
          <cell r="J92">
            <v>11.819465613344038</v>
          </cell>
          <cell r="L92">
            <v>8.2621306411124422</v>
          </cell>
          <cell r="N92">
            <v>3</v>
          </cell>
          <cell r="P92">
            <v>3.3</v>
          </cell>
          <cell r="R92">
            <v>3.3</v>
          </cell>
          <cell r="S92">
            <v>3</v>
          </cell>
          <cell r="T92">
            <v>3.3</v>
          </cell>
          <cell r="V92">
            <v>3.3</v>
          </cell>
        </row>
        <row r="93">
          <cell r="A93" t="str">
            <v>Accrued Liabilites and Other</v>
          </cell>
          <cell r="D93">
            <v>398.745</v>
          </cell>
          <cell r="E93">
            <v>461.214</v>
          </cell>
          <cell r="F93">
            <v>575.23599999999999</v>
          </cell>
          <cell r="H93">
            <v>765.85</v>
          </cell>
          <cell r="J93">
            <v>1087.2090000000001</v>
          </cell>
          <cell r="L93">
            <v>1276.527</v>
          </cell>
          <cell r="N93">
            <v>1232.4345558</v>
          </cell>
          <cell r="P93">
            <v>1374.2603115394572</v>
          </cell>
          <cell r="R93">
            <v>1452.8217429759429</v>
          </cell>
          <cell r="T93">
            <v>1485.3996464091026</v>
          </cell>
          <cell r="V93">
            <v>1474.6753868702385</v>
          </cell>
        </row>
        <row r="94">
          <cell r="A94" t="str">
            <v>% operating expenses</v>
          </cell>
          <cell r="D94">
            <v>0.31671992393860759</v>
          </cell>
          <cell r="E94">
            <v>0.29297658862876258</v>
          </cell>
          <cell r="F94">
            <v>0.29317169806224208</v>
          </cell>
          <cell r="H94">
            <v>0.3119912653483542</v>
          </cell>
          <cell r="J94">
            <v>0.32927766672723968</v>
          </cell>
          <cell r="L94">
            <v>0.28173172291691778</v>
          </cell>
          <cell r="N94">
            <v>0.21</v>
          </cell>
          <cell r="P94">
            <v>0.2</v>
          </cell>
          <cell r="R94">
            <v>0.19</v>
          </cell>
          <cell r="T94">
            <v>0.18</v>
          </cell>
          <cell r="V94">
            <v>0.17</v>
          </cell>
        </row>
        <row r="95">
          <cell r="A95" t="str">
            <v>Deferred Revenues</v>
          </cell>
          <cell r="D95">
            <v>468.72500000000002</v>
          </cell>
          <cell r="E95">
            <v>87.575999999999993</v>
          </cell>
          <cell r="F95">
            <v>89.576999999999998</v>
          </cell>
          <cell r="H95">
            <v>328.68</v>
          </cell>
          <cell r="J95">
            <v>313.79399999999998</v>
          </cell>
          <cell r="L95">
            <v>264.41999999999996</v>
          </cell>
          <cell r="N95">
            <v>456.01800000000003</v>
          </cell>
          <cell r="P95">
            <v>563.9562560841614</v>
          </cell>
          <cell r="R95">
            <v>655.20931555509151</v>
          </cell>
          <cell r="T95">
            <v>729.30194889575523</v>
          </cell>
          <cell r="V95">
            <v>788.90548246888557</v>
          </cell>
        </row>
        <row r="96">
          <cell r="A96" t="str">
            <v>% operating expenses</v>
          </cell>
          <cell r="D96">
            <v>5.185011061946903</v>
          </cell>
          <cell r="E96">
            <v>4.2844730415179409E-2</v>
          </cell>
          <cell r="F96">
            <v>3.4671099435883972E-2</v>
          </cell>
          <cell r="H96">
            <v>9.959206281438783E-2</v>
          </cell>
          <cell r="J96">
            <v>6.7903142041028305E-2</v>
          </cell>
          <cell r="L96">
            <v>3.9861772722770722E-2</v>
          </cell>
          <cell r="N96">
            <v>0.05</v>
          </cell>
          <cell r="P96">
            <v>0.05</v>
          </cell>
          <cell r="R96">
            <v>0.05</v>
          </cell>
          <cell r="T96">
            <v>0.05</v>
          </cell>
          <cell r="V96">
            <v>0.05</v>
          </cell>
        </row>
        <row r="101">
          <cell r="A101" t="str">
            <v>Property and Equipment, Net</v>
          </cell>
        </row>
        <row r="102">
          <cell r="A102" t="str">
            <v>Beginning balance</v>
          </cell>
          <cell r="F102">
            <v>865.66800000000001</v>
          </cell>
          <cell r="H102">
            <v>1068.7339999999999</v>
          </cell>
          <cell r="J102">
            <v>1617.9</v>
          </cell>
          <cell r="L102">
            <v>2091.404</v>
          </cell>
          <cell r="N102">
            <v>3349.3519999999999</v>
          </cell>
          <cell r="P102">
            <v>4554.0653750000001</v>
          </cell>
          <cell r="R102">
            <v>5783.2955411838693</v>
          </cell>
          <cell r="T102">
            <v>6559.6626049312927</v>
          </cell>
          <cell r="V102">
            <v>6993.2829589207122</v>
          </cell>
        </row>
        <row r="103">
          <cell r="A103" t="str">
            <v>Capital expenditures</v>
          </cell>
          <cell r="D103">
            <v>112.681</v>
          </cell>
          <cell r="E103">
            <v>213.351</v>
          </cell>
          <cell r="F103">
            <v>322.83199999999999</v>
          </cell>
          <cell r="H103">
            <v>321.95</v>
          </cell>
          <cell r="J103">
            <v>649.85799999999995</v>
          </cell>
          <cell r="L103">
            <v>1399.8240000000001</v>
          </cell>
          <cell r="N103">
            <v>1482.0585000000001</v>
          </cell>
          <cell r="P103">
            <v>1579.0775170356521</v>
          </cell>
          <cell r="R103">
            <v>1179.3767679991645</v>
          </cell>
          <cell r="T103">
            <v>875.1623386749061</v>
          </cell>
          <cell r="V103">
            <v>828.35075659232984</v>
          </cell>
        </row>
        <row r="104">
          <cell r="A104" t="str">
            <v>% revenue</v>
          </cell>
          <cell r="D104">
            <v>6.8818245834286293E-2</v>
          </cell>
          <cell r="E104">
            <v>0.10437752442231825</v>
          </cell>
          <cell r="F104">
            <v>0.12495328458293194</v>
          </cell>
          <cell r="H104">
            <v>9.7552831395558467E-2</v>
          </cell>
          <cell r="J104">
            <v>0.14062537868951785</v>
          </cell>
          <cell r="L104">
            <v>0.22190900773092165</v>
          </cell>
          <cell r="N104">
            <v>0.16250000000000001</v>
          </cell>
          <cell r="P104">
            <v>0.14000000000000001</v>
          </cell>
          <cell r="R104">
            <v>0.09</v>
          </cell>
          <cell r="T104">
            <v>0.06</v>
          </cell>
          <cell r="V104">
            <v>5.2499999999999998E-2</v>
          </cell>
        </row>
        <row r="105">
          <cell r="A105" t="str">
            <v>Depreciation</v>
          </cell>
          <cell r="F105">
            <v>-104.55499999999998</v>
          </cell>
          <cell r="H105">
            <v>-125</v>
          </cell>
          <cell r="J105">
            <v>-171.221</v>
          </cell>
          <cell r="L105">
            <v>-210.41070000000002</v>
          </cell>
          <cell r="N105">
            <v>-277.34512500000005</v>
          </cell>
          <cell r="P105">
            <v>-349.84735085178261</v>
          </cell>
          <cell r="R105">
            <v>-403.00970425174086</v>
          </cell>
          <cell r="T105">
            <v>-441.54198468548617</v>
          </cell>
          <cell r="V105">
            <v>-478.25626966510265</v>
          </cell>
        </row>
        <row r="106">
          <cell r="A106" t="str">
            <v>Ending balance</v>
          </cell>
          <cell r="E106">
            <v>865.66800000000001</v>
          </cell>
          <cell r="F106">
            <v>1068.7339999999999</v>
          </cell>
          <cell r="H106">
            <v>1617.9</v>
          </cell>
          <cell r="J106">
            <v>2091.404</v>
          </cell>
          <cell r="L106">
            <v>3349.3519999999999</v>
          </cell>
          <cell r="N106">
            <v>4554.0653750000001</v>
          </cell>
          <cell r="P106">
            <v>5783.2955411838693</v>
          </cell>
          <cell r="R106">
            <v>6559.6626049312927</v>
          </cell>
          <cell r="T106">
            <v>6993.2829589207122</v>
          </cell>
          <cell r="V106">
            <v>7343.3774458479393</v>
          </cell>
        </row>
        <row r="108">
          <cell r="A108" t="str">
            <v>Fixed Asset Turnover (CHECK)</v>
          </cell>
          <cell r="E108">
            <v>2.361219312715729</v>
          </cell>
          <cell r="F108">
            <v>2.6712354098782445</v>
          </cell>
          <cell r="H108">
            <v>2.4568013357978793</v>
          </cell>
          <cell r="J108">
            <v>2.4916803799311138</v>
          </cell>
          <cell r="L108">
            <v>2.4384195872779451</v>
          </cell>
          <cell r="N108">
            <v>2.3079535262428172</v>
          </cell>
          <cell r="P108">
            <v>2.1822059253101944</v>
          </cell>
          <cell r="R108">
            <v>2.2658683475164985</v>
          </cell>
          <cell r="T108">
            <v>2.2235959158859635</v>
          </cell>
          <cell r="V108">
            <v>2.2561806439207457</v>
          </cell>
        </row>
        <row r="109">
          <cell r="A109" t="str">
            <v>Employee Stock Option Analysis</v>
          </cell>
        </row>
        <row r="110">
          <cell r="C110">
            <v>1999</v>
          </cell>
          <cell r="D110">
            <v>2000</v>
          </cell>
          <cell r="E110" t="str">
            <v>2001</v>
          </cell>
          <cell r="F110" t="str">
            <v>2002</v>
          </cell>
          <cell r="H110" t="str">
            <v>2003E</v>
          </cell>
          <cell r="J110" t="str">
            <v>2004A</v>
          </cell>
          <cell r="L110" t="str">
            <v>2005A</v>
          </cell>
          <cell r="N110" t="str">
            <v>2006E</v>
          </cell>
          <cell r="P110" t="str">
            <v>2007E</v>
          </cell>
          <cell r="R110" t="str">
            <v>2008E</v>
          </cell>
          <cell r="T110" t="str">
            <v>2009E</v>
          </cell>
          <cell r="V110" t="str">
            <v>2010E</v>
          </cell>
        </row>
        <row r="111">
          <cell r="A111" t="str">
            <v xml:space="preserve">Stock Price (average) </v>
          </cell>
          <cell r="E111">
            <v>81.5</v>
          </cell>
          <cell r="F111">
            <v>33.159999999999997</v>
          </cell>
          <cell r="H111">
            <v>38</v>
          </cell>
          <cell r="J111">
            <v>52.85</v>
          </cell>
          <cell r="L111">
            <v>76.13</v>
          </cell>
          <cell r="N111">
            <v>85</v>
          </cell>
          <cell r="P111">
            <v>92.31</v>
          </cell>
          <cell r="R111">
            <v>100.24866000000002</v>
          </cell>
          <cell r="T111">
            <v>108.87004476000003</v>
          </cell>
          <cell r="V111">
            <v>118.23286860936004</v>
          </cell>
          <cell r="X111">
            <v>8.5999999999999993E-2</v>
          </cell>
        </row>
        <row r="112">
          <cell r="A112" t="str">
            <v>Option Balance (Beginning Year)</v>
          </cell>
          <cell r="E112">
            <v>40.945</v>
          </cell>
          <cell r="F112">
            <v>93.28</v>
          </cell>
          <cell r="H112">
            <v>98.182999999999993</v>
          </cell>
          <cell r="J112">
            <v>96.126000000000005</v>
          </cell>
          <cell r="L112">
            <v>93.766000000000005</v>
          </cell>
          <cell r="N112">
            <v>82.804000000000002</v>
          </cell>
          <cell r="P112">
            <v>74.523600000000002</v>
          </cell>
          <cell r="R112">
            <v>70.052184000000011</v>
          </cell>
          <cell r="T112">
            <v>67.950618480000003</v>
          </cell>
          <cell r="V112">
            <v>67.950618480000003</v>
          </cell>
        </row>
        <row r="113">
          <cell r="A113" t="str">
            <v xml:space="preserve"> Average Options "in the money"</v>
          </cell>
          <cell r="H113">
            <v>38.799999999999997</v>
          </cell>
          <cell r="J113">
            <v>46.338999999999999</v>
          </cell>
          <cell r="L113">
            <v>37.451000000000001</v>
          </cell>
          <cell r="N113">
            <v>39.331900000000005</v>
          </cell>
          <cell r="P113">
            <v>36.143946</v>
          </cell>
          <cell r="R113">
            <v>34.500700620000003</v>
          </cell>
          <cell r="T113">
            <v>27.180247392000002</v>
          </cell>
          <cell r="V113">
            <v>13.590123696000001</v>
          </cell>
        </row>
        <row r="114">
          <cell r="A114" t="str">
            <v xml:space="preserve">   % "in the money"</v>
          </cell>
          <cell r="F114">
            <v>0</v>
          </cell>
          <cell r="H114">
            <v>0.39936389976789544</v>
          </cell>
          <cell r="J114">
            <v>0.48206520608368181</v>
          </cell>
          <cell r="L114">
            <v>0.39940916750207961</v>
          </cell>
          <cell r="N114">
            <v>0.5</v>
          </cell>
          <cell r="P114">
            <v>0.5</v>
          </cell>
          <cell r="R114">
            <v>0.5</v>
          </cell>
          <cell r="T114">
            <v>0.4</v>
          </cell>
          <cell r="V114">
            <v>0.4</v>
          </cell>
        </row>
        <row r="115">
          <cell r="A115" t="str">
            <v>Weighted Average Exercise Price</v>
          </cell>
          <cell r="H115">
            <v>21.418882283745745</v>
          </cell>
          <cell r="J115">
            <v>25</v>
          </cell>
          <cell r="L115">
            <v>35</v>
          </cell>
          <cell r="N115">
            <v>40.25</v>
          </cell>
          <cell r="P115">
            <v>46.287499999999994</v>
          </cell>
          <cell r="R115">
            <v>53.230624999999989</v>
          </cell>
          <cell r="T115">
            <v>61.215218749999984</v>
          </cell>
          <cell r="V115">
            <v>70.397501562499983</v>
          </cell>
          <cell r="X115">
            <v>0.15</v>
          </cell>
        </row>
        <row r="116">
          <cell r="A116" t="str">
            <v>Options Cancelled</v>
          </cell>
          <cell r="E116">
            <v>2.15</v>
          </cell>
          <cell r="F116">
            <v>4.4059999999999997</v>
          </cell>
          <cell r="H116">
            <v>4.4139999999999997</v>
          </cell>
          <cell r="J116">
            <v>1.843</v>
          </cell>
          <cell r="L116">
            <v>1.8140000000000001</v>
          </cell>
          <cell r="N116">
            <v>3.31216</v>
          </cell>
          <cell r="P116">
            <v>2.980944</v>
          </cell>
          <cell r="R116">
            <v>2.8020873600000007</v>
          </cell>
          <cell r="T116">
            <v>2.7180247392000001</v>
          </cell>
          <cell r="V116">
            <v>2.7180247392000001</v>
          </cell>
        </row>
        <row r="117">
          <cell r="A117" t="str">
            <v xml:space="preserve">   % Cancelled </v>
          </cell>
          <cell r="E117">
            <v>5.2509463915007937E-2</v>
          </cell>
          <cell r="F117">
            <v>4.7234133790737563E-2</v>
          </cell>
          <cell r="H117">
            <v>4.4956866259943169E-2</v>
          </cell>
          <cell r="J117">
            <v>0.04</v>
          </cell>
          <cell r="L117">
            <v>0.04</v>
          </cell>
          <cell r="N117">
            <v>0.04</v>
          </cell>
          <cell r="P117">
            <v>0.04</v>
          </cell>
          <cell r="R117">
            <v>0.04</v>
          </cell>
          <cell r="T117">
            <v>0.04</v>
          </cell>
          <cell r="V117">
            <v>0.04</v>
          </cell>
        </row>
        <row r="118">
          <cell r="A118" t="str">
            <v>Options Exercised</v>
          </cell>
          <cell r="E118">
            <v>2.899</v>
          </cell>
          <cell r="F118">
            <v>3.3460000000000001</v>
          </cell>
          <cell r="H118">
            <v>32.078000000000003</v>
          </cell>
          <cell r="J118">
            <v>21.484000000000002</v>
          </cell>
          <cell r="L118">
            <v>28.823</v>
          </cell>
          <cell r="N118">
            <v>23.185120000000001</v>
          </cell>
          <cell r="P118">
            <v>18.6309</v>
          </cell>
          <cell r="R118">
            <v>16.112002320000002</v>
          </cell>
          <cell r="T118">
            <v>13.590123696000001</v>
          </cell>
          <cell r="V118">
            <v>13.590123696000001</v>
          </cell>
        </row>
        <row r="119">
          <cell r="A119" t="str">
            <v xml:space="preserve">     % of Outstanding Options</v>
          </cell>
          <cell r="E119">
            <v>7.080229576260838E-2</v>
          </cell>
          <cell r="F119">
            <v>3.5870497427101203E-2</v>
          </cell>
          <cell r="H119">
            <v>0.32671643767250957</v>
          </cell>
          <cell r="J119">
            <v>0.35</v>
          </cell>
          <cell r="L119">
            <v>0.3</v>
          </cell>
          <cell r="N119">
            <v>0.28000000000000003</v>
          </cell>
          <cell r="P119">
            <v>0.25</v>
          </cell>
          <cell r="R119">
            <v>0.23</v>
          </cell>
          <cell r="T119">
            <v>0.2</v>
          </cell>
          <cell r="V119">
            <v>0.2</v>
          </cell>
        </row>
        <row r="120">
          <cell r="A120" t="str">
            <v>Weighted Average Exercise Price of exercised</v>
          </cell>
          <cell r="E120">
            <v>24.69</v>
          </cell>
          <cell r="F120">
            <v>11.715</v>
          </cell>
          <cell r="H120">
            <v>34.134999999999998</v>
          </cell>
          <cell r="J120">
            <v>20.81</v>
          </cell>
          <cell r="L120">
            <v>25.88</v>
          </cell>
          <cell r="N120">
            <v>31.055999999999997</v>
          </cell>
          <cell r="P120">
            <v>37.267199999999995</v>
          </cell>
          <cell r="R120">
            <v>44.720639999999996</v>
          </cell>
          <cell r="T120">
            <v>53.664767999999995</v>
          </cell>
          <cell r="V120">
            <v>64.397721599999997</v>
          </cell>
          <cell r="X120">
            <v>0.2</v>
          </cell>
        </row>
        <row r="121">
          <cell r="A121" t="str">
            <v xml:space="preserve">     Tax rate</v>
          </cell>
          <cell r="E121">
            <v>0.17543014456747877</v>
          </cell>
          <cell r="F121">
            <v>0.33702605798725771</v>
          </cell>
          <cell r="H121">
            <v>0.32364976429312847</v>
          </cell>
          <cell r="J121">
            <v>0.36207709431617907</v>
          </cell>
          <cell r="L121">
            <v>0.36750724212165659</v>
          </cell>
          <cell r="N121">
            <v>0.3729296918045219</v>
          </cell>
          <cell r="P121">
            <v>0.373</v>
          </cell>
          <cell r="R121">
            <v>0.373</v>
          </cell>
          <cell r="T121">
            <v>0.373</v>
          </cell>
          <cell r="V121">
            <v>0.373</v>
          </cell>
        </row>
        <row r="122">
          <cell r="A122" t="str">
            <v>Proceeds from option</v>
          </cell>
          <cell r="H122">
            <v>1094.98253</v>
          </cell>
          <cell r="J122">
            <v>447.08204000000001</v>
          </cell>
          <cell r="L122">
            <v>745.93923999999993</v>
          </cell>
          <cell r="N122">
            <v>720.03708671999993</v>
          </cell>
          <cell r="P122">
            <v>694.32147647999989</v>
          </cell>
          <cell r="R122">
            <v>720.53905543188478</v>
          </cell>
          <cell r="T122">
            <v>729.31083523714256</v>
          </cell>
          <cell r="V122">
            <v>875.173002284571</v>
          </cell>
        </row>
        <row r="123">
          <cell r="A123" t="str">
            <v>Tax Benefit from Options</v>
          </cell>
          <cell r="H123">
            <v>40.126573542215603</v>
          </cell>
          <cell r="J123">
            <v>329.47</v>
          </cell>
          <cell r="L123">
            <v>641.34799999999996</v>
          </cell>
          <cell r="N123">
            <v>466.42246192600749</v>
          </cell>
          <cell r="P123">
            <v>382.51034463996001</v>
          </cell>
          <cell r="R123">
            <v>333.71100997524758</v>
          </cell>
          <cell r="T123">
            <v>279.84195936043733</v>
          </cell>
          <cell r="V123">
            <v>272.89661252948122</v>
          </cell>
        </row>
        <row r="124">
          <cell r="A124" t="str">
            <v>Options Granted</v>
          </cell>
          <cell r="E124">
            <v>10.74</v>
          </cell>
          <cell r="F124">
            <v>12.654999999999999</v>
          </cell>
          <cell r="H124">
            <v>10.89</v>
          </cell>
          <cell r="J124">
            <v>20.966999999999999</v>
          </cell>
          <cell r="L124">
            <v>19.675000000000001</v>
          </cell>
          <cell r="N124">
            <v>18.21688</v>
          </cell>
          <cell r="P124">
            <v>17.140428</v>
          </cell>
          <cell r="R124">
            <v>16.812524160000002</v>
          </cell>
          <cell r="T124">
            <v>16.3081484352</v>
          </cell>
          <cell r="V124">
            <v>16.3081484352</v>
          </cell>
        </row>
        <row r="125">
          <cell r="A125" t="str">
            <v xml:space="preserve">     % of Outstanding Options</v>
          </cell>
          <cell r="E125">
            <v>0.26230308951031872</v>
          </cell>
          <cell r="F125">
            <v>0.13566680960548885</v>
          </cell>
          <cell r="H125">
            <v>0.11091533157471255</v>
          </cell>
          <cell r="J125">
            <v>0.21811996754260032</v>
          </cell>
          <cell r="L125">
            <v>0.20983085553398886</v>
          </cell>
          <cell r="N125">
            <v>0.22</v>
          </cell>
          <cell r="P125">
            <v>0.23</v>
          </cell>
          <cell r="R125">
            <v>0.24</v>
          </cell>
          <cell r="T125">
            <v>0.24</v>
          </cell>
          <cell r="V125">
            <v>0.24</v>
          </cell>
        </row>
        <row r="126">
          <cell r="A126" t="str">
            <v>Shares Issued</v>
          </cell>
          <cell r="D126">
            <v>0</v>
          </cell>
          <cell r="E126">
            <v>0.83799999999999997</v>
          </cell>
          <cell r="F126">
            <v>2.1320000000000001</v>
          </cell>
          <cell r="H126">
            <v>2.8</v>
          </cell>
          <cell r="J126">
            <v>2.5</v>
          </cell>
          <cell r="L126">
            <v>0.9812163404702483</v>
          </cell>
          <cell r="N126">
            <v>0</v>
          </cell>
          <cell r="P126">
            <v>0</v>
          </cell>
          <cell r="R126">
            <v>0</v>
          </cell>
          <cell r="T126">
            <v>0</v>
          </cell>
          <cell r="V126">
            <v>0</v>
          </cell>
        </row>
        <row r="127">
          <cell r="A127" t="str">
            <v>Proceeds from share issuance</v>
          </cell>
          <cell r="D127">
            <v>0</v>
          </cell>
          <cell r="E127">
            <v>0</v>
          </cell>
          <cell r="F127">
            <v>0</v>
          </cell>
          <cell r="H127">
            <v>0</v>
          </cell>
          <cell r="J127">
            <v>58.86</v>
          </cell>
          <cell r="L127">
            <v>74.7</v>
          </cell>
          <cell r="N127">
            <v>0</v>
          </cell>
          <cell r="P127">
            <v>0</v>
          </cell>
          <cell r="R127">
            <v>0</v>
          </cell>
          <cell r="T127">
            <v>0</v>
          </cell>
          <cell r="V127">
            <v>0</v>
          </cell>
        </row>
        <row r="128">
          <cell r="A128" t="str">
            <v>Shares Repurchased (mm)</v>
          </cell>
          <cell r="E128">
            <v>0.9</v>
          </cell>
          <cell r="F128">
            <v>36.4</v>
          </cell>
          <cell r="H128">
            <v>11</v>
          </cell>
          <cell r="J128">
            <v>25.6</v>
          </cell>
          <cell r="L128">
            <v>26.479863391567058</v>
          </cell>
          <cell r="N128">
            <v>23.185120000000001</v>
          </cell>
          <cell r="P128">
            <v>18.6309</v>
          </cell>
          <cell r="R128">
            <v>16.112002320000002</v>
          </cell>
          <cell r="T128">
            <v>13.590123696000001</v>
          </cell>
          <cell r="V128">
            <v>13.590123696000001</v>
          </cell>
        </row>
        <row r="129">
          <cell r="A129" t="str">
            <v>Share Repurchase Cost</v>
          </cell>
          <cell r="E129">
            <v>39.700000000000003</v>
          </cell>
          <cell r="F129">
            <v>692.8</v>
          </cell>
          <cell r="H129">
            <v>201.34</v>
          </cell>
          <cell r="J129">
            <v>1351.683</v>
          </cell>
          <cell r="L129">
            <v>2015.912</v>
          </cell>
          <cell r="N129">
            <v>1970.7352000000001</v>
          </cell>
          <cell r="P129">
            <v>1719.818379</v>
          </cell>
          <cell r="R129">
            <v>1615.2066424968916</v>
          </cell>
          <cell r="T129">
            <v>1479.5573750774572</v>
          </cell>
          <cell r="V129">
            <v>1606.7993093341186</v>
          </cell>
        </row>
        <row r="130">
          <cell r="B130" t="str">
            <v>Allocated to APIC</v>
          </cell>
          <cell r="F130">
            <v>235.5</v>
          </cell>
          <cell r="H130">
            <v>71.584000000000003</v>
          </cell>
          <cell r="J130">
            <v>191.042</v>
          </cell>
          <cell r="L130">
            <v>806.36480000000006</v>
          </cell>
          <cell r="N130">
            <v>788.29408000000012</v>
          </cell>
          <cell r="P130">
            <v>687.92735160000007</v>
          </cell>
          <cell r="R130">
            <v>646.08265699875665</v>
          </cell>
          <cell r="T130">
            <v>591.82295003098295</v>
          </cell>
          <cell r="V130">
            <v>642.71972373364747</v>
          </cell>
        </row>
        <row r="131">
          <cell r="B131" t="str">
            <v>Allocated to Retained Earnings</v>
          </cell>
          <cell r="F131">
            <v>457.29999999999995</v>
          </cell>
          <cell r="H131">
            <v>129.756</v>
          </cell>
          <cell r="J131">
            <v>1160.6410000000001</v>
          </cell>
          <cell r="L131">
            <v>1209.5472</v>
          </cell>
          <cell r="N131">
            <v>1182.44112</v>
          </cell>
          <cell r="P131">
            <v>1031.8910274</v>
          </cell>
          <cell r="R131">
            <v>969.12398549813497</v>
          </cell>
          <cell r="T131">
            <v>887.73442504647426</v>
          </cell>
          <cell r="V131">
            <v>964.07958560047109</v>
          </cell>
        </row>
        <row r="132">
          <cell r="A132" t="str">
            <v>Stock options expense</v>
          </cell>
          <cell r="N132">
            <v>329.18547890000002</v>
          </cell>
          <cell r="P132">
            <v>377.92158567335071</v>
          </cell>
          <cell r="R132">
            <v>420.55366244040454</v>
          </cell>
          <cell r="T132">
            <v>453.87211418055915</v>
          </cell>
          <cell r="V132">
            <v>477.1008604580183</v>
          </cell>
        </row>
        <row r="133">
          <cell r="A133" t="str">
            <v>Total Change in APIC</v>
          </cell>
          <cell r="D133">
            <v>0</v>
          </cell>
          <cell r="E133">
            <v>109</v>
          </cell>
          <cell r="F133">
            <v>-603.4</v>
          </cell>
          <cell r="H133">
            <v>590.29999999999995</v>
          </cell>
          <cell r="J133">
            <v>-516.27096000000006</v>
          </cell>
          <cell r="L133">
            <v>-553.92476000000011</v>
          </cell>
          <cell r="N133">
            <v>-455.09017245399264</v>
          </cell>
          <cell r="P133">
            <v>-265.0649722066895</v>
          </cell>
          <cell r="R133">
            <v>-140.40291464935478</v>
          </cell>
          <cell r="T133">
            <v>-16.532466299318173</v>
          </cell>
          <cell r="V133">
            <v>18.371165937951957</v>
          </cell>
          <cell r="Y133" t="str">
            <v>mstag:netIssuanceRepurchaseOfCommonStock</v>
          </cell>
          <cell r="Z133">
            <v>6</v>
          </cell>
          <cell r="AA133" t="str">
            <v>ISO4217:USD</v>
          </cell>
          <cell r="AB133" t="b">
            <v>0</v>
          </cell>
          <cell r="AC133" t="b">
            <v>0</v>
          </cell>
        </row>
        <row r="134">
          <cell r="A134" t="str">
            <v>Beginning Period Shares</v>
          </cell>
          <cell r="H134">
            <v>1025.155974</v>
          </cell>
          <cell r="J134">
            <v>1049.5</v>
          </cell>
          <cell r="L134">
            <v>1047.127</v>
          </cell>
          <cell r="N134">
            <v>1053.713</v>
          </cell>
          <cell r="P134">
            <v>1053.713</v>
          </cell>
          <cell r="R134">
            <v>1053.713</v>
          </cell>
          <cell r="T134">
            <v>1053.713</v>
          </cell>
          <cell r="V134">
            <v>1053.713</v>
          </cell>
        </row>
        <row r="135">
          <cell r="A135" t="str">
            <v>End of Period Shares</v>
          </cell>
          <cell r="D135">
            <v>0</v>
          </cell>
          <cell r="E135">
            <v>527.79422299999999</v>
          </cell>
          <cell r="F135">
            <v>1025.155974</v>
          </cell>
          <cell r="H135">
            <v>1047.3900000000001</v>
          </cell>
          <cell r="J135">
            <v>1047.127</v>
          </cell>
          <cell r="L135">
            <v>1053.713</v>
          </cell>
          <cell r="N135">
            <v>1053.713</v>
          </cell>
          <cell r="P135">
            <v>1053.713</v>
          </cell>
          <cell r="R135">
            <v>1053.713</v>
          </cell>
          <cell r="T135">
            <v>1053.713</v>
          </cell>
          <cell r="V135">
            <v>1053.713</v>
          </cell>
          <cell r="Y135" t="str">
            <v>mstag:periodEndBasicSharesOutstanding</v>
          </cell>
          <cell r="Z135">
            <v>6</v>
          </cell>
          <cell r="AA135" t="str">
            <v>ms_eqr_gcim_Decimal:ms_eqr_gcim_decimal</v>
          </cell>
          <cell r="AB135" t="b">
            <v>0</v>
          </cell>
          <cell r="AC135" t="b">
            <v>0</v>
          </cell>
        </row>
        <row r="136">
          <cell r="A136" t="str">
            <v xml:space="preserve">Average Shares Outstanding-basic </v>
          </cell>
          <cell r="D136">
            <v>0</v>
          </cell>
          <cell r="E136">
            <v>1054.038</v>
          </cell>
          <cell r="F136">
            <v>1038.5084999999999</v>
          </cell>
          <cell r="H136">
            <v>1034.4565</v>
          </cell>
          <cell r="J136">
            <v>1055.165</v>
          </cell>
          <cell r="L136">
            <v>1054.952</v>
          </cell>
          <cell r="N136">
            <v>1053.713</v>
          </cell>
          <cell r="P136">
            <v>1053.713</v>
          </cell>
          <cell r="R136">
            <v>1053.713</v>
          </cell>
          <cell r="T136">
            <v>1053.713</v>
          </cell>
          <cell r="V136">
            <v>1053.713</v>
          </cell>
        </row>
        <row r="137">
          <cell r="A137" t="str">
            <v>Average Shares Outstanding-diluted</v>
          </cell>
          <cell r="D137">
            <v>0</v>
          </cell>
          <cell r="E137">
            <v>1070.441</v>
          </cell>
          <cell r="F137">
            <v>1048.9160000000002</v>
          </cell>
          <cell r="H137">
            <v>1054.3219999999999</v>
          </cell>
          <cell r="J137">
            <v>1079.2090000000001</v>
          </cell>
          <cell r="L137">
            <v>1080.9490000000001</v>
          </cell>
          <cell r="N137">
            <v>1074.4200885294117</v>
          </cell>
          <cell r="P137">
            <v>1071.7330926745205</v>
          </cell>
          <cell r="R137">
            <v>1069.8943150347914</v>
          </cell>
          <cell r="T137">
            <v>1065.6103953141094</v>
          </cell>
          <cell r="V137">
            <v>1059.2113742072459</v>
          </cell>
        </row>
        <row r="139">
          <cell r="A139" t="str">
            <v>Option Expense (cash repurchase)</v>
          </cell>
          <cell r="H139">
            <v>-83.854896457784662</v>
          </cell>
          <cell r="J139">
            <v>-688.34736000000021</v>
          </cell>
          <cell r="L139">
            <v>-1448.3557499999999</v>
          </cell>
          <cell r="N139">
            <v>-1250.6981132800001</v>
          </cell>
          <cell r="P139">
            <v>-1025.4969025200003</v>
          </cell>
          <cell r="R139">
            <v>-894.66758706500684</v>
          </cell>
          <cell r="T139">
            <v>-750.24653984031465</v>
          </cell>
          <cell r="V139">
            <v>-731.62630704954756</v>
          </cell>
        </row>
      </sheetData>
      <sheetData sheetId="9" refreshError="1">
        <row r="1">
          <cell r="B1" t="str">
            <v>Genentech Cash Flow Statements</v>
          </cell>
          <cell r="X1" t="str">
            <v>ElementName</v>
          </cell>
          <cell r="Y1" t="str">
            <v>ScaleOverride</v>
          </cell>
          <cell r="Z1" t="str">
            <v>UnitOverride</v>
          </cell>
          <cell r="AA1" t="str">
            <v>ReverseSign</v>
          </cell>
          <cell r="AB1" t="str">
            <v>IsDrivingAssumption</v>
          </cell>
          <cell r="AC1" t="str">
            <v>SegmentID</v>
          </cell>
        </row>
        <row r="2">
          <cell r="B2" t="str">
            <v>(Dollars in thousands)</v>
          </cell>
        </row>
        <row r="3">
          <cell r="C3" t="str">
            <v>2000A</v>
          </cell>
          <cell r="D3" t="str">
            <v>2001A</v>
          </cell>
          <cell r="E3" t="str">
            <v>2002A</v>
          </cell>
          <cell r="G3" t="str">
            <v>2003A</v>
          </cell>
          <cell r="I3" t="str">
            <v>2004A</v>
          </cell>
          <cell r="K3" t="str">
            <v>2005A</v>
          </cell>
          <cell r="M3" t="str">
            <v>2006E</v>
          </cell>
          <cell r="O3" t="str">
            <v>2007E</v>
          </cell>
          <cell r="Q3" t="str">
            <v>2008E</v>
          </cell>
          <cell r="S3" t="str">
            <v>2009E</v>
          </cell>
          <cell r="U3" t="str">
            <v>2010E</v>
          </cell>
        </row>
        <row r="4">
          <cell r="B4" t="str">
            <v>CASH FLOWS FROM OPERATING ACTIVITIES</v>
          </cell>
        </row>
        <row r="5">
          <cell r="B5" t="str">
            <v>Net Income (Loss)</v>
          </cell>
          <cell r="C5">
            <v>-74.241</v>
          </cell>
          <cell r="D5">
            <v>150.23599999999999</v>
          </cell>
          <cell r="E5">
            <v>63.786999999999999</v>
          </cell>
          <cell r="G5">
            <v>562.45584265857758</v>
          </cell>
          <cell r="I5">
            <v>784.81600000000003</v>
          </cell>
          <cell r="K5">
            <v>1278.991</v>
          </cell>
          <cell r="M5">
            <v>1731.7880296800001</v>
          </cell>
          <cell r="O5">
            <v>2346.2055172820069</v>
          </cell>
          <cell r="Q5">
            <v>3010.0769897997934</v>
          </cell>
          <cell r="S5">
            <v>3579.2035264931046</v>
          </cell>
          <cell r="U5">
            <v>4130.8413284121989</v>
          </cell>
          <cell r="X5" t="str">
            <v>mstag:netIncomeReported</v>
          </cell>
          <cell r="Y5">
            <v>6</v>
          </cell>
          <cell r="Z5" t="str">
            <v>ISO4217:USD</v>
          </cell>
          <cell r="AA5" t="b">
            <v>0</v>
          </cell>
          <cell r="AB5" t="b">
            <v>0</v>
          </cell>
        </row>
        <row r="6">
          <cell r="B6" t="str">
            <v>Effect of Acconting Change</v>
          </cell>
          <cell r="C6">
            <v>0</v>
          </cell>
          <cell r="D6">
            <v>5.6</v>
          </cell>
          <cell r="E6">
            <v>0</v>
          </cell>
          <cell r="G6">
            <v>47.655000000000001</v>
          </cell>
          <cell r="I6">
            <v>0</v>
          </cell>
          <cell r="K6">
            <v>0</v>
          </cell>
          <cell r="M6">
            <v>0</v>
          </cell>
          <cell r="O6">
            <v>0</v>
          </cell>
          <cell r="Q6">
            <v>0</v>
          </cell>
          <cell r="S6">
            <v>0</v>
          </cell>
          <cell r="U6">
            <v>0</v>
          </cell>
          <cell r="X6" t="str">
            <v>mstag:otherCashFlow</v>
          </cell>
          <cell r="Y6">
            <v>6</v>
          </cell>
          <cell r="Z6" t="str">
            <v>ISO4217:USD</v>
          </cell>
          <cell r="AA6" t="b">
            <v>0</v>
          </cell>
          <cell r="AB6" t="b">
            <v>0</v>
          </cell>
        </row>
        <row r="7">
          <cell r="B7" t="str">
            <v>Depreciation &amp; Amort.</v>
          </cell>
          <cell r="C7">
            <v>463.00400000000002</v>
          </cell>
          <cell r="D7">
            <v>428.09100000000001</v>
          </cell>
          <cell r="E7">
            <v>274.95499999999998</v>
          </cell>
          <cell r="G7">
            <v>295.39999999999998</v>
          </cell>
          <cell r="I7">
            <v>353.221</v>
          </cell>
          <cell r="K7">
            <v>370.166</v>
          </cell>
          <cell r="M7">
            <v>399.04512500000004</v>
          </cell>
          <cell r="O7">
            <v>470.34735085178261</v>
          </cell>
          <cell r="Q7">
            <v>521.50970425174091</v>
          </cell>
          <cell r="S7">
            <v>441.54198468548617</v>
          </cell>
          <cell r="U7">
            <v>478.25626966510265</v>
          </cell>
        </row>
        <row r="8">
          <cell r="B8" t="str">
            <v xml:space="preserve">     Depreciation</v>
          </cell>
          <cell r="C8">
            <v>0</v>
          </cell>
          <cell r="D8">
            <v>428.09100000000001</v>
          </cell>
          <cell r="E8">
            <v>104.55499999999998</v>
          </cell>
          <cell r="G8">
            <v>125</v>
          </cell>
          <cell r="I8">
            <v>171.221</v>
          </cell>
          <cell r="K8">
            <v>210.41070000000002</v>
          </cell>
          <cell r="M8">
            <v>277.34512500000005</v>
          </cell>
          <cell r="O8">
            <v>349.84735085178261</v>
          </cell>
          <cell r="Q8">
            <v>403.00970425174086</v>
          </cell>
          <cell r="S8">
            <v>441.54198468548617</v>
          </cell>
          <cell r="U8">
            <v>478.25626966510265</v>
          </cell>
          <cell r="X8" t="str">
            <v>mstag:depreciation</v>
          </cell>
          <cell r="Y8">
            <v>6</v>
          </cell>
          <cell r="Z8" t="str">
            <v>ISO4217:USD</v>
          </cell>
          <cell r="AA8" t="b">
            <v>0</v>
          </cell>
          <cell r="AB8" t="b">
            <v>0</v>
          </cell>
        </row>
        <row r="9">
          <cell r="B9" t="str">
            <v xml:space="preserve">     Amortization</v>
          </cell>
          <cell r="C9">
            <v>0</v>
          </cell>
          <cell r="D9">
            <v>0</v>
          </cell>
          <cell r="E9">
            <v>170.4</v>
          </cell>
          <cell r="G9">
            <v>170.4</v>
          </cell>
          <cell r="I9">
            <v>182</v>
          </cell>
          <cell r="K9">
            <v>159.75529999999998</v>
          </cell>
          <cell r="M9">
            <v>121.7</v>
          </cell>
          <cell r="O9">
            <v>120.5</v>
          </cell>
          <cell r="Q9">
            <v>118.5</v>
          </cell>
          <cell r="S9">
            <v>0</v>
          </cell>
          <cell r="U9">
            <v>0</v>
          </cell>
          <cell r="X9" t="str">
            <v>mstag:amortizationOfIntangiblesAssumedToHaveIndefiniteLife</v>
          </cell>
          <cell r="Y9">
            <v>6</v>
          </cell>
          <cell r="Z9" t="str">
            <v>ISO4217:USD</v>
          </cell>
          <cell r="AA9" t="b">
            <v>0</v>
          </cell>
          <cell r="AB9" t="b">
            <v>0</v>
          </cell>
        </row>
        <row r="10">
          <cell r="B10" t="str">
            <v>Tax Benefits Related to Employee Stock Options</v>
          </cell>
          <cell r="C10">
            <v>0</v>
          </cell>
          <cell r="D10">
            <v>0</v>
          </cell>
          <cell r="E10">
            <v>0</v>
          </cell>
          <cell r="G10">
            <v>0</v>
          </cell>
          <cell r="I10">
            <v>329.47</v>
          </cell>
          <cell r="K10">
            <v>632.29999999999995</v>
          </cell>
          <cell r="M10">
            <v>0</v>
          </cell>
          <cell r="O10">
            <v>0</v>
          </cell>
          <cell r="Q10">
            <v>0</v>
          </cell>
          <cell r="S10">
            <v>0</v>
          </cell>
          <cell r="U10">
            <v>0</v>
          </cell>
          <cell r="X10" t="str">
            <v>mstag:taxBenefitFromExerciseOfEsosCashFlowStatement</v>
          </cell>
          <cell r="Y10">
            <v>6</v>
          </cell>
          <cell r="Z10" t="str">
            <v>ISO4217:USD</v>
          </cell>
          <cell r="AA10" t="b">
            <v>0</v>
          </cell>
          <cell r="AB10" t="b">
            <v>0</v>
          </cell>
        </row>
        <row r="11">
          <cell r="B11" t="str">
            <v>Stock Options Expense (add back)</v>
          </cell>
          <cell r="M11">
            <v>329.18547890000002</v>
          </cell>
          <cell r="O11">
            <v>377.92158567335071</v>
          </cell>
          <cell r="Q11">
            <v>420.55366244040454</v>
          </cell>
          <cell r="S11">
            <v>453.87211418055915</v>
          </cell>
          <cell r="U11">
            <v>477.1008604580183</v>
          </cell>
          <cell r="X11" t="str">
            <v>mstag:otherCashFlow</v>
          </cell>
          <cell r="Y11">
            <v>6</v>
          </cell>
          <cell r="Z11" t="str">
            <v>ISO4217:USD</v>
          </cell>
          <cell r="AA11" t="b">
            <v>0</v>
          </cell>
          <cell r="AB11" t="b">
            <v>0</v>
          </cell>
        </row>
        <row r="12">
          <cell r="B12" t="str">
            <v>Write-Off Of In-Process Research and Development</v>
          </cell>
          <cell r="C12">
            <v>0</v>
          </cell>
          <cell r="D12">
            <v>0</v>
          </cell>
          <cell r="E12">
            <v>0</v>
          </cell>
          <cell r="G12">
            <v>0</v>
          </cell>
          <cell r="I12">
            <v>0</v>
          </cell>
          <cell r="K12">
            <v>0</v>
          </cell>
          <cell r="M12">
            <v>0</v>
          </cell>
          <cell r="O12">
            <v>0</v>
          </cell>
          <cell r="Q12">
            <v>0</v>
          </cell>
          <cell r="S12">
            <v>0</v>
          </cell>
          <cell r="U12">
            <v>0</v>
          </cell>
          <cell r="X12" t="str">
            <v>mstag:acquiredInProcessRAndD</v>
          </cell>
          <cell r="Y12">
            <v>6</v>
          </cell>
          <cell r="Z12" t="str">
            <v>ISO4217:USD</v>
          </cell>
          <cell r="AA12" t="b">
            <v>0</v>
          </cell>
          <cell r="AB12" t="b">
            <v>0</v>
          </cell>
        </row>
        <row r="13">
          <cell r="B13" t="str">
            <v>Deferred Income Taxes</v>
          </cell>
          <cell r="C13">
            <v>-235.315</v>
          </cell>
          <cell r="D13">
            <v>29.356999999999999</v>
          </cell>
          <cell r="E13">
            <v>-196.64400000000001</v>
          </cell>
          <cell r="G13">
            <v>-149</v>
          </cell>
          <cell r="I13">
            <v>-73.584999999999994</v>
          </cell>
          <cell r="K13">
            <v>-109.69499999999999</v>
          </cell>
          <cell r="M13">
            <v>0</v>
          </cell>
          <cell r="O13">
            <v>0</v>
          </cell>
          <cell r="Q13">
            <v>0</v>
          </cell>
          <cell r="S13">
            <v>0</v>
          </cell>
          <cell r="U13">
            <v>0</v>
          </cell>
          <cell r="X13" t="str">
            <v>mstag:deferredTax</v>
          </cell>
          <cell r="Y13">
            <v>6</v>
          </cell>
          <cell r="Z13" t="str">
            <v>ISO4217:USD</v>
          </cell>
          <cell r="AA13" t="b">
            <v>0</v>
          </cell>
          <cell r="AB13" t="b">
            <v>0</v>
          </cell>
        </row>
        <row r="14">
          <cell r="B14" t="str">
            <v xml:space="preserve">        Gain on sales of securities available for-sale</v>
          </cell>
          <cell r="C14">
            <v>-132.30699999999999</v>
          </cell>
          <cell r="D14">
            <v>-39.4</v>
          </cell>
          <cell r="E14">
            <v>-53.71</v>
          </cell>
          <cell r="G14">
            <v>-23.1</v>
          </cell>
          <cell r="I14">
            <v>-13.577</v>
          </cell>
          <cell r="K14">
            <v>-11.606</v>
          </cell>
          <cell r="M14">
            <v>0</v>
          </cell>
          <cell r="O14">
            <v>0</v>
          </cell>
          <cell r="Q14">
            <v>0</v>
          </cell>
          <cell r="S14">
            <v>0</v>
          </cell>
          <cell r="U14">
            <v>0</v>
          </cell>
          <cell r="X14" t="str">
            <v>mstag:gainsLossesFromSaleOfOperatingAssetsOneTime</v>
          </cell>
          <cell r="Y14">
            <v>6</v>
          </cell>
          <cell r="Z14" t="str">
            <v>ISO4217:USD</v>
          </cell>
          <cell r="AA14" t="b">
            <v>1</v>
          </cell>
          <cell r="AB14" t="b">
            <v>0</v>
          </cell>
        </row>
        <row r="15">
          <cell r="B15" t="str">
            <v xml:space="preserve">        Loss on sales of securities available for-sale</v>
          </cell>
          <cell r="C15">
            <v>3.9569999999999999</v>
          </cell>
          <cell r="D15">
            <v>2.0110000000000001</v>
          </cell>
          <cell r="E15">
            <v>5.8680000000000003</v>
          </cell>
          <cell r="G15">
            <v>3.1</v>
          </cell>
          <cell r="I15">
            <v>1.839</v>
          </cell>
          <cell r="K15">
            <v>3.1640000000000001</v>
          </cell>
          <cell r="M15">
            <v>0</v>
          </cell>
          <cell r="O15">
            <v>0</v>
          </cell>
          <cell r="Q15">
            <v>0</v>
          </cell>
          <cell r="S15">
            <v>0</v>
          </cell>
          <cell r="U15">
            <v>0</v>
          </cell>
          <cell r="X15" t="str">
            <v>mstag:gainsLossesFromSaleOfOperatingAssetsOneTime</v>
          </cell>
          <cell r="Y15">
            <v>6</v>
          </cell>
          <cell r="Z15" t="str">
            <v>ISO4217:USD</v>
          </cell>
          <cell r="AA15" t="b">
            <v>1</v>
          </cell>
          <cell r="AB15" t="b">
            <v>0</v>
          </cell>
        </row>
        <row r="16">
          <cell r="B16" t="str">
            <v xml:space="preserve">        Write-down of securities available for-sale</v>
          </cell>
          <cell r="C16">
            <v>4.8</v>
          </cell>
          <cell r="D16">
            <v>27.504000000000001</v>
          </cell>
          <cell r="E16">
            <v>40.759</v>
          </cell>
          <cell r="G16">
            <v>3.8</v>
          </cell>
          <cell r="I16">
            <v>12.34</v>
          </cell>
          <cell r="K16">
            <v>10.044</v>
          </cell>
          <cell r="M16">
            <v>0</v>
          </cell>
          <cell r="O16">
            <v>0</v>
          </cell>
          <cell r="Q16">
            <v>0</v>
          </cell>
          <cell r="S16">
            <v>0</v>
          </cell>
          <cell r="U16">
            <v>0</v>
          </cell>
          <cell r="X16" t="str">
            <v>mstag:assetImpairmentNonGoodwillOneTime</v>
          </cell>
          <cell r="Y16">
            <v>6</v>
          </cell>
          <cell r="Z16" t="str">
            <v>ISO4217:USD</v>
          </cell>
          <cell r="AA16" t="b">
            <v>0</v>
          </cell>
          <cell r="AB16" t="b">
            <v>0</v>
          </cell>
        </row>
        <row r="17">
          <cell r="B17" t="str">
            <v xml:space="preserve">        Write-down of nonmarketable securities</v>
          </cell>
          <cell r="C17">
            <v>0</v>
          </cell>
          <cell r="D17">
            <v>0</v>
          </cell>
          <cell r="E17">
            <v>0</v>
          </cell>
          <cell r="G17">
            <v>0</v>
          </cell>
          <cell r="I17">
            <v>0</v>
          </cell>
          <cell r="K17">
            <v>0</v>
          </cell>
          <cell r="M17">
            <v>0</v>
          </cell>
          <cell r="O17">
            <v>0</v>
          </cell>
          <cell r="Q17">
            <v>0</v>
          </cell>
          <cell r="S17">
            <v>0</v>
          </cell>
          <cell r="U17">
            <v>0</v>
          </cell>
          <cell r="X17" t="str">
            <v>mstag:assetImpairmentNonGoodwillOneTime</v>
          </cell>
          <cell r="Y17">
            <v>6</v>
          </cell>
          <cell r="Z17" t="str">
            <v>ISO4217:USD</v>
          </cell>
          <cell r="AA17" t="b">
            <v>0</v>
          </cell>
          <cell r="AB17" t="b">
            <v>0</v>
          </cell>
        </row>
        <row r="18">
          <cell r="B18" t="str">
            <v xml:space="preserve">        Loss (gain) on fixed asset dispositions</v>
          </cell>
          <cell r="C18">
            <v>1.123</v>
          </cell>
          <cell r="D18">
            <v>4.2110000000000003</v>
          </cell>
          <cell r="E18">
            <v>15.882999999999999</v>
          </cell>
          <cell r="G18">
            <v>10.76</v>
          </cell>
          <cell r="I18">
            <v>5.1150000000000002</v>
          </cell>
          <cell r="K18">
            <v>9.65</v>
          </cell>
          <cell r="M18">
            <v>0</v>
          </cell>
          <cell r="O18">
            <v>0</v>
          </cell>
          <cell r="Q18">
            <v>0</v>
          </cell>
          <cell r="S18">
            <v>0</v>
          </cell>
          <cell r="U18">
            <v>0</v>
          </cell>
          <cell r="X18" t="str">
            <v>mstag:gainsLossesFromSaleOfOperatingAssetsRecurring</v>
          </cell>
          <cell r="Y18">
            <v>6</v>
          </cell>
          <cell r="Z18" t="str">
            <v>ISO4217:USD</v>
          </cell>
          <cell r="AA18" t="b">
            <v>1</v>
          </cell>
          <cell r="AB18" t="b">
            <v>0</v>
          </cell>
        </row>
        <row r="19">
          <cell r="B19" t="str">
            <v>Changes in operating assets and liabilities</v>
          </cell>
        </row>
        <row r="20">
          <cell r="B20" t="str">
            <v xml:space="preserve">           Litigation related liability</v>
          </cell>
          <cell r="C20">
            <v>0</v>
          </cell>
          <cell r="D20">
            <v>0</v>
          </cell>
          <cell r="E20">
            <v>552.18499999999995</v>
          </cell>
          <cell r="G20">
            <v>56.1</v>
          </cell>
          <cell r="I20">
            <v>34.722000000000001</v>
          </cell>
          <cell r="K20">
            <v>51.423999999999999</v>
          </cell>
          <cell r="M20">
            <v>52</v>
          </cell>
          <cell r="O20">
            <v>52</v>
          </cell>
          <cell r="Q20">
            <v>52</v>
          </cell>
          <cell r="S20">
            <v>52</v>
          </cell>
          <cell r="U20">
            <v>52</v>
          </cell>
          <cell r="X20" t="str">
            <v>mstag:netIncreaseInOtherLiabilitiesNonOperating</v>
          </cell>
          <cell r="Y20">
            <v>6</v>
          </cell>
          <cell r="Z20" t="str">
            <v>ISO4217:USD</v>
          </cell>
          <cell r="AA20" t="b">
            <v>0</v>
          </cell>
          <cell r="AB20" t="b">
            <v>0</v>
          </cell>
        </row>
        <row r="21">
          <cell r="B21" t="str">
            <v xml:space="preserve">            Receivables and other current assets</v>
          </cell>
          <cell r="C21">
            <v>-65.33</v>
          </cell>
          <cell r="D21">
            <v>-59.5</v>
          </cell>
          <cell r="E21">
            <v>-107.483</v>
          </cell>
          <cell r="G21">
            <v>-146.1</v>
          </cell>
          <cell r="I21">
            <v>-363.80500000000001</v>
          </cell>
          <cell r="K21">
            <v>-129.11799999999999</v>
          </cell>
          <cell r="M21">
            <v>-482.23639950000012</v>
          </cell>
          <cell r="O21">
            <v>-419.21483417812306</v>
          </cell>
          <cell r="Q21">
            <v>-327.43072495785668</v>
          </cell>
          <cell r="S21">
            <v>-78.148645701194113</v>
          </cell>
          <cell r="U21">
            <v>127.58781810971152</v>
          </cell>
          <cell r="X21" t="str">
            <v>mstag:netDecreaseInTradeReceivables</v>
          </cell>
          <cell r="Y21">
            <v>6</v>
          </cell>
          <cell r="Z21" t="str">
            <v>ISO4217:USD</v>
          </cell>
          <cell r="AA21" t="b">
            <v>0</v>
          </cell>
          <cell r="AB21" t="b">
            <v>0</v>
          </cell>
        </row>
        <row r="22">
          <cell r="B22" t="str">
            <v xml:space="preserve">            Inventories, including write-up effects</v>
          </cell>
          <cell r="C22">
            <v>9.4149999999999991</v>
          </cell>
          <cell r="D22">
            <v>-91.116</v>
          </cell>
          <cell r="E22">
            <v>-36.595999999999997</v>
          </cell>
          <cell r="G22">
            <v>-93.26</v>
          </cell>
          <cell r="I22">
            <v>-120.703</v>
          </cell>
          <cell r="K22">
            <v>-112.172</v>
          </cell>
          <cell r="M22">
            <v>-203.06840740740745</v>
          </cell>
          <cell r="O22">
            <v>-170.67368457935152</v>
          </cell>
          <cell r="Q22">
            <v>-80.221479214376586</v>
          </cell>
          <cell r="S22">
            <v>-59.809257507460643</v>
          </cell>
          <cell r="U22">
            <v>-51.254885944137868</v>
          </cell>
          <cell r="X22" t="str">
            <v>mstag:netDecreaseInInventories</v>
          </cell>
          <cell r="Y22">
            <v>6</v>
          </cell>
          <cell r="Z22" t="str">
            <v>ISO4217:USD</v>
          </cell>
          <cell r="AA22" t="b">
            <v>0</v>
          </cell>
          <cell r="AB22" t="b">
            <v>0</v>
          </cell>
        </row>
        <row r="23">
          <cell r="B23" t="str">
            <v xml:space="preserve">            Deferred Revenue</v>
          </cell>
          <cell r="C23">
            <v>0</v>
          </cell>
          <cell r="D23">
            <v>-15.497</v>
          </cell>
          <cell r="E23">
            <v>2</v>
          </cell>
          <cell r="G23">
            <v>239.14500000000001</v>
          </cell>
          <cell r="I23">
            <v>-14.927</v>
          </cell>
          <cell r="K23">
            <v>-49.375</v>
          </cell>
          <cell r="M23">
            <v>191.59800000000001</v>
          </cell>
          <cell r="O23">
            <v>107.93825608416142</v>
          </cell>
          <cell r="Q23">
            <v>91.253059470930111</v>
          </cell>
          <cell r="S23">
            <v>74.092633340663724</v>
          </cell>
          <cell r="U23">
            <v>59.603533573130335</v>
          </cell>
          <cell r="X23" t="str">
            <v>mstag:netIncreaseInDeferredRevenue</v>
          </cell>
          <cell r="Y23">
            <v>6</v>
          </cell>
          <cell r="Z23" t="str">
            <v>ISO4217:USD</v>
          </cell>
          <cell r="AA23" t="b">
            <v>0</v>
          </cell>
          <cell r="AB23" t="b">
            <v>0</v>
          </cell>
        </row>
        <row r="24">
          <cell r="B24" t="str">
            <v xml:space="preserve">            Accounts payable, and other liabilities </v>
          </cell>
          <cell r="C24">
            <v>239.38800000000001</v>
          </cell>
          <cell r="D24">
            <v>124.77</v>
          </cell>
          <cell r="E24">
            <v>148.68199999999999</v>
          </cell>
          <cell r="G24">
            <v>463.6</v>
          </cell>
          <cell r="I24">
            <v>335.54199999999997</v>
          </cell>
          <cell r="K24">
            <v>437.54899999999998</v>
          </cell>
          <cell r="M24">
            <v>24.442089133333141</v>
          </cell>
          <cell r="O24">
            <v>190.90714021868848</v>
          </cell>
          <cell r="Q24">
            <v>112.59478625470587</v>
          </cell>
          <cell r="S24">
            <v>57.95152783026424</v>
          </cell>
          <cell r="U24">
            <v>11.020237528346001</v>
          </cell>
          <cell r="X24" t="str">
            <v>mstag:netIncreaseInTradeAndOtherPayables</v>
          </cell>
          <cell r="Y24">
            <v>6</v>
          </cell>
          <cell r="Z24" t="str">
            <v>ISO4217:USD</v>
          </cell>
          <cell r="AA24" t="b">
            <v>0</v>
          </cell>
          <cell r="AB24" t="b">
            <v>0</v>
          </cell>
        </row>
        <row r="25">
          <cell r="B25" t="str">
            <v>Net cash provided by (used in) operating activities</v>
          </cell>
          <cell r="C25">
            <v>214.49400000000006</v>
          </cell>
          <cell r="D25">
            <v>566.26700000000005</v>
          </cell>
          <cell r="E25">
            <v>709.68599999999981</v>
          </cell>
          <cell r="G25">
            <v>1270.5558426585776</v>
          </cell>
          <cell r="I25">
            <v>1270.4680000000001</v>
          </cell>
          <cell r="K25">
            <v>2381.3220000000001</v>
          </cell>
          <cell r="M25">
            <v>2042.7539158059255</v>
          </cell>
          <cell r="O25">
            <v>2955.4313313525158</v>
          </cell>
          <cell r="Q25">
            <v>3800.3359980453415</v>
          </cell>
          <cell r="S25">
            <v>4520.7038833214228</v>
          </cell>
          <cell r="U25">
            <v>5285.1551618023705</v>
          </cell>
        </row>
        <row r="26">
          <cell r="B26" t="str">
            <v>CASH FLOWS FROM INVESTING ACTIVITIES</v>
          </cell>
        </row>
        <row r="27">
          <cell r="B27" t="str">
            <v xml:space="preserve">       Investment in marketable securities, net of sales</v>
          </cell>
          <cell r="C27">
            <v>-12.960000000000036</v>
          </cell>
          <cell r="D27">
            <v>-566.21399999999994</v>
          </cell>
          <cell r="E27">
            <v>811.46400000000017</v>
          </cell>
          <cell r="G27">
            <v>-1054.1300000000001</v>
          </cell>
          <cell r="I27">
            <v>177.0250000000002</v>
          </cell>
          <cell r="K27">
            <v>-297.928</v>
          </cell>
          <cell r="M27">
            <v>0</v>
          </cell>
          <cell r="O27">
            <v>-500</v>
          </cell>
          <cell r="Q27">
            <v>-1000</v>
          </cell>
          <cell r="S27">
            <v>-2000</v>
          </cell>
          <cell r="U27">
            <v>-2000</v>
          </cell>
          <cell r="X27" t="str">
            <v>mstag:netDecreaseInOtherAssets</v>
          </cell>
          <cell r="Y27">
            <v>6</v>
          </cell>
          <cell r="Z27" t="str">
            <v>ISO4217:USD</v>
          </cell>
          <cell r="AA27" t="b">
            <v>0</v>
          </cell>
          <cell r="AB27" t="b">
            <v>0</v>
          </cell>
        </row>
        <row r="28">
          <cell r="B28" t="str">
            <v xml:space="preserve">        Capital expenditures</v>
          </cell>
          <cell r="C28">
            <v>-112.681</v>
          </cell>
          <cell r="D28">
            <v>-213.351</v>
          </cell>
          <cell r="E28">
            <v>-322.83199999999999</v>
          </cell>
          <cell r="G28">
            <v>-321.95</v>
          </cell>
          <cell r="I28">
            <v>-649.85799999999995</v>
          </cell>
          <cell r="K28">
            <v>-1399.8240000000001</v>
          </cell>
          <cell r="M28">
            <v>-1482.0585000000001</v>
          </cell>
          <cell r="O28">
            <v>-1579.0775170356521</v>
          </cell>
          <cell r="Q28">
            <v>-1179.3767679991645</v>
          </cell>
          <cell r="S28">
            <v>-875.1623386749061</v>
          </cell>
          <cell r="U28">
            <v>-828.35075659232984</v>
          </cell>
          <cell r="X28" t="str">
            <v>mstag:capitalExpenditures</v>
          </cell>
          <cell r="Y28">
            <v>6</v>
          </cell>
          <cell r="Z28" t="str">
            <v>ISO4217:USD</v>
          </cell>
          <cell r="AA28" t="b">
            <v>1</v>
          </cell>
          <cell r="AB28" t="b">
            <v>0</v>
          </cell>
        </row>
        <row r="29">
          <cell r="B29" t="str">
            <v xml:space="preserve">        Change in other assets</v>
          </cell>
          <cell r="C29">
            <v>-55.603999999999999</v>
          </cell>
          <cell r="D29">
            <v>-10.105</v>
          </cell>
          <cell r="E29">
            <v>12.875</v>
          </cell>
          <cell r="G29">
            <v>-56.1</v>
          </cell>
          <cell r="I29">
            <v>-57.954999999999998</v>
          </cell>
          <cell r="K29">
            <v>-42.716000000000001</v>
          </cell>
          <cell r="M29">
            <v>0</v>
          </cell>
          <cell r="O29">
            <v>0</v>
          </cell>
          <cell r="Q29">
            <v>0</v>
          </cell>
          <cell r="S29">
            <v>0</v>
          </cell>
          <cell r="U29">
            <v>0</v>
          </cell>
          <cell r="X29" t="str">
            <v>mstag:netDecreaseInOtherAssets</v>
          </cell>
          <cell r="Y29">
            <v>6</v>
          </cell>
          <cell r="Z29" t="str">
            <v>ISO4217:USD</v>
          </cell>
          <cell r="AA29" t="b">
            <v>0</v>
          </cell>
          <cell r="AB29" t="b">
            <v>0</v>
          </cell>
        </row>
        <row r="30">
          <cell r="B30" t="str">
            <v xml:space="preserve">        Transfer of restricted cash included in other long-term assets</v>
          </cell>
          <cell r="C30">
            <v>0</v>
          </cell>
          <cell r="D30">
            <v>0</v>
          </cell>
          <cell r="E30">
            <v>-630</v>
          </cell>
          <cell r="G30">
            <v>0</v>
          </cell>
          <cell r="I30">
            <v>4.5999999999999996</v>
          </cell>
          <cell r="K30">
            <v>-53</v>
          </cell>
          <cell r="M30">
            <v>0</v>
          </cell>
          <cell r="O30">
            <v>0</v>
          </cell>
          <cell r="Q30">
            <v>0</v>
          </cell>
          <cell r="S30">
            <v>0</v>
          </cell>
          <cell r="U30">
            <v>0</v>
          </cell>
          <cell r="X30" t="str">
            <v>mstag:netDecreaseInOtherAssets</v>
          </cell>
          <cell r="Y30">
            <v>6</v>
          </cell>
          <cell r="Z30" t="str">
            <v>ISO4217:USD</v>
          </cell>
          <cell r="AA30" t="b">
            <v>0</v>
          </cell>
          <cell r="AB30" t="b">
            <v>0</v>
          </cell>
        </row>
        <row r="31">
          <cell r="B31" t="str">
            <v>Net cash used in investing activities</v>
          </cell>
          <cell r="C31">
            <v>-181.24500000000003</v>
          </cell>
          <cell r="D31">
            <v>-789.67</v>
          </cell>
          <cell r="E31">
            <v>-128.49299999999982</v>
          </cell>
          <cell r="G31">
            <v>-1432.18</v>
          </cell>
          <cell r="I31">
            <v>-526.18799999999976</v>
          </cell>
          <cell r="K31">
            <v>-1793.4679999999998</v>
          </cell>
          <cell r="M31">
            <v>-1482.0585000000001</v>
          </cell>
          <cell r="O31">
            <v>-2079.0775170356519</v>
          </cell>
          <cell r="Q31">
            <v>-2179.3767679991643</v>
          </cell>
          <cell r="S31">
            <v>-2875.1623386749061</v>
          </cell>
          <cell r="U31">
            <v>-2828.3507565923301</v>
          </cell>
        </row>
        <row r="32">
          <cell r="B32" t="str">
            <v>CASH FLOWS FROM FINANCING ACTIVITIES</v>
          </cell>
        </row>
        <row r="33">
          <cell r="B33" t="str">
            <v xml:space="preserve">        Stock issuances</v>
          </cell>
          <cell r="C33">
            <v>180.37899999999999</v>
          </cell>
          <cell r="D33">
            <v>106.866</v>
          </cell>
          <cell r="E33">
            <v>74.164000000000001</v>
          </cell>
          <cell r="G33">
            <v>526.86</v>
          </cell>
          <cell r="I33">
            <v>505.37400000000002</v>
          </cell>
          <cell r="K33">
            <v>820.49300000000005</v>
          </cell>
          <cell r="M33">
            <v>720.03708671999993</v>
          </cell>
          <cell r="O33">
            <v>694.32147647999989</v>
          </cell>
          <cell r="Q33">
            <v>720.53905543188478</v>
          </cell>
          <cell r="S33">
            <v>729.31083523714256</v>
          </cell>
          <cell r="U33">
            <v>875.173002284571</v>
          </cell>
          <cell r="X33" t="str">
            <v>mstag:proceedsFromIssuanceFundsUsedToRepurchaseCommonStock</v>
          </cell>
          <cell r="Y33">
            <v>6</v>
          </cell>
          <cell r="Z33" t="str">
            <v>ISO4217:USD</v>
          </cell>
          <cell r="AA33" t="b">
            <v>0</v>
          </cell>
          <cell r="AB33" t="b">
            <v>0</v>
          </cell>
        </row>
        <row r="34">
          <cell r="B34" t="str">
            <v xml:space="preserve">        Stock repurchases</v>
          </cell>
          <cell r="C34">
            <v>0</v>
          </cell>
          <cell r="D34">
            <v>-39.704000000000001</v>
          </cell>
          <cell r="E34">
            <v>-692.75199999999995</v>
          </cell>
          <cell r="G34">
            <v>-201.34</v>
          </cell>
          <cell r="I34">
            <v>-1351.683</v>
          </cell>
          <cell r="K34">
            <v>-2015.912</v>
          </cell>
          <cell r="M34">
            <v>-1970.7352000000001</v>
          </cell>
          <cell r="O34">
            <v>-1719.818379</v>
          </cell>
          <cell r="Q34">
            <v>-1615.2066424968916</v>
          </cell>
          <cell r="S34">
            <v>-1479.5573750774572</v>
          </cell>
          <cell r="U34">
            <v>-1606.7993093341186</v>
          </cell>
          <cell r="X34" t="str">
            <v>mstag:proceedsFromIssuanceFundsUsedToRepurchaseCommonStock</v>
          </cell>
          <cell r="Y34">
            <v>6</v>
          </cell>
          <cell r="Z34" t="str">
            <v>ISO4217:USD</v>
          </cell>
          <cell r="AA34" t="b">
            <v>0</v>
          </cell>
          <cell r="AB34" t="b">
            <v>0</v>
          </cell>
        </row>
        <row r="35">
          <cell r="B35" t="str">
            <v xml:space="preserve">        Tax benefits from stock options</v>
          </cell>
          <cell r="C35">
            <v>0</v>
          </cell>
          <cell r="D35">
            <v>0</v>
          </cell>
          <cell r="E35">
            <v>0</v>
          </cell>
          <cell r="M35">
            <v>466.42246192600749</v>
          </cell>
          <cell r="O35">
            <v>382.51034463996001</v>
          </cell>
          <cell r="Q35">
            <v>333.71100997524758</v>
          </cell>
          <cell r="S35">
            <v>279.84195936043733</v>
          </cell>
          <cell r="U35">
            <v>272.89661252948122</v>
          </cell>
          <cell r="X35" t="str">
            <v>mstag:taxBenefitFromExerciseOfEsosCashFlowStatement</v>
          </cell>
          <cell r="Y35">
            <v>6</v>
          </cell>
          <cell r="Z35" t="str">
            <v>ISO4217:USD</v>
          </cell>
          <cell r="AA35" t="b">
            <v>0</v>
          </cell>
          <cell r="AB35" t="b">
            <v>0</v>
          </cell>
        </row>
        <row r="36">
          <cell r="B36" t="str">
            <v xml:space="preserve">        Debt issuance</v>
          </cell>
          <cell r="C36">
            <v>0</v>
          </cell>
          <cell r="D36">
            <v>0</v>
          </cell>
          <cell r="E36">
            <v>-149.69200000000001</v>
          </cell>
          <cell r="G36">
            <v>0</v>
          </cell>
          <cell r="I36">
            <v>0</v>
          </cell>
          <cell r="K36">
            <v>1562.953</v>
          </cell>
          <cell r="M36">
            <v>0</v>
          </cell>
          <cell r="O36">
            <v>0</v>
          </cell>
          <cell r="Q36">
            <v>0</v>
          </cell>
          <cell r="S36">
            <v>0</v>
          </cell>
          <cell r="U36">
            <v>-500</v>
          </cell>
          <cell r="X36" t="str">
            <v>mstag:proceedsFromIssuanceAndCashUsedToRepayShortTermBorrowings</v>
          </cell>
          <cell r="Y36">
            <v>6</v>
          </cell>
          <cell r="Z36" t="str">
            <v>ISO4217:USD</v>
          </cell>
          <cell r="AA36" t="b">
            <v>0</v>
          </cell>
          <cell r="AB36" t="b">
            <v>0</v>
          </cell>
        </row>
        <row r="37">
          <cell r="B37" t="str">
            <v>Net cash provided by financing activities</v>
          </cell>
          <cell r="C37">
            <v>180.37899999999999</v>
          </cell>
          <cell r="D37">
            <v>67.162000000000006</v>
          </cell>
          <cell r="E37">
            <v>-768.28</v>
          </cell>
          <cell r="G37">
            <v>325.52</v>
          </cell>
          <cell r="I37">
            <v>-846.30899999999997</v>
          </cell>
          <cell r="K37">
            <v>367.53400000000011</v>
          </cell>
          <cell r="M37">
            <v>-784.27565135399266</v>
          </cell>
          <cell r="O37">
            <v>-642.98655788004021</v>
          </cell>
          <cell r="Q37">
            <v>-560.95657708975932</v>
          </cell>
          <cell r="S37">
            <v>-470.40458047987732</v>
          </cell>
          <cell r="U37">
            <v>-958.72969452006635</v>
          </cell>
        </row>
        <row r="38">
          <cell r="B38" t="str">
            <v xml:space="preserve">Change in cash </v>
          </cell>
          <cell r="C38">
            <v>213.62800000000001</v>
          </cell>
          <cell r="D38">
            <v>-156.24099999999987</v>
          </cell>
          <cell r="E38">
            <v>-187.08699999999999</v>
          </cell>
          <cell r="G38">
            <v>163.89584265857752</v>
          </cell>
          <cell r="I38">
            <v>-102.02899999999977</v>
          </cell>
          <cell r="K38">
            <v>955.38800000000037</v>
          </cell>
          <cell r="M38">
            <v>-223.58023554806709</v>
          </cell>
          <cell r="O38">
            <v>233.36725643682394</v>
          </cell>
          <cell r="Q38">
            <v>1060.0026529564179</v>
          </cell>
          <cell r="S38">
            <v>1175.1369641666392</v>
          </cell>
          <cell r="U38">
            <v>1498.0747106899739</v>
          </cell>
        </row>
        <row r="39">
          <cell r="B39" t="str">
            <v>Cash at beginning of year</v>
          </cell>
          <cell r="C39">
            <v>337.68200000000002</v>
          </cell>
          <cell r="D39">
            <v>551.31000000000006</v>
          </cell>
          <cell r="E39">
            <v>395.06900000000019</v>
          </cell>
          <cell r="G39">
            <v>207.9820000000002</v>
          </cell>
          <cell r="I39">
            <v>371.87784265857772</v>
          </cell>
          <cell r="K39">
            <v>270.12299999999999</v>
          </cell>
          <cell r="M39">
            <v>1225.5110000000004</v>
          </cell>
          <cell r="O39">
            <v>1001.9307644519333</v>
          </cell>
          <cell r="Q39">
            <v>1235.2980208887573</v>
          </cell>
          <cell r="S39">
            <v>2295.300673845175</v>
          </cell>
          <cell r="U39">
            <v>3470.4376380118142</v>
          </cell>
        </row>
        <row r="40">
          <cell r="B40" t="str">
            <v>Cash at end of year</v>
          </cell>
          <cell r="C40">
            <v>551.31000000000006</v>
          </cell>
          <cell r="D40">
            <v>395.06900000000019</v>
          </cell>
          <cell r="E40">
            <v>207.9820000000002</v>
          </cell>
          <cell r="G40">
            <v>371.87784265857772</v>
          </cell>
          <cell r="I40">
            <v>270.12299999999999</v>
          </cell>
          <cell r="K40">
            <v>1225.5110000000004</v>
          </cell>
          <cell r="M40">
            <v>1001.9307644519333</v>
          </cell>
          <cell r="O40">
            <v>1235.2980208887573</v>
          </cell>
          <cell r="Q40">
            <v>2295.300673845175</v>
          </cell>
          <cell r="S40">
            <v>3470.4376380118142</v>
          </cell>
          <cell r="U40">
            <v>4968.5123487017881</v>
          </cell>
        </row>
        <row r="41">
          <cell r="B41" t="str">
            <v>Cash and Marketable Securities at end of year</v>
          </cell>
          <cell r="G41">
            <v>2934.3978426585777</v>
          </cell>
          <cell r="I41">
            <v>2780.4319999999998</v>
          </cell>
          <cell r="K41">
            <v>3813.8920000000007</v>
          </cell>
          <cell r="M41">
            <v>3590.3117644519334</v>
          </cell>
          <cell r="O41">
            <v>4323.6790208887569</v>
          </cell>
          <cell r="Q41">
            <v>6383.6816738451744</v>
          </cell>
          <cell r="S41">
            <v>9558.8186380118132</v>
          </cell>
          <cell r="U41">
            <v>13056.893348701788</v>
          </cell>
        </row>
        <row r="45">
          <cell r="G45" t="str">
            <v>2003-FY</v>
          </cell>
          <cell r="I45" t="str">
            <v>2004-FY</v>
          </cell>
          <cell r="K45" t="str">
            <v>2005-FY</v>
          </cell>
          <cell r="M45" t="str">
            <v>2006-FY</v>
          </cell>
          <cell r="O45" t="str">
            <v>2007-FY</v>
          </cell>
          <cell r="Q45" t="str">
            <v>2008-FY</v>
          </cell>
          <cell r="S45" t="str">
            <v>2009-FY</v>
          </cell>
          <cell r="U45" t="str">
            <v>2010-FY</v>
          </cell>
        </row>
        <row r="47">
          <cell r="B47" t="str">
            <v>Free Cash Flow</v>
          </cell>
          <cell r="G47">
            <v>948.60584265857756</v>
          </cell>
          <cell r="I47">
            <v>620.61000000000013</v>
          </cell>
          <cell r="K47">
            <v>981.49800000000005</v>
          </cell>
          <cell r="M47">
            <v>1027.1178777319328</v>
          </cell>
          <cell r="O47">
            <v>1758.8641589568238</v>
          </cell>
          <cell r="Q47">
            <v>2954.6702400214249</v>
          </cell>
          <cell r="S47">
            <v>3925.3835040069539</v>
          </cell>
          <cell r="U47">
            <v>4729.7010177395214</v>
          </cell>
        </row>
      </sheetData>
      <sheetData sheetId="10" refreshError="1"/>
      <sheetData sheetId="11" refreshError="1"/>
      <sheetData sheetId="12" refreshError="1"/>
      <sheetData sheetId="13" refreshError="1"/>
      <sheetData sheetId="14" refreshError="1"/>
      <sheetData sheetId="15" refreshError="1">
        <row r="2">
          <cell r="C2" t="str">
            <v>Patient Growth Rate</v>
          </cell>
          <cell r="D2">
            <v>1.65E-3</v>
          </cell>
        </row>
        <row r="4">
          <cell r="B4" t="str">
            <v>Front - Line</v>
          </cell>
          <cell r="C4">
            <v>38047</v>
          </cell>
          <cell r="D4">
            <v>38078</v>
          </cell>
          <cell r="E4">
            <v>38108</v>
          </cell>
          <cell r="F4">
            <v>38139</v>
          </cell>
          <cell r="G4">
            <v>38169</v>
          </cell>
          <cell r="H4">
            <v>38200</v>
          </cell>
          <cell r="I4">
            <v>38231</v>
          </cell>
          <cell r="J4">
            <v>38261</v>
          </cell>
          <cell r="K4">
            <v>38292</v>
          </cell>
          <cell r="L4">
            <v>38322</v>
          </cell>
          <cell r="M4">
            <v>2004</v>
          </cell>
          <cell r="P4" t="str">
            <v>Front - Line</v>
          </cell>
          <cell r="Q4">
            <v>38353</v>
          </cell>
          <cell r="R4">
            <v>38384</v>
          </cell>
          <cell r="S4">
            <v>38412</v>
          </cell>
          <cell r="T4">
            <v>38443</v>
          </cell>
          <cell r="U4">
            <v>38473</v>
          </cell>
          <cell r="V4">
            <v>38504</v>
          </cell>
          <cell r="W4">
            <v>38534</v>
          </cell>
          <cell r="X4">
            <v>38565</v>
          </cell>
          <cell r="Y4">
            <v>38596</v>
          </cell>
          <cell r="Z4">
            <v>38626</v>
          </cell>
          <cell r="AA4">
            <v>38657</v>
          </cell>
          <cell r="AB4">
            <v>38687</v>
          </cell>
          <cell r="AC4">
            <v>2005</v>
          </cell>
        </row>
        <row r="5">
          <cell r="B5" t="str">
            <v>Previously Diagnosed Patients</v>
          </cell>
          <cell r="C5">
            <v>8000</v>
          </cell>
        </row>
        <row r="6">
          <cell r="B6" t="str">
            <v>New Stage III/IV Diagnoses Per Month</v>
          </cell>
          <cell r="C6">
            <v>3022</v>
          </cell>
          <cell r="D6">
            <v>3026.9862999999996</v>
          </cell>
          <cell r="E6">
            <v>3031.9808273949993</v>
          </cell>
          <cell r="F6">
            <v>3036.9835957602008</v>
          </cell>
          <cell r="G6">
            <v>3041.9946186932048</v>
          </cell>
          <cell r="H6">
            <v>3047.0139098140485</v>
          </cell>
          <cell r="I6">
            <v>3052.0414827652417</v>
          </cell>
          <cell r="J6">
            <v>3057.0773512118039</v>
          </cell>
          <cell r="K6">
            <v>3062.1215288413032</v>
          </cell>
          <cell r="L6">
            <v>3067.1740293638909</v>
          </cell>
          <cell r="M6">
            <v>30445.373643844694</v>
          </cell>
          <cell r="P6" t="str">
            <v>New Stage III/IV Diagnoses Per Month</v>
          </cell>
          <cell r="Q6">
            <v>3072.2348665123409</v>
          </cell>
          <cell r="R6">
            <v>3077.3040540420861</v>
          </cell>
          <cell r="S6">
            <v>3082.3816057312551</v>
          </cell>
          <cell r="T6">
            <v>3087.4675353807115</v>
          </cell>
          <cell r="U6">
            <v>3092.5618568140894</v>
          </cell>
          <cell r="V6">
            <v>3097.6645838778322</v>
          </cell>
          <cell r="W6">
            <v>3102.7757304412303</v>
          </cell>
          <cell r="X6">
            <v>3107.8953103964582</v>
          </cell>
          <cell r="Y6">
            <v>3113.023337658612</v>
          </cell>
          <cell r="Z6">
            <v>3118.1598261657487</v>
          </cell>
          <cell r="AA6">
            <v>3123.3047898789218</v>
          </cell>
          <cell r="AB6">
            <v>3128.458242782222</v>
          </cell>
          <cell r="AC6">
            <v>37203.231739681505</v>
          </cell>
        </row>
        <row r="7">
          <cell r="C7">
            <v>0.40827436037016873</v>
          </cell>
          <cell r="D7">
            <v>0.22</v>
          </cell>
          <cell r="E7">
            <v>0.21</v>
          </cell>
          <cell r="F7">
            <v>0.22</v>
          </cell>
          <cell r="G7">
            <v>0.4</v>
          </cell>
          <cell r="H7">
            <v>0.4</v>
          </cell>
          <cell r="I7">
            <v>0.4</v>
          </cell>
          <cell r="J7">
            <v>0.45</v>
          </cell>
          <cell r="K7">
            <v>0.46</v>
          </cell>
          <cell r="L7">
            <v>0.48</v>
          </cell>
          <cell r="M7">
            <v>0.47244332649680609</v>
          </cell>
          <cell r="Q7">
            <v>0.53</v>
          </cell>
          <cell r="R7">
            <v>0.55000000000000004</v>
          </cell>
          <cell r="S7">
            <v>0.61</v>
          </cell>
          <cell r="T7">
            <v>0.62</v>
          </cell>
          <cell r="U7">
            <v>0.63</v>
          </cell>
          <cell r="V7">
            <v>0.64</v>
          </cell>
          <cell r="W7">
            <v>0.64</v>
          </cell>
          <cell r="X7">
            <v>0.65</v>
          </cell>
          <cell r="Y7">
            <v>0.66</v>
          </cell>
          <cell r="Z7">
            <v>0.67</v>
          </cell>
          <cell r="AA7">
            <v>0.67</v>
          </cell>
          <cell r="AB7">
            <v>0.67</v>
          </cell>
          <cell r="AC7">
            <v>0.62855979730513767</v>
          </cell>
        </row>
        <row r="8">
          <cell r="B8" t="str">
            <v>New Patients Starting Therapy</v>
          </cell>
          <cell r="C8">
            <v>4500</v>
          </cell>
          <cell r="D8">
            <v>665.93698599999993</v>
          </cell>
          <cell r="E8">
            <v>636.71597375294982</v>
          </cell>
          <cell r="F8">
            <v>668.13639106724418</v>
          </cell>
          <cell r="G8">
            <v>1216.7978474772819</v>
          </cell>
          <cell r="H8">
            <v>1218.8055639256195</v>
          </cell>
          <cell r="I8">
            <v>1220.8165931060967</v>
          </cell>
          <cell r="J8">
            <v>1375.6848080453119</v>
          </cell>
          <cell r="K8">
            <v>1408.5759032669996</v>
          </cell>
          <cell r="L8">
            <v>1472.2435340946677</v>
          </cell>
          <cell r="M8">
            <v>14383.713600736173</v>
          </cell>
          <cell r="P8" t="str">
            <v>New Patients Starting Therapy</v>
          </cell>
          <cell r="Q8">
            <v>1628.2844792515407</v>
          </cell>
          <cell r="R8">
            <v>1692.5172297231475</v>
          </cell>
          <cell r="S8">
            <v>1880.2527794960656</v>
          </cell>
          <cell r="T8">
            <v>1914.229871936041</v>
          </cell>
          <cell r="U8">
            <v>1948.3139697928764</v>
          </cell>
          <cell r="V8">
            <v>1982.5053336818128</v>
          </cell>
          <cell r="W8">
            <v>1985.7764674823875</v>
          </cell>
          <cell r="X8">
            <v>2020.1319517576978</v>
          </cell>
          <cell r="Y8">
            <v>2054.5954028546839</v>
          </cell>
          <cell r="Z8">
            <v>2089.1670835310515</v>
          </cell>
          <cell r="AA8">
            <v>2092.6142092188779</v>
          </cell>
          <cell r="AB8">
            <v>2096.0670226640887</v>
          </cell>
          <cell r="AC8">
            <v>23384.455801390272</v>
          </cell>
        </row>
        <row r="9">
          <cell r="B9" t="str">
            <v>Failures</v>
          </cell>
          <cell r="P9" t="str">
            <v>Failures</v>
          </cell>
          <cell r="AE9" t="str">
            <v>Distribution of Failure Timing</v>
          </cell>
        </row>
        <row r="10">
          <cell r="B10" t="str">
            <v>1 Month</v>
          </cell>
          <cell r="C10">
            <v>52.05655526992286</v>
          </cell>
          <cell r="D10">
            <v>7.7036412262210767</v>
          </cell>
          <cell r="E10">
            <v>7.3656089508695972</v>
          </cell>
          <cell r="F10">
            <v>7.7290842154308423</v>
          </cell>
          <cell r="G10">
            <v>14.076067644338734</v>
          </cell>
          <cell r="H10">
            <v>14.099293155951893</v>
          </cell>
          <cell r="I10">
            <v>14.122556989659211</v>
          </cell>
          <cell r="J10">
            <v>15.914091609778668</v>
          </cell>
          <cell r="K10">
            <v>16.294579857844464</v>
          </cell>
          <cell r="L10">
            <v>17.031094867419029</v>
          </cell>
          <cell r="P10" t="str">
            <v>1 Month</v>
          </cell>
          <cell r="Q10">
            <v>18.836195775403421</v>
          </cell>
          <cell r="R10">
            <v>19.579248158751057</v>
          </cell>
          <cell r="S10">
            <v>21.750996163836227</v>
          </cell>
          <cell r="T10">
            <v>22.144047361727974</v>
          </cell>
          <cell r="U10">
            <v>22.538336411485709</v>
          </cell>
          <cell r="V10">
            <v>22.933866327938702</v>
          </cell>
          <cell r="W10">
            <v>22.971707207379797</v>
          </cell>
          <cell r="X10">
            <v>23.369135688713722</v>
          </cell>
          <cell r="Y10">
            <v>23.767813143563174</v>
          </cell>
          <cell r="Z10">
            <v>24.167742611541719</v>
          </cell>
          <cell r="AA10">
            <v>24.207619386850766</v>
          </cell>
          <cell r="AB10">
            <v>24.247561958839064</v>
          </cell>
          <cell r="AE10">
            <v>1</v>
          </cell>
          <cell r="AF10">
            <v>0.9</v>
          </cell>
          <cell r="AG10">
            <v>1.1568123393316192E-2</v>
          </cell>
        </row>
        <row r="11">
          <cell r="B11" t="str">
            <v>2 Months</v>
          </cell>
          <cell r="D11">
            <v>69.408740359897152</v>
          </cell>
          <cell r="E11">
            <v>10.271521634961434</v>
          </cell>
          <cell r="F11">
            <v>9.8208119344927951</v>
          </cell>
          <cell r="G11">
            <v>10.305445620574456</v>
          </cell>
          <cell r="H11">
            <v>18.768090192451641</v>
          </cell>
          <cell r="I11">
            <v>18.799057541269189</v>
          </cell>
          <cell r="J11">
            <v>18.830075986212282</v>
          </cell>
          <cell r="K11">
            <v>21.218788813038223</v>
          </cell>
          <cell r="L11">
            <v>21.726106477125949</v>
          </cell>
          <cell r="P11" t="str">
            <v>2 Months</v>
          </cell>
          <cell r="Q11">
            <v>22.708126489892038</v>
          </cell>
          <cell r="R11">
            <v>25.114927700537894</v>
          </cell>
          <cell r="S11">
            <v>26.105664211668074</v>
          </cell>
          <cell r="T11">
            <v>29.001328218448304</v>
          </cell>
          <cell r="U11">
            <v>29.525396482303965</v>
          </cell>
          <cell r="V11">
            <v>30.05111521531428</v>
          </cell>
          <cell r="W11">
            <v>30.5784884372516</v>
          </cell>
          <cell r="X11">
            <v>30.628942943173062</v>
          </cell>
          <cell r="Y11">
            <v>31.158847584951626</v>
          </cell>
          <cell r="Z11">
            <v>31.690417524750899</v>
          </cell>
          <cell r="AA11">
            <v>32.223656815388956</v>
          </cell>
          <cell r="AB11">
            <v>32.276825849134354</v>
          </cell>
          <cell r="AE11">
            <v>2</v>
          </cell>
          <cell r="AF11">
            <v>1.2</v>
          </cell>
          <cell r="AG11">
            <v>1.5424164524421588E-2</v>
          </cell>
        </row>
        <row r="12">
          <cell r="B12" t="str">
            <v>3 Months</v>
          </cell>
          <cell r="E12">
            <v>86.760925449871436</v>
          </cell>
          <cell r="F12">
            <v>12.839402043701794</v>
          </cell>
          <cell r="G12">
            <v>12.276014918115994</v>
          </cell>
          <cell r="H12">
            <v>12.88180702571807</v>
          </cell>
          <cell r="I12">
            <v>23.460112740564554</v>
          </cell>
          <cell r="J12">
            <v>23.498821926586483</v>
          </cell>
          <cell r="K12">
            <v>23.537594982765352</v>
          </cell>
          <cell r="L12">
            <v>26.523486016297777</v>
          </cell>
          <cell r="P12" t="str">
            <v>3 Months</v>
          </cell>
          <cell r="Q12">
            <v>27.157633096407437</v>
          </cell>
          <cell r="R12">
            <v>28.385158112365048</v>
          </cell>
          <cell r="S12">
            <v>31.393659625672367</v>
          </cell>
          <cell r="T12">
            <v>32.632080264585092</v>
          </cell>
          <cell r="U12">
            <v>36.251660273060381</v>
          </cell>
          <cell r="V12">
            <v>36.906745602879951</v>
          </cell>
          <cell r="W12">
            <v>37.563894019142843</v>
          </cell>
          <cell r="X12">
            <v>38.223110546564499</v>
          </cell>
          <cell r="Y12">
            <v>38.286178678966323</v>
          </cell>
          <cell r="Z12">
            <v>38.948559481189534</v>
          </cell>
          <cell r="AA12">
            <v>39.613021905938623</v>
          </cell>
          <cell r="AB12">
            <v>40.279571019236194</v>
          </cell>
          <cell r="AE12">
            <v>3</v>
          </cell>
          <cell r="AF12">
            <v>1.5</v>
          </cell>
          <cell r="AG12">
            <v>1.9280205655526985E-2</v>
          </cell>
        </row>
        <row r="13">
          <cell r="B13" t="str">
            <v>4 Months</v>
          </cell>
          <cell r="F13">
            <v>115.68123393316191</v>
          </cell>
          <cell r="G13">
            <v>17.119202724935725</v>
          </cell>
          <cell r="H13">
            <v>16.368019890821326</v>
          </cell>
          <cell r="I13">
            <v>17.175742700957429</v>
          </cell>
          <cell r="J13">
            <v>31.280150320752739</v>
          </cell>
          <cell r="K13">
            <v>31.331762568781979</v>
          </cell>
          <cell r="L13">
            <v>31.383459977020468</v>
          </cell>
          <cell r="P13" t="str">
            <v>4 Months</v>
          </cell>
          <cell r="Q13">
            <v>35.364648021730368</v>
          </cell>
          <cell r="R13">
            <v>36.210177461876583</v>
          </cell>
          <cell r="S13">
            <v>37.846877483153399</v>
          </cell>
          <cell r="T13">
            <v>41.858212834229825</v>
          </cell>
          <cell r="U13">
            <v>43.509440352780125</v>
          </cell>
          <cell r="V13">
            <v>48.335547030747172</v>
          </cell>
          <cell r="W13">
            <v>49.208994137173271</v>
          </cell>
          <cell r="X13">
            <v>50.085192025523796</v>
          </cell>
          <cell r="Y13">
            <v>50.964147395419332</v>
          </cell>
          <cell r="Z13">
            <v>51.048238238621764</v>
          </cell>
          <cell r="AA13">
            <v>51.931412641586043</v>
          </cell>
          <cell r="AB13">
            <v>52.817362541251498</v>
          </cell>
          <cell r="AE13">
            <v>4</v>
          </cell>
          <cell r="AF13">
            <v>2</v>
          </cell>
          <cell r="AG13">
            <v>2.570694087403598E-2</v>
          </cell>
        </row>
        <row r="14">
          <cell r="B14" t="str">
            <v>5 Months</v>
          </cell>
          <cell r="G14">
            <v>173.52185089974287</v>
          </cell>
          <cell r="H14">
            <v>25.678804087403588</v>
          </cell>
          <cell r="I14">
            <v>24.552029836231988</v>
          </cell>
          <cell r="J14">
            <v>25.763614051436139</v>
          </cell>
          <cell r="K14">
            <v>46.920225481129108</v>
          </cell>
          <cell r="L14">
            <v>46.997643853172967</v>
          </cell>
          <cell r="P14" t="str">
            <v>5 Months</v>
          </cell>
          <cell r="Q14">
            <v>47.075189965530704</v>
          </cell>
          <cell r="R14">
            <v>53.046972032595555</v>
          </cell>
          <cell r="S14">
            <v>54.315266192814875</v>
          </cell>
          <cell r="T14">
            <v>56.770316224730095</v>
          </cell>
          <cell r="U14">
            <v>62.787319251344734</v>
          </cell>
          <cell r="V14">
            <v>65.264160529170184</v>
          </cell>
          <cell r="W14">
            <v>72.503320546120761</v>
          </cell>
          <cell r="X14">
            <v>73.813491205759902</v>
          </cell>
          <cell r="Y14">
            <v>75.127788038285686</v>
          </cell>
          <cell r="Z14">
            <v>76.446221093128997</v>
          </cell>
          <cell r="AA14">
            <v>76.572357357932646</v>
          </cell>
          <cell r="AB14">
            <v>77.897118962379068</v>
          </cell>
          <cell r="AE14">
            <v>5</v>
          </cell>
          <cell r="AF14">
            <v>3</v>
          </cell>
          <cell r="AG14">
            <v>3.856041131105397E-2</v>
          </cell>
        </row>
        <row r="15">
          <cell r="B15" t="str">
            <v>6 Months</v>
          </cell>
          <cell r="H15">
            <v>231.36246786632381</v>
          </cell>
          <cell r="I15">
            <v>34.238405449871451</v>
          </cell>
          <cell r="J15">
            <v>32.736039781642653</v>
          </cell>
          <cell r="K15">
            <v>34.351485401914857</v>
          </cell>
          <cell r="L15">
            <v>62.560300641505478</v>
          </cell>
          <cell r="P15" t="str">
            <v>6 Months</v>
          </cell>
          <cell r="Q15">
            <v>62.663525137563958</v>
          </cell>
          <cell r="R15">
            <v>62.766919954040937</v>
          </cell>
          <cell r="S15">
            <v>70.729296043460735</v>
          </cell>
          <cell r="T15">
            <v>72.420354923753166</v>
          </cell>
          <cell r="U15">
            <v>75.693754966306798</v>
          </cell>
          <cell r="V15">
            <v>83.71642566845965</v>
          </cell>
          <cell r="W15">
            <v>87.01888070556025</v>
          </cell>
          <cell r="X15">
            <v>96.671094061494344</v>
          </cell>
          <cell r="Y15">
            <v>98.417988274346541</v>
          </cell>
          <cell r="Z15">
            <v>100.17038405104759</v>
          </cell>
          <cell r="AA15">
            <v>101.92829479083866</v>
          </cell>
          <cell r="AB15">
            <v>102.09647647724353</v>
          </cell>
          <cell r="AE15">
            <v>6</v>
          </cell>
          <cell r="AF15">
            <v>4</v>
          </cell>
          <cell r="AG15">
            <v>5.141388174807196E-2</v>
          </cell>
        </row>
        <row r="16">
          <cell r="B16" t="str">
            <v>7 Months</v>
          </cell>
          <cell r="I16">
            <v>318.12339331619529</v>
          </cell>
          <cell r="J16">
            <v>47.077807493573246</v>
          </cell>
          <cell r="K16">
            <v>45.01205469975865</v>
          </cell>
          <cell r="L16">
            <v>47.233292427632925</v>
          </cell>
          <cell r="P16" t="str">
            <v>7 Months</v>
          </cell>
          <cell r="Q16">
            <v>86.020413382070032</v>
          </cell>
          <cell r="R16">
            <v>86.162347064150453</v>
          </cell>
          <cell r="S16">
            <v>86.304514936806285</v>
          </cell>
          <cell r="T16">
            <v>97.252782059758516</v>
          </cell>
          <cell r="U16">
            <v>99.577988020160603</v>
          </cell>
          <cell r="V16">
            <v>104.07891307867185</v>
          </cell>
          <cell r="W16">
            <v>115.11008529413202</v>
          </cell>
          <cell r="X16">
            <v>119.65096097014535</v>
          </cell>
          <cell r="Y16">
            <v>132.92275433455472</v>
          </cell>
          <cell r="Z16">
            <v>135.32473387722652</v>
          </cell>
          <cell r="AA16">
            <v>137.73427807019044</v>
          </cell>
          <cell r="AB16">
            <v>140.15140533740316</v>
          </cell>
          <cell r="AE16">
            <v>7</v>
          </cell>
          <cell r="AF16">
            <v>5.5</v>
          </cell>
          <cell r="AG16">
            <v>7.0694087403598949E-2</v>
          </cell>
        </row>
        <row r="17">
          <cell r="B17" t="str">
            <v>8 Months</v>
          </cell>
          <cell r="J17">
            <v>381.74807197943426</v>
          </cell>
          <cell r="K17">
            <v>56.493368992287891</v>
          </cell>
          <cell r="L17">
            <v>54.014465639710373</v>
          </cell>
          <cell r="P17" t="str">
            <v>8 Months</v>
          </cell>
          <cell r="Q17">
            <v>56.679950913159509</v>
          </cell>
          <cell r="R17">
            <v>103.22449605848404</v>
          </cell>
          <cell r="S17">
            <v>103.39481647698052</v>
          </cell>
          <cell r="T17">
            <v>103.56541792416753</v>
          </cell>
          <cell r="U17">
            <v>116.70333847171021</v>
          </cell>
          <cell r="V17">
            <v>119.49358562419272</v>
          </cell>
          <cell r="W17">
            <v>124.8946956944062</v>
          </cell>
          <cell r="X17">
            <v>138.13210235295841</v>
          </cell>
          <cell r="Y17">
            <v>143.5811531641744</v>
          </cell>
          <cell r="Z17">
            <v>159.50730520146564</v>
          </cell>
          <cell r="AA17">
            <v>162.38968065267179</v>
          </cell>
          <cell r="AB17">
            <v>165.28113368422851</v>
          </cell>
          <cell r="AE17">
            <v>8</v>
          </cell>
          <cell r="AF17">
            <v>6.6</v>
          </cell>
          <cell r="AG17">
            <v>8.483290488431873E-2</v>
          </cell>
        </row>
        <row r="18">
          <cell r="B18" t="str">
            <v>9 Months</v>
          </cell>
          <cell r="K18">
            <v>404.88431876606671</v>
          </cell>
          <cell r="L18">
            <v>59.917209537275042</v>
          </cell>
          <cell r="P18" t="str">
            <v>9 Months</v>
          </cell>
          <cell r="Q18">
            <v>57.288069617874648</v>
          </cell>
          <cell r="R18">
            <v>60.115099453351</v>
          </cell>
          <cell r="S18">
            <v>109.48052612263459</v>
          </cell>
          <cell r="T18">
            <v>109.66116899073694</v>
          </cell>
          <cell r="U18">
            <v>109.84210991957164</v>
          </cell>
          <cell r="V18">
            <v>123.77626807605631</v>
          </cell>
          <cell r="W18">
            <v>126.73562111656805</v>
          </cell>
          <cell r="X18">
            <v>132.46407119103691</v>
          </cell>
          <cell r="Y18">
            <v>146.50374491980438</v>
          </cell>
          <cell r="Z18">
            <v>152.28304123473043</v>
          </cell>
          <cell r="AA18">
            <v>169.17441460761512</v>
          </cell>
          <cell r="AB18">
            <v>172.23147948010646</v>
          </cell>
          <cell r="AE18">
            <v>9</v>
          </cell>
          <cell r="AF18">
            <v>7</v>
          </cell>
          <cell r="AG18">
            <v>8.9974293059125937E-2</v>
          </cell>
        </row>
        <row r="19">
          <cell r="B19" t="str">
            <v>10 Months</v>
          </cell>
          <cell r="L19">
            <v>416.45244215938288</v>
          </cell>
          <cell r="P19" t="str">
            <v>10 Months</v>
          </cell>
          <cell r="Q19">
            <v>61.629129809768614</v>
          </cell>
          <cell r="R19">
            <v>58.924871606956778</v>
          </cell>
          <cell r="S19">
            <v>61.832673723446739</v>
          </cell>
          <cell r="T19">
            <v>112.60854115470987</v>
          </cell>
          <cell r="U19">
            <v>112.79434524761514</v>
          </cell>
          <cell r="V19">
            <v>112.98045591727369</v>
          </cell>
          <cell r="W19">
            <v>127.31273287822934</v>
          </cell>
          <cell r="X19">
            <v>130.35663886275572</v>
          </cell>
          <cell r="Y19">
            <v>136.24875893935223</v>
          </cell>
          <cell r="Z19">
            <v>150.68956620322737</v>
          </cell>
          <cell r="AA19">
            <v>156.63398527000845</v>
          </cell>
          <cell r="AB19">
            <v>174.00796931068982</v>
          </cell>
          <cell r="AE19">
            <v>10</v>
          </cell>
          <cell r="AF19">
            <v>7.2</v>
          </cell>
          <cell r="AG19">
            <v>9.2544987146529534E-2</v>
          </cell>
          <cell r="AH19">
            <v>77.800000000000026</v>
          </cell>
        </row>
        <row r="20">
          <cell r="B20" t="str">
            <v>11 Months</v>
          </cell>
          <cell r="P20" t="str">
            <v>11 Months</v>
          </cell>
          <cell r="Q20">
            <v>416.45244215938288</v>
          </cell>
          <cell r="R20">
            <v>61.629129809768614</v>
          </cell>
          <cell r="S20">
            <v>58.924871606956778</v>
          </cell>
          <cell r="T20">
            <v>61.832673723446739</v>
          </cell>
          <cell r="U20">
            <v>112.60854115470987</v>
          </cell>
          <cell r="V20">
            <v>112.79434524761514</v>
          </cell>
          <cell r="W20">
            <v>112.98045591727369</v>
          </cell>
          <cell r="X20">
            <v>127.31273287822934</v>
          </cell>
          <cell r="Y20">
            <v>130.35663886275572</v>
          </cell>
          <cell r="Z20">
            <v>136.24875893935223</v>
          </cell>
          <cell r="AA20">
            <v>150.68956620322737</v>
          </cell>
          <cell r="AB20">
            <v>156.63398527000845</v>
          </cell>
          <cell r="AE20">
            <v>11</v>
          </cell>
          <cell r="AF20">
            <v>7.2</v>
          </cell>
          <cell r="AG20">
            <v>9.2544987146529534E-2</v>
          </cell>
        </row>
        <row r="21">
          <cell r="B21" t="str">
            <v>12 Months</v>
          </cell>
          <cell r="P21" t="str">
            <v>12 Months</v>
          </cell>
          <cell r="R21">
            <v>404.88431876606671</v>
          </cell>
          <cell r="S21">
            <v>59.917209537275042</v>
          </cell>
          <cell r="T21">
            <v>57.288069617874648</v>
          </cell>
          <cell r="U21">
            <v>60.115099453351</v>
          </cell>
          <cell r="V21">
            <v>109.48052612263459</v>
          </cell>
          <cell r="W21">
            <v>109.66116899073694</v>
          </cell>
          <cell r="X21">
            <v>109.84210991957164</v>
          </cell>
          <cell r="Y21">
            <v>123.77626807605631</v>
          </cell>
          <cell r="Z21">
            <v>126.73562111656805</v>
          </cell>
          <cell r="AA21">
            <v>132.46407119103691</v>
          </cell>
          <cell r="AB21">
            <v>146.50374491980438</v>
          </cell>
          <cell r="AE21">
            <v>12</v>
          </cell>
          <cell r="AF21">
            <v>7</v>
          </cell>
          <cell r="AG21">
            <v>8.9974293059125937E-2</v>
          </cell>
        </row>
        <row r="22">
          <cell r="B22" t="str">
            <v>13 Months</v>
          </cell>
          <cell r="P22" t="str">
            <v>13 Months</v>
          </cell>
          <cell r="S22">
            <v>381.74807197943426</v>
          </cell>
          <cell r="T22">
            <v>56.493368992287891</v>
          </cell>
          <cell r="U22">
            <v>54.014465639710373</v>
          </cell>
          <cell r="V22">
            <v>56.679950913159509</v>
          </cell>
          <cell r="W22">
            <v>103.22449605848404</v>
          </cell>
          <cell r="X22">
            <v>103.39481647698052</v>
          </cell>
          <cell r="Y22">
            <v>103.56541792416753</v>
          </cell>
          <cell r="Z22">
            <v>116.70333847171021</v>
          </cell>
          <cell r="AA22">
            <v>119.49358562419272</v>
          </cell>
          <cell r="AB22">
            <v>124.8946956944062</v>
          </cell>
          <cell r="AE22">
            <v>13</v>
          </cell>
          <cell r="AF22">
            <v>6.6</v>
          </cell>
          <cell r="AG22">
            <v>8.483290488431873E-2</v>
          </cell>
        </row>
        <row r="23">
          <cell r="B23" t="str">
            <v>14 Months</v>
          </cell>
          <cell r="P23" t="str">
            <v>14 Months</v>
          </cell>
          <cell r="T23">
            <v>318.12339331619529</v>
          </cell>
          <cell r="U23">
            <v>47.077807493573246</v>
          </cell>
          <cell r="V23">
            <v>45.01205469975865</v>
          </cell>
          <cell r="W23">
            <v>47.233292427632925</v>
          </cell>
          <cell r="X23">
            <v>86.020413382070032</v>
          </cell>
          <cell r="Y23">
            <v>86.162347064150453</v>
          </cell>
          <cell r="Z23">
            <v>86.304514936806285</v>
          </cell>
          <cell r="AA23">
            <v>97.252782059758516</v>
          </cell>
          <cell r="AB23">
            <v>99.577988020160603</v>
          </cell>
          <cell r="AE23">
            <v>14</v>
          </cell>
          <cell r="AF23">
            <v>5.5</v>
          </cell>
          <cell r="AG23">
            <v>7.0694087403598949E-2</v>
          </cell>
        </row>
        <row r="24">
          <cell r="B24" t="str">
            <v>15 Months</v>
          </cell>
          <cell r="P24" t="str">
            <v>15 Months</v>
          </cell>
          <cell r="U24">
            <v>231.36246786632381</v>
          </cell>
          <cell r="V24">
            <v>34.238405449871451</v>
          </cell>
          <cell r="W24">
            <v>32.736039781642653</v>
          </cell>
          <cell r="X24">
            <v>34.351485401914857</v>
          </cell>
          <cell r="Y24">
            <v>62.560300641505478</v>
          </cell>
          <cell r="Z24">
            <v>62.663525137563958</v>
          </cell>
          <cell r="AA24">
            <v>62.766919954040937</v>
          </cell>
          <cell r="AB24">
            <v>70.729296043460735</v>
          </cell>
          <cell r="AE24">
            <v>15</v>
          </cell>
          <cell r="AF24">
            <v>4</v>
          </cell>
          <cell r="AG24">
            <v>5.141388174807196E-2</v>
          </cell>
        </row>
        <row r="25">
          <cell r="B25" t="str">
            <v>16 Months</v>
          </cell>
          <cell r="P25" t="str">
            <v>16 Months</v>
          </cell>
          <cell r="V25">
            <v>173.52185089974287</v>
          </cell>
          <cell r="W25">
            <v>25.678804087403588</v>
          </cell>
          <cell r="X25">
            <v>24.552029836231988</v>
          </cell>
          <cell r="Y25">
            <v>25.763614051436139</v>
          </cell>
          <cell r="Z25">
            <v>46.920225481129108</v>
          </cell>
          <cell r="AA25">
            <v>46.997643853172967</v>
          </cell>
          <cell r="AB25">
            <v>47.075189965530704</v>
          </cell>
          <cell r="AE25">
            <v>16</v>
          </cell>
          <cell r="AF25">
            <v>3</v>
          </cell>
          <cell r="AG25">
            <v>3.856041131105397E-2</v>
          </cell>
        </row>
        <row r="26">
          <cell r="B26" t="str">
            <v>17 Months</v>
          </cell>
          <cell r="P26" t="str">
            <v>17 Months</v>
          </cell>
          <cell r="W26">
            <v>115.68123393316191</v>
          </cell>
          <cell r="X26">
            <v>17.119202724935725</v>
          </cell>
          <cell r="Y26">
            <v>16.368019890821326</v>
          </cell>
          <cell r="Z26">
            <v>17.175742700957429</v>
          </cell>
          <cell r="AA26">
            <v>31.280150320752739</v>
          </cell>
          <cell r="AB26">
            <v>31.331762568781979</v>
          </cell>
          <cell r="AE26">
            <v>17</v>
          </cell>
          <cell r="AF26">
            <v>2</v>
          </cell>
          <cell r="AG26">
            <v>2.570694087403598E-2</v>
          </cell>
        </row>
        <row r="27">
          <cell r="B27" t="str">
            <v>18 Months</v>
          </cell>
          <cell r="P27" t="str">
            <v>18 Months</v>
          </cell>
          <cell r="X27">
            <v>86.760925449871436</v>
          </cell>
          <cell r="Y27">
            <v>12.839402043701794</v>
          </cell>
          <cell r="Z27">
            <v>12.276014918115994</v>
          </cell>
          <cell r="AA27">
            <v>12.88180702571807</v>
          </cell>
          <cell r="AB27">
            <v>23.460112740564554</v>
          </cell>
          <cell r="AE27">
            <v>18</v>
          </cell>
          <cell r="AF27">
            <v>1.5</v>
          </cell>
          <cell r="AG27">
            <v>1.9280205655526985E-2</v>
          </cell>
        </row>
        <row r="28">
          <cell r="B28" t="str">
            <v>19 Months</v>
          </cell>
          <cell r="P28" t="str">
            <v>19 Months</v>
          </cell>
          <cell r="Y28">
            <v>69.408740359897152</v>
          </cell>
          <cell r="Z28">
            <v>10.271521634961434</v>
          </cell>
          <cell r="AA28">
            <v>9.8208119344927951</v>
          </cell>
          <cell r="AB28">
            <v>10.305445620574456</v>
          </cell>
          <cell r="AE28">
            <v>19</v>
          </cell>
          <cell r="AF28">
            <v>1.2</v>
          </cell>
          <cell r="AG28">
            <v>1.5424164524421588E-2</v>
          </cell>
        </row>
        <row r="29">
          <cell r="B29" t="str">
            <v>20 Months</v>
          </cell>
          <cell r="P29" t="str">
            <v>20 Months</v>
          </cell>
          <cell r="Z29">
            <v>52.05655526992286</v>
          </cell>
          <cell r="AA29">
            <v>7.7036412262210767</v>
          </cell>
          <cell r="AB29">
            <v>7.3656089508695972</v>
          </cell>
          <cell r="AE29">
            <v>20</v>
          </cell>
          <cell r="AF29">
            <v>0.9</v>
          </cell>
          <cell r="AG29">
            <v>1.1568123393316192E-2</v>
          </cell>
        </row>
        <row r="30">
          <cell r="B30" t="str">
            <v>Total Patient Drop-Outs</v>
          </cell>
          <cell r="C30">
            <v>52.05655526992286</v>
          </cell>
          <cell r="D30">
            <v>77.112381586118232</v>
          </cell>
          <cell r="E30">
            <v>104.39805603570247</v>
          </cell>
          <cell r="F30">
            <v>146.07053212678733</v>
          </cell>
          <cell r="G30">
            <v>227.29858180770779</v>
          </cell>
          <cell r="H30">
            <v>319.15848221867031</v>
          </cell>
          <cell r="I30">
            <v>450.47129857474908</v>
          </cell>
          <cell r="J30">
            <v>576.84867314941653</v>
          </cell>
          <cell r="K30">
            <v>680.04417956358725</v>
          </cell>
          <cell r="L30">
            <v>783.83950159654296</v>
          </cell>
          <cell r="P30" t="str">
            <v>Total Patient Drop-Outs</v>
          </cell>
          <cell r="Q30">
            <v>891.87532436878359</v>
          </cell>
          <cell r="R30">
            <v>1000.0436661789447</v>
          </cell>
          <cell r="S30">
            <v>1103.74444410414</v>
          </cell>
          <cell r="T30">
            <v>1171.6517556066519</v>
          </cell>
          <cell r="U30">
            <v>1214.4020710040077</v>
          </cell>
          <cell r="V30">
            <v>1279.2642164034869</v>
          </cell>
          <cell r="W30">
            <v>1341.0939112322997</v>
          </cell>
          <cell r="X30">
            <v>1422.7484559179313</v>
          </cell>
          <cell r="Y30">
            <v>1507.7799233879105</v>
          </cell>
          <cell r="Z30">
            <v>1587.6320281240182</v>
          </cell>
          <cell r="AA30">
            <v>1623.7597008916359</v>
          </cell>
          <cell r="AB30">
            <v>1699.1647344146727</v>
          </cell>
        </row>
        <row r="31">
          <cell r="B31" t="str">
            <v>Patients at Start of Period</v>
          </cell>
          <cell r="C31">
            <v>0</v>
          </cell>
          <cell r="D31">
            <v>4447.9434447300773</v>
          </cell>
          <cell r="E31">
            <v>5036.7680491439587</v>
          </cell>
          <cell r="F31">
            <v>5569.0859668612065</v>
          </cell>
          <cell r="G31">
            <v>6091.151825801664</v>
          </cell>
          <cell r="H31">
            <v>7080.651091471238</v>
          </cell>
          <cell r="I31">
            <v>7980.2981731781874</v>
          </cell>
          <cell r="J31">
            <v>8750.6434677095367</v>
          </cell>
          <cell r="K31">
            <v>9549.4796026054319</v>
          </cell>
          <cell r="L31">
            <v>10278.011326308844</v>
          </cell>
          <cell r="P31" t="str">
            <v>Patients at Start of Period</v>
          </cell>
          <cell r="Q31">
            <v>10966.415358806968</v>
          </cell>
          <cell r="R31">
            <v>11702.824513689724</v>
          </cell>
          <cell r="S31">
            <v>12395.298077233927</v>
          </cell>
          <cell r="T31">
            <v>13171.806412625852</v>
          </cell>
          <cell r="U31">
            <v>13914.384528955241</v>
          </cell>
          <cell r="V31">
            <v>14648.29642774411</v>
          </cell>
          <cell r="W31">
            <v>15351.537545022435</v>
          </cell>
          <cell r="X31">
            <v>15996.220101272524</v>
          </cell>
          <cell r="Y31">
            <v>16593.603597112291</v>
          </cell>
          <cell r="Z31">
            <v>17140.419076579063</v>
          </cell>
          <cell r="AA31">
            <v>17641.954131986095</v>
          </cell>
          <cell r="AB31">
            <v>18110.808640313338</v>
          </cell>
        </row>
        <row r="32">
          <cell r="B32" t="str">
            <v>Patients at End of Period</v>
          </cell>
          <cell r="C32">
            <v>4447.9434447300773</v>
          </cell>
          <cell r="D32">
            <v>5036.7680491439587</v>
          </cell>
          <cell r="E32">
            <v>5569.0859668612065</v>
          </cell>
          <cell r="F32">
            <v>6091.151825801664</v>
          </cell>
          <cell r="G32">
            <v>7080.651091471238</v>
          </cell>
          <cell r="H32">
            <v>7980.2981731781874</v>
          </cell>
          <cell r="I32">
            <v>8750.6434677095367</v>
          </cell>
          <cell r="J32">
            <v>9549.4796026054319</v>
          </cell>
          <cell r="K32">
            <v>10278.011326308844</v>
          </cell>
          <cell r="L32">
            <v>10966.415358806968</v>
          </cell>
          <cell r="P32" t="str">
            <v>Patients at End of Period</v>
          </cell>
          <cell r="Q32">
            <v>11702.824513689724</v>
          </cell>
          <cell r="R32">
            <v>12395.298077233927</v>
          </cell>
          <cell r="S32">
            <v>13171.806412625852</v>
          </cell>
          <cell r="T32">
            <v>13914.384528955241</v>
          </cell>
          <cell r="U32">
            <v>14648.29642774411</v>
          </cell>
          <cell r="V32">
            <v>15351.537545022435</v>
          </cell>
          <cell r="W32">
            <v>15996.220101272524</v>
          </cell>
          <cell r="X32">
            <v>16593.603597112291</v>
          </cell>
          <cell r="Y32">
            <v>17140.419076579063</v>
          </cell>
          <cell r="Z32">
            <v>17641.954131986095</v>
          </cell>
          <cell r="AA32">
            <v>18110.808640313338</v>
          </cell>
          <cell r="AB32">
            <v>18507.710928562756</v>
          </cell>
        </row>
        <row r="34">
          <cell r="B34" t="str">
            <v>Total Patient Days</v>
          </cell>
          <cell r="C34">
            <v>82509.350899742945</v>
          </cell>
          <cell r="D34">
            <v>131450.00183242085</v>
          </cell>
          <cell r="E34">
            <v>146351.83166713189</v>
          </cell>
          <cell r="F34">
            <v>160496.79843688456</v>
          </cell>
          <cell r="G34">
            <v>179945.42295666158</v>
          </cell>
          <cell r="H34">
            <v>205105.32511190866</v>
          </cell>
          <cell r="I34">
            <v>226644.72736962023</v>
          </cell>
          <cell r="J34">
            <v>246681.37251187017</v>
          </cell>
          <cell r="K34">
            <v>266585.24979247933</v>
          </cell>
          <cell r="L34">
            <v>284902.36485847033</v>
          </cell>
          <cell r="P34" t="str">
            <v>Total Patient Days</v>
          </cell>
          <cell r="Q34">
            <v>304256.21414927888</v>
          </cell>
          <cell r="R34">
            <v>322721.48581298249</v>
          </cell>
          <cell r="S34">
            <v>340512.77522210806</v>
          </cell>
          <cell r="T34">
            <v>360793.60723810934</v>
          </cell>
          <cell r="U34">
            <v>380830.17473145231</v>
          </cell>
          <cell r="V34">
            <v>400006.34598871687</v>
          </cell>
          <cell r="W34">
            <v>418008.22700002068</v>
          </cell>
          <cell r="X34">
            <v>434217.91484519071</v>
          </cell>
          <cell r="Y34">
            <v>449010.07333125081</v>
          </cell>
          <cell r="Z34">
            <v>462532.75108846836</v>
          </cell>
          <cell r="AA34">
            <v>475608.79808002932</v>
          </cell>
          <cell r="AB34">
            <v>486670.0973086626</v>
          </cell>
        </row>
        <row r="35">
          <cell r="B35" t="str">
            <v>Average Cost/Day</v>
          </cell>
          <cell r="C35">
            <v>146.66666666666666</v>
          </cell>
          <cell r="D35">
            <v>146.66666666666666</v>
          </cell>
          <cell r="E35">
            <v>146.66666666666666</v>
          </cell>
          <cell r="F35">
            <v>146.66666666666666</v>
          </cell>
          <cell r="G35">
            <v>146.66666666666666</v>
          </cell>
          <cell r="H35">
            <v>146.66666666666666</v>
          </cell>
          <cell r="I35">
            <v>146.66666666666666</v>
          </cell>
          <cell r="J35">
            <v>146.66666666666666</v>
          </cell>
          <cell r="K35">
            <v>146.66666666666666</v>
          </cell>
          <cell r="L35">
            <v>146.66666666666666</v>
          </cell>
          <cell r="P35" t="str">
            <v>Average Cost/Day</v>
          </cell>
          <cell r="Q35">
            <v>146.66666666666666</v>
          </cell>
          <cell r="R35">
            <v>146.66666666666666</v>
          </cell>
          <cell r="S35">
            <v>146.66666666666666</v>
          </cell>
          <cell r="T35">
            <v>146.66666666666666</v>
          </cell>
          <cell r="U35">
            <v>146.66666666666666</v>
          </cell>
          <cell r="V35">
            <v>146.66666666666666</v>
          </cell>
          <cell r="W35">
            <v>146.66666666666666</v>
          </cell>
          <cell r="X35">
            <v>146.66666666666666</v>
          </cell>
          <cell r="Y35">
            <v>146.66666666666666</v>
          </cell>
          <cell r="Z35">
            <v>146.66666666666666</v>
          </cell>
          <cell r="AA35">
            <v>146.66666666666666</v>
          </cell>
          <cell r="AB35">
            <v>146.66666666666666</v>
          </cell>
        </row>
        <row r="37">
          <cell r="B37" t="str">
            <v>Monthly Sales</v>
          </cell>
          <cell r="C37">
            <v>12101.371465295631</v>
          </cell>
          <cell r="D37">
            <v>19279.333602088391</v>
          </cell>
          <cell r="E37">
            <v>21464.935311179343</v>
          </cell>
          <cell r="F37">
            <v>23539.530437409736</v>
          </cell>
          <cell r="G37">
            <v>26391.995366977033</v>
          </cell>
          <cell r="H37">
            <v>30082.114349746604</v>
          </cell>
          <cell r="I37">
            <v>33241.226680877633</v>
          </cell>
          <cell r="J37">
            <v>36179.934635074285</v>
          </cell>
          <cell r="K37">
            <v>39099.169969563634</v>
          </cell>
          <cell r="L37">
            <v>41785.680179242314</v>
          </cell>
          <cell r="M37">
            <v>283165.29199745459</v>
          </cell>
          <cell r="P37" t="str">
            <v>Monthly Sales</v>
          </cell>
          <cell r="Q37">
            <v>44624.244741894232</v>
          </cell>
          <cell r="R37">
            <v>47332.484585904094</v>
          </cell>
          <cell r="S37">
            <v>49941.873699242511</v>
          </cell>
          <cell r="T37">
            <v>52916.39572825603</v>
          </cell>
          <cell r="U37">
            <v>55855.092293946334</v>
          </cell>
          <cell r="V37">
            <v>58667.597411678471</v>
          </cell>
          <cell r="W37">
            <v>61307.873293336364</v>
          </cell>
          <cell r="X37">
            <v>63685.294177294636</v>
          </cell>
          <cell r="Y37">
            <v>65854.810755250117</v>
          </cell>
          <cell r="Z37">
            <v>67838.136826308677</v>
          </cell>
          <cell r="AA37">
            <v>69755.957051737627</v>
          </cell>
          <cell r="AB37">
            <v>71378.280938603843</v>
          </cell>
          <cell r="AC37">
            <v>709158.04150345293</v>
          </cell>
        </row>
        <row r="38">
          <cell r="C38" t="str">
            <v>1Q04</v>
          </cell>
          <cell r="F38" t="str">
            <v>2Q04</v>
          </cell>
          <cell r="I38" t="str">
            <v>3Q04</v>
          </cell>
          <cell r="L38" t="str">
            <v>4Q04</v>
          </cell>
          <cell r="M38">
            <v>2004</v>
          </cell>
          <cell r="S38" t="str">
            <v>1Q05</v>
          </cell>
          <cell r="V38" t="str">
            <v>2Q05</v>
          </cell>
          <cell r="Y38" t="str">
            <v>3Q05</v>
          </cell>
          <cell r="AB38" t="str">
            <v>4Q05</v>
          </cell>
          <cell r="AC38">
            <v>2005</v>
          </cell>
        </row>
        <row r="39">
          <cell r="B39" t="str">
            <v>Front-line Sales</v>
          </cell>
          <cell r="C39">
            <v>12101.371465295631</v>
          </cell>
          <cell r="F39">
            <v>64283.799350677466</v>
          </cell>
          <cell r="I39">
            <v>89715.336397601262</v>
          </cell>
          <cell r="L39">
            <v>117064.78478388023</v>
          </cell>
          <cell r="M39">
            <v>283165.29199745459</v>
          </cell>
          <cell r="P39" t="str">
            <v>Total Sales</v>
          </cell>
          <cell r="S39">
            <v>141898.60302704084</v>
          </cell>
          <cell r="V39">
            <v>167439.08543388083</v>
          </cell>
          <cell r="Y39">
            <v>190847.97822588112</v>
          </cell>
          <cell r="AB39">
            <v>208972.37481665018</v>
          </cell>
          <cell r="AC39">
            <v>709158.04150345293</v>
          </cell>
        </row>
        <row r="41">
          <cell r="B41" t="str">
            <v>Relapsed / Refractory</v>
          </cell>
          <cell r="C41">
            <v>38047</v>
          </cell>
          <cell r="D41">
            <v>38078</v>
          </cell>
          <cell r="E41">
            <v>38108</v>
          </cell>
          <cell r="F41">
            <v>38139</v>
          </cell>
          <cell r="G41">
            <v>38169</v>
          </cell>
          <cell r="H41">
            <v>38200</v>
          </cell>
          <cell r="I41">
            <v>38231</v>
          </cell>
          <cell r="J41">
            <v>38261</v>
          </cell>
          <cell r="K41">
            <v>38292</v>
          </cell>
          <cell r="L41">
            <v>38322</v>
          </cell>
          <cell r="M41">
            <v>2004</v>
          </cell>
          <cell r="P41" t="str">
            <v>Relapsed / Refractory</v>
          </cell>
          <cell r="Q41">
            <v>38353</v>
          </cell>
          <cell r="R41">
            <v>38384</v>
          </cell>
          <cell r="S41">
            <v>38412</v>
          </cell>
          <cell r="T41">
            <v>38443</v>
          </cell>
          <cell r="U41">
            <v>38473</v>
          </cell>
          <cell r="V41">
            <v>38504</v>
          </cell>
          <cell r="W41">
            <v>38534</v>
          </cell>
          <cell r="X41">
            <v>38565</v>
          </cell>
          <cell r="Y41">
            <v>38596</v>
          </cell>
          <cell r="Z41">
            <v>38626</v>
          </cell>
          <cell r="AA41">
            <v>38657</v>
          </cell>
          <cell r="AB41">
            <v>38687</v>
          </cell>
          <cell r="AC41">
            <v>2005</v>
          </cell>
        </row>
        <row r="42">
          <cell r="B42" t="str">
            <v>Previously relapsed Pts Wainting for Therapy</v>
          </cell>
          <cell r="C42">
            <v>25000</v>
          </cell>
        </row>
        <row r="43">
          <cell r="B43" t="str">
            <v>New Relapsing Patients</v>
          </cell>
          <cell r="C43">
            <v>2593</v>
          </cell>
          <cell r="D43">
            <v>2597.2784499999998</v>
          </cell>
          <cell r="E43">
            <v>2601.5639594424997</v>
          </cell>
          <cell r="F43">
            <v>2605.8565399755798</v>
          </cell>
          <cell r="G43">
            <v>2610.1562032665393</v>
          </cell>
          <cell r="H43">
            <v>2614.4629610019288</v>
          </cell>
          <cell r="I43">
            <v>2618.7768248875818</v>
          </cell>
          <cell r="J43">
            <v>2623.0978066486459</v>
          </cell>
          <cell r="K43">
            <v>2627.4259180296158</v>
          </cell>
          <cell r="L43">
            <v>2631.7611707943643</v>
          </cell>
          <cell r="M43">
            <v>26123.379834046755</v>
          </cell>
          <cell r="P43" t="str">
            <v>New Relapsing Patients</v>
          </cell>
          <cell r="Q43">
            <v>2636.1035767261747</v>
          </cell>
          <cell r="R43">
            <v>2640.4531476277725</v>
          </cell>
          <cell r="S43">
            <v>2644.809895321358</v>
          </cell>
          <cell r="T43">
            <v>2649.173831648638</v>
          </cell>
          <cell r="U43">
            <v>2653.5449684708583</v>
          </cell>
          <cell r="V43">
            <v>2657.9233176688349</v>
          </cell>
          <cell r="W43">
            <v>2662.3088911429882</v>
          </cell>
          <cell r="X43">
            <v>2666.7017008133739</v>
          </cell>
          <cell r="Y43">
            <v>2671.1017586197158</v>
          </cell>
          <cell r="Z43">
            <v>2675.5090765214381</v>
          </cell>
          <cell r="AA43">
            <v>2679.9236664976984</v>
          </cell>
          <cell r="AB43">
            <v>2684.3455405474192</v>
          </cell>
          <cell r="AC43">
            <v>31921.899371606272</v>
          </cell>
        </row>
        <row r="44">
          <cell r="C44">
            <v>0.18</v>
          </cell>
          <cell r="D44">
            <v>0.34</v>
          </cell>
          <cell r="E44">
            <v>0.34</v>
          </cell>
          <cell r="F44">
            <v>0.34</v>
          </cell>
          <cell r="G44">
            <v>0.34</v>
          </cell>
          <cell r="H44">
            <v>0.34</v>
          </cell>
          <cell r="I44">
            <v>0.34</v>
          </cell>
          <cell r="J44">
            <v>0.36</v>
          </cell>
          <cell r="K44">
            <v>0.36</v>
          </cell>
          <cell r="L44">
            <v>0.36</v>
          </cell>
          <cell r="Q44">
            <v>0.4</v>
          </cell>
          <cell r="R44">
            <v>0.43</v>
          </cell>
          <cell r="S44">
            <v>0.47</v>
          </cell>
          <cell r="T44">
            <v>0.48</v>
          </cell>
          <cell r="U44">
            <v>0.49</v>
          </cell>
          <cell r="V44">
            <v>0.49</v>
          </cell>
          <cell r="W44">
            <v>0.5</v>
          </cell>
          <cell r="X44">
            <v>0.5</v>
          </cell>
          <cell r="Y44">
            <v>0.5</v>
          </cell>
          <cell r="Z44">
            <v>0.5</v>
          </cell>
          <cell r="AA44">
            <v>0.5</v>
          </cell>
          <cell r="AB44">
            <v>0.5</v>
          </cell>
          <cell r="AC44">
            <v>0.48014264355070313</v>
          </cell>
        </row>
        <row r="45">
          <cell r="B45" t="str">
            <v>New Patients Starting Therapy</v>
          </cell>
          <cell r="C45">
            <v>4600</v>
          </cell>
          <cell r="D45">
            <v>883.07467299999996</v>
          </cell>
          <cell r="E45">
            <v>884.53174621044991</v>
          </cell>
          <cell r="F45">
            <v>885.99122359169723</v>
          </cell>
          <cell r="G45">
            <v>887.45310911062336</v>
          </cell>
          <cell r="H45">
            <v>888.91740674065579</v>
          </cell>
          <cell r="I45">
            <v>890.38412046177791</v>
          </cell>
          <cell r="J45">
            <v>944.31521039351253</v>
          </cell>
          <cell r="K45">
            <v>945.8733304906616</v>
          </cell>
          <cell r="L45">
            <v>947.43402148597113</v>
          </cell>
          <cell r="M45">
            <v>12757.974841485349</v>
          </cell>
          <cell r="P45" t="str">
            <v>New Patients Starting Therapy</v>
          </cell>
          <cell r="Q45">
            <v>1054.4414306904698</v>
          </cell>
          <cell r="R45">
            <v>1135.3948534799422</v>
          </cell>
          <cell r="S45">
            <v>1243.0606508010383</v>
          </cell>
          <cell r="T45">
            <v>1271.6034391913463</v>
          </cell>
          <cell r="U45">
            <v>1300.2370345507206</v>
          </cell>
          <cell r="V45">
            <v>1302.3824256577291</v>
          </cell>
          <cell r="W45">
            <v>1331.1544455714941</v>
          </cell>
          <cell r="X45">
            <v>1333.350850406687</v>
          </cell>
          <cell r="Y45">
            <v>1335.5508793098579</v>
          </cell>
          <cell r="Z45">
            <v>1337.7545382607191</v>
          </cell>
          <cell r="AA45">
            <v>1339.9618332488492</v>
          </cell>
          <cell r="AB45">
            <v>1342.1727702737096</v>
          </cell>
          <cell r="AC45">
            <v>15327.065151442564</v>
          </cell>
        </row>
        <row r="46">
          <cell r="B46" t="str">
            <v>Failures</v>
          </cell>
          <cell r="P46" t="str">
            <v>Failures</v>
          </cell>
          <cell r="AE46" t="str">
            <v>Distribution of Failure Rates</v>
          </cell>
        </row>
        <row r="47">
          <cell r="B47" t="str">
            <v>1 Month</v>
          </cell>
          <cell r="C47">
            <v>8.9008176767992015</v>
          </cell>
          <cell r="D47">
            <v>1.708714491167842</v>
          </cell>
          <cell r="E47">
            <v>1.711533870078269</v>
          </cell>
          <cell r="F47">
            <v>1.7143579009638983</v>
          </cell>
          <cell r="G47">
            <v>1.7171865915004882</v>
          </cell>
          <cell r="H47">
            <v>1.7200199493764639</v>
          </cell>
          <cell r="I47">
            <v>1.7228579822929351</v>
          </cell>
          <cell r="J47">
            <v>1.8272125037262896</v>
          </cell>
          <cell r="K47">
            <v>1.8302274043574376</v>
          </cell>
          <cell r="L47">
            <v>1.8332472795746273</v>
          </cell>
          <cell r="P47" t="str">
            <v>1 Month</v>
          </cell>
          <cell r="Q47">
            <v>2.0403023750954725</v>
          </cell>
          <cell r="R47">
            <v>2.1969440395654583</v>
          </cell>
          <cell r="S47">
            <v>2.4052730899963914</v>
          </cell>
          <cell r="T47">
            <v>2.4605022542245636</v>
          </cell>
          <cell r="U47">
            <v>2.5159071263387016</v>
          </cell>
          <cell r="V47">
            <v>2.52005837309716</v>
          </cell>
          <cell r="W47">
            <v>2.5757310912375204</v>
          </cell>
          <cell r="X47">
            <v>2.579981047538062</v>
          </cell>
          <cell r="Y47">
            <v>2.5842380162664997</v>
          </cell>
          <cell r="Z47">
            <v>2.5885020089933395</v>
          </cell>
          <cell r="AA47">
            <v>2.5927730373081781</v>
          </cell>
          <cell r="AB47">
            <v>2.5970511128197362</v>
          </cell>
          <cell r="AE47">
            <v>1</v>
          </cell>
          <cell r="AF47">
            <v>0.62</v>
          </cell>
          <cell r="AG47">
            <v>1.9349603645215654E-3</v>
          </cell>
        </row>
        <row r="48">
          <cell r="B48" t="str">
            <v>2 Months</v>
          </cell>
          <cell r="D48">
            <v>34.454778103738839</v>
          </cell>
          <cell r="E48">
            <v>6.6143786754884211</v>
          </cell>
          <cell r="F48">
            <v>6.6252924003029765</v>
          </cell>
          <cell r="G48">
            <v>6.636224132763477</v>
          </cell>
          <cell r="H48">
            <v>6.6471739025825354</v>
          </cell>
          <cell r="I48">
            <v>6.6581417395217954</v>
          </cell>
          <cell r="J48">
            <v>6.6691276733920066</v>
          </cell>
          <cell r="K48">
            <v>7.0730806595856377</v>
          </cell>
          <cell r="L48">
            <v>7.0847512426739518</v>
          </cell>
          <cell r="P48" t="str">
            <v>2 Months</v>
          </cell>
          <cell r="Q48">
            <v>7.0964410822243638</v>
          </cell>
          <cell r="R48">
            <v>7.8979446777889253</v>
          </cell>
          <cell r="S48">
            <v>8.5042995079953219</v>
          </cell>
          <cell r="T48">
            <v>9.310734541921514</v>
          </cell>
          <cell r="U48">
            <v>9.5245248550628272</v>
          </cell>
          <cell r="V48">
            <v>9.7389953277627157</v>
          </cell>
          <cell r="W48">
            <v>9.7550646700535228</v>
          </cell>
          <cell r="X48">
            <v>9.9705719660807244</v>
          </cell>
          <cell r="Y48">
            <v>9.9870234098247561</v>
          </cell>
          <cell r="Z48">
            <v>10.003501998450966</v>
          </cell>
          <cell r="AA48">
            <v>10.020007776748411</v>
          </cell>
          <cell r="AB48">
            <v>10.036540789580044</v>
          </cell>
          <cell r="AE48">
            <v>2</v>
          </cell>
          <cell r="AF48">
            <v>2.4</v>
          </cell>
          <cell r="AG48">
            <v>7.4901691529867045E-3</v>
          </cell>
        </row>
        <row r="49">
          <cell r="B49" t="str">
            <v>3 Months</v>
          </cell>
          <cell r="E49">
            <v>117.72049185444104</v>
          </cell>
          <cell r="F49">
            <v>22.599127141252104</v>
          </cell>
          <cell r="G49">
            <v>22.636415701035169</v>
          </cell>
          <cell r="H49">
            <v>22.673765786941878</v>
          </cell>
          <cell r="I49">
            <v>22.711177500490326</v>
          </cell>
          <cell r="J49">
            <v>22.748650943366133</v>
          </cell>
          <cell r="K49">
            <v>22.786186217422689</v>
          </cell>
          <cell r="L49">
            <v>24.166358920250925</v>
          </cell>
          <cell r="P49" t="str">
            <v>3 Months</v>
          </cell>
          <cell r="Q49">
            <v>24.206233412469334</v>
          </cell>
          <cell r="R49">
            <v>24.246173697599907</v>
          </cell>
          <cell r="S49">
            <v>26.984644315778826</v>
          </cell>
          <cell r="T49">
            <v>29.056356652317348</v>
          </cell>
          <cell r="U49">
            <v>31.811676351565172</v>
          </cell>
          <cell r="V49">
            <v>32.542126588131325</v>
          </cell>
          <cell r="W49">
            <v>33.274900703189275</v>
          </cell>
          <cell r="X49">
            <v>33.329804289349532</v>
          </cell>
          <cell r="Y49">
            <v>34.066120884109139</v>
          </cell>
          <cell r="Z49">
            <v>34.122329983567916</v>
          </cell>
          <cell r="AA49">
            <v>34.1786318280408</v>
          </cell>
          <cell r="AB49">
            <v>34.235026570557068</v>
          </cell>
          <cell r="AE49">
            <v>3</v>
          </cell>
          <cell r="AF49">
            <v>8.1999999999999993</v>
          </cell>
          <cell r="AG49">
            <v>2.5591411272704572E-2</v>
          </cell>
        </row>
        <row r="50">
          <cell r="B50" t="str">
            <v>4 Months</v>
          </cell>
          <cell r="F50">
            <v>301.47930840771488</v>
          </cell>
          <cell r="G50">
            <v>57.875813410523683</v>
          </cell>
          <cell r="H50">
            <v>57.971308502651041</v>
          </cell>
          <cell r="I50">
            <v>58.066961161680425</v>
          </cell>
          <cell r="J50">
            <v>58.162771647597182</v>
          </cell>
          <cell r="K50">
            <v>58.258740220815717</v>
          </cell>
          <cell r="L50">
            <v>58.354867142180062</v>
          </cell>
          <cell r="P50" t="str">
            <v>4 Months</v>
          </cell>
          <cell r="Q50">
            <v>61.88945577137433</v>
          </cell>
          <cell r="R50">
            <v>61.991573373397081</v>
          </cell>
          <cell r="S50">
            <v>62.093859469463183</v>
          </cell>
          <cell r="T50">
            <v>69.107015930653091</v>
          </cell>
          <cell r="U50">
            <v>74.412620694959074</v>
          </cell>
          <cell r="V50">
            <v>81.468927241813248</v>
          </cell>
          <cell r="W50">
            <v>83.339592481799741</v>
          </cell>
          <cell r="X50">
            <v>85.216209117923768</v>
          </cell>
          <cell r="Y50">
            <v>85.356815862968318</v>
          </cell>
          <cell r="Z50">
            <v>87.242504703206336</v>
          </cell>
          <cell r="AA50">
            <v>87.386454835966617</v>
          </cell>
          <cell r="AB50">
            <v>87.53064248644597</v>
          </cell>
          <cell r="AE50">
            <v>4</v>
          </cell>
          <cell r="AF50">
            <v>21</v>
          </cell>
          <cell r="AG50">
            <v>6.5538980088633667E-2</v>
          </cell>
        </row>
        <row r="51">
          <cell r="B51" t="str">
            <v>5 Months</v>
          </cell>
          <cell r="G51">
            <v>674.73940453155228</v>
          </cell>
          <cell r="H51">
            <v>129.53158239498157</v>
          </cell>
          <cell r="I51">
            <v>129.74530950593328</v>
          </cell>
          <cell r="J51">
            <v>129.95938926661807</v>
          </cell>
          <cell r="K51">
            <v>130.17382225890796</v>
          </cell>
          <cell r="L51">
            <v>130.38860906563517</v>
          </cell>
          <cell r="P51" t="str">
            <v>5 Months</v>
          </cell>
          <cell r="Q51">
            <v>130.60375027059345</v>
          </cell>
          <cell r="R51">
            <v>138.51449625021871</v>
          </cell>
          <cell r="S51">
            <v>138.74304516903155</v>
          </cell>
          <cell r="T51">
            <v>138.97197119356045</v>
          </cell>
          <cell r="U51">
            <v>154.66808327336645</v>
          </cell>
          <cell r="V51">
            <v>166.54253203157504</v>
          </cell>
          <cell r="W51">
            <v>182.33521811262966</v>
          </cell>
          <cell r="X51">
            <v>186.52194507831368</v>
          </cell>
          <cell r="Y51">
            <v>190.72199183535318</v>
          </cell>
          <cell r="Z51">
            <v>191.03668312188145</v>
          </cell>
          <cell r="AA51">
            <v>195.25703433574751</v>
          </cell>
          <cell r="AB51">
            <v>195.57920844240147</v>
          </cell>
          <cell r="AE51">
            <v>5</v>
          </cell>
          <cell r="AF51">
            <v>47</v>
          </cell>
          <cell r="AG51">
            <v>0.14668247924598962</v>
          </cell>
        </row>
        <row r="52">
          <cell r="B52" t="str">
            <v>6 Months</v>
          </cell>
          <cell r="H52">
            <v>1162.8487610011857</v>
          </cell>
          <cell r="I52">
            <v>223.23528029773419</v>
          </cell>
          <cell r="J52">
            <v>223.60361851022543</v>
          </cell>
          <cell r="K52">
            <v>223.97256448076732</v>
          </cell>
          <cell r="L52">
            <v>224.34211921216055</v>
          </cell>
          <cell r="P52" t="str">
            <v>6 Months</v>
          </cell>
          <cell r="Q52">
            <v>224.71228370886058</v>
          </cell>
          <cell r="R52">
            <v>225.08305897698023</v>
          </cell>
          <cell r="S52">
            <v>238.71647226101524</v>
          </cell>
          <cell r="T52">
            <v>239.11035444024586</v>
          </cell>
          <cell r="U52">
            <v>239.50488652507227</v>
          </cell>
          <cell r="V52">
            <v>266.5556328753762</v>
          </cell>
          <cell r="W52">
            <v>287.02010839484211</v>
          </cell>
          <cell r="X52">
            <v>314.2372907898511</v>
          </cell>
          <cell r="Y52">
            <v>321.45271385837037</v>
          </cell>
          <cell r="Z52">
            <v>328.69109231199161</v>
          </cell>
          <cell r="AA52">
            <v>329.23343261430637</v>
          </cell>
          <cell r="AB52">
            <v>336.5068038552244</v>
          </cell>
          <cell r="AE52">
            <v>6</v>
          </cell>
          <cell r="AF52">
            <v>81</v>
          </cell>
          <cell r="AG52">
            <v>0.25279320891330126</v>
          </cell>
        </row>
        <row r="53">
          <cell r="B53" t="str">
            <v>7 Months</v>
          </cell>
          <cell r="I53">
            <v>1162.8487610011857</v>
          </cell>
          <cell r="J53">
            <v>223.23528029773419</v>
          </cell>
          <cell r="K53">
            <v>223.60361851022543</v>
          </cell>
          <cell r="L53">
            <v>223.97256448076732</v>
          </cell>
          <cell r="P53" t="str">
            <v>7 Months</v>
          </cell>
          <cell r="Q53">
            <v>224.34211921216055</v>
          </cell>
          <cell r="R53">
            <v>224.71228370886058</v>
          </cell>
          <cell r="S53">
            <v>225.08305897698023</v>
          </cell>
          <cell r="T53">
            <v>238.71647226101524</v>
          </cell>
          <cell r="U53">
            <v>239.11035444024586</v>
          </cell>
          <cell r="V53">
            <v>239.50488652507227</v>
          </cell>
          <cell r="W53">
            <v>266.5556328753762</v>
          </cell>
          <cell r="X53">
            <v>287.02010839484211</v>
          </cell>
          <cell r="Y53">
            <v>314.2372907898511</v>
          </cell>
          <cell r="Z53">
            <v>321.45271385837037</v>
          </cell>
          <cell r="AA53">
            <v>328.69109231199161</v>
          </cell>
          <cell r="AB53">
            <v>329.23343261430637</v>
          </cell>
          <cell r="AE53">
            <v>7</v>
          </cell>
          <cell r="AF53">
            <v>81</v>
          </cell>
          <cell r="AG53">
            <v>0.25279320891330126</v>
          </cell>
          <cell r="AH53">
            <v>320.42</v>
          </cell>
        </row>
        <row r="54">
          <cell r="B54" t="str">
            <v>8 Months</v>
          </cell>
          <cell r="J54">
            <v>674.73940453155228</v>
          </cell>
          <cell r="K54">
            <v>129.53158239498157</v>
          </cell>
          <cell r="L54">
            <v>129.74530950593328</v>
          </cell>
          <cell r="P54" t="str">
            <v>8 Months</v>
          </cell>
          <cell r="Q54">
            <v>129.95938926661807</v>
          </cell>
          <cell r="R54">
            <v>130.17382225890796</v>
          </cell>
          <cell r="S54">
            <v>130.38860906563517</v>
          </cell>
          <cell r="T54">
            <v>130.60375027059345</v>
          </cell>
          <cell r="U54">
            <v>138.51449625021871</v>
          </cell>
          <cell r="V54">
            <v>138.74304516903155</v>
          </cell>
          <cell r="W54">
            <v>138.97197119356045</v>
          </cell>
          <cell r="X54">
            <v>154.66808327336645</v>
          </cell>
          <cell r="Y54">
            <v>166.54253203157504</v>
          </cell>
          <cell r="Z54">
            <v>182.33521811262966</v>
          </cell>
          <cell r="AA54">
            <v>186.52194507831368</v>
          </cell>
          <cell r="AB54">
            <v>190.72199183535318</v>
          </cell>
          <cell r="AE54">
            <v>8</v>
          </cell>
          <cell r="AF54">
            <v>47</v>
          </cell>
          <cell r="AG54">
            <v>0.14668247924598962</v>
          </cell>
        </row>
        <row r="55">
          <cell r="B55" t="str">
            <v>9 Months</v>
          </cell>
          <cell r="K55">
            <v>301.47930840771488</v>
          </cell>
          <cell r="L55">
            <v>57.875813410523683</v>
          </cell>
          <cell r="P55" t="str">
            <v>9 Months</v>
          </cell>
          <cell r="Q55">
            <v>57.971308502651041</v>
          </cell>
          <cell r="R55">
            <v>58.066961161680425</v>
          </cell>
          <cell r="S55">
            <v>58.162771647597182</v>
          </cell>
          <cell r="T55">
            <v>58.258740220815717</v>
          </cell>
          <cell r="U55">
            <v>58.354867142180062</v>
          </cell>
          <cell r="V55">
            <v>61.88945577137433</v>
          </cell>
          <cell r="W55">
            <v>61.991573373397081</v>
          </cell>
          <cell r="X55">
            <v>62.093859469463183</v>
          </cell>
          <cell r="Y55">
            <v>69.107015930653091</v>
          </cell>
          <cell r="Z55">
            <v>74.412620694959074</v>
          </cell>
          <cell r="AA55">
            <v>81.468927241813248</v>
          </cell>
          <cell r="AB55">
            <v>83.339592481799741</v>
          </cell>
          <cell r="AE55">
            <v>9</v>
          </cell>
          <cell r="AF55">
            <v>21</v>
          </cell>
          <cell r="AG55">
            <v>6.5538980088633667E-2</v>
          </cell>
        </row>
        <row r="56">
          <cell r="B56" t="str">
            <v>10 Months</v>
          </cell>
          <cell r="L56">
            <v>117.72049185444104</v>
          </cell>
          <cell r="P56" t="str">
            <v>10 Months</v>
          </cell>
          <cell r="Q56">
            <v>22.599127141252104</v>
          </cell>
          <cell r="R56">
            <v>22.636415701035169</v>
          </cell>
          <cell r="S56">
            <v>22.673765786941878</v>
          </cell>
          <cell r="T56">
            <v>22.711177500490326</v>
          </cell>
          <cell r="U56">
            <v>22.748650943366133</v>
          </cell>
          <cell r="V56">
            <v>22.786186217422689</v>
          </cell>
          <cell r="W56">
            <v>24.166358920250925</v>
          </cell>
          <cell r="X56">
            <v>24.206233412469334</v>
          </cell>
          <cell r="Y56">
            <v>24.246173697599907</v>
          </cell>
          <cell r="Z56">
            <v>26.984644315778826</v>
          </cell>
          <cell r="AA56">
            <v>29.056356652317348</v>
          </cell>
          <cell r="AB56">
            <v>31.811676351565172</v>
          </cell>
          <cell r="AE56">
            <v>10</v>
          </cell>
          <cell r="AF56">
            <v>8.1999999999999993</v>
          </cell>
          <cell r="AG56">
            <v>2.5591411272704572E-2</v>
          </cell>
        </row>
        <row r="57">
          <cell r="P57" t="str">
            <v>11 Months</v>
          </cell>
          <cell r="Q57">
            <v>34.454778103738839</v>
          </cell>
          <cell r="R57">
            <v>6.6143786754884211</v>
          </cell>
          <cell r="S57">
            <v>6.6252924003029765</v>
          </cell>
          <cell r="T57">
            <v>6.636224132763477</v>
          </cell>
          <cell r="U57">
            <v>6.6471739025825354</v>
          </cell>
          <cell r="V57">
            <v>6.6581417395217954</v>
          </cell>
          <cell r="W57">
            <v>6.6691276733920066</v>
          </cell>
          <cell r="X57">
            <v>7.0730806595856377</v>
          </cell>
          <cell r="Y57">
            <v>7.0847512426739518</v>
          </cell>
          <cell r="Z57">
            <v>7.0964410822243638</v>
          </cell>
          <cell r="AA57">
            <v>7.8979446777889253</v>
          </cell>
          <cell r="AB57">
            <v>8.5042995079953219</v>
          </cell>
          <cell r="AE57">
            <v>11</v>
          </cell>
          <cell r="AF57">
            <v>2.4</v>
          </cell>
          <cell r="AG57">
            <v>7.4901691529867045E-3</v>
          </cell>
        </row>
        <row r="58">
          <cell r="P58" t="str">
            <v>12 Months</v>
          </cell>
          <cell r="R58">
            <v>8.6136945259347097</v>
          </cell>
          <cell r="S58">
            <v>1.6535946688721053</v>
          </cell>
          <cell r="T58">
            <v>1.6563231000757441</v>
          </cell>
          <cell r="U58">
            <v>1.6590560331908693</v>
          </cell>
          <cell r="V58">
            <v>1.6617934756456338</v>
          </cell>
          <cell r="W58">
            <v>1.6645354348804489</v>
          </cell>
          <cell r="X58">
            <v>1.6672819183480017</v>
          </cell>
          <cell r="Y58">
            <v>1.7682701648964094</v>
          </cell>
          <cell r="Z58">
            <v>1.771187810668488</v>
          </cell>
          <cell r="AA58">
            <v>1.7741102705560909</v>
          </cell>
          <cell r="AB58">
            <v>1.9744861694472313</v>
          </cell>
          <cell r="AE58">
            <v>12</v>
          </cell>
          <cell r="AF58">
            <v>0.6</v>
          </cell>
          <cell r="AG58">
            <v>1.8725422882466761E-3</v>
          </cell>
        </row>
        <row r="59">
          <cell r="B59" t="str">
            <v>Total Patient Drop-Outs</v>
          </cell>
          <cell r="C59">
            <v>8.9008176767992015</v>
          </cell>
          <cell r="D59">
            <v>36.163492594906678</v>
          </cell>
          <cell r="E59">
            <v>126.04640440000773</v>
          </cell>
          <cell r="F59">
            <v>332.41808585023387</v>
          </cell>
          <cell r="G59">
            <v>763.60504436737506</v>
          </cell>
          <cell r="H59">
            <v>1381.3926115377192</v>
          </cell>
          <cell r="I59">
            <v>1604.9884891888387</v>
          </cell>
          <cell r="J59">
            <v>1340.9454553742116</v>
          </cell>
          <cell r="K59">
            <v>1098.7091305547785</v>
          </cell>
          <cell r="L59">
            <v>975.48413211414072</v>
          </cell>
          <cell r="P59" t="str">
            <v>Total Patient Drop-Outs</v>
          </cell>
          <cell r="Q59">
            <v>919.8751888470382</v>
          </cell>
          <cell r="R59">
            <v>910.74774704745766</v>
          </cell>
          <cell r="S59">
            <v>922.03468635961008</v>
          </cell>
          <cell r="T59">
            <v>946.59962249867669</v>
          </cell>
          <cell r="U59">
            <v>979.4722975381485</v>
          </cell>
          <cell r="V59">
            <v>1030.6117813358239</v>
          </cell>
          <cell r="W59">
            <v>1098.3198149246091</v>
          </cell>
          <cell r="X59">
            <v>1168.5844494171315</v>
          </cell>
          <cell r="Y59">
            <v>1227.1549377241417</v>
          </cell>
          <cell r="Z59">
            <v>1267.7374400027222</v>
          </cell>
          <cell r="AA59">
            <v>1294.0787106608987</v>
          </cell>
          <cell r="AB59">
            <v>1312.0707522174955</v>
          </cell>
        </row>
        <row r="60">
          <cell r="B60" t="str">
            <v>Patients at Start of Period</v>
          </cell>
          <cell r="C60">
            <v>0</v>
          </cell>
          <cell r="D60">
            <v>4591.0991823232007</v>
          </cell>
          <cell r="E60">
            <v>5438.0103627282942</v>
          </cell>
          <cell r="F60">
            <v>6196.4957045387364</v>
          </cell>
          <cell r="G60">
            <v>6750.0688422801995</v>
          </cell>
          <cell r="H60">
            <v>6873.9169070234484</v>
          </cell>
          <cell r="I60">
            <v>6381.4417022263851</v>
          </cell>
          <cell r="J60">
            <v>5666.8373334993239</v>
          </cell>
          <cell r="K60">
            <v>5270.2070885186249</v>
          </cell>
          <cell r="L60">
            <v>5117.3712884545084</v>
          </cell>
          <cell r="P60" t="str">
            <v>Patients at Start of Period</v>
          </cell>
          <cell r="Q60">
            <v>5089.3211778263394</v>
          </cell>
          <cell r="R60">
            <v>5223.8874196697716</v>
          </cell>
          <cell r="S60">
            <v>5448.5345261022558</v>
          </cell>
          <cell r="T60">
            <v>5769.5604905436849</v>
          </cell>
          <cell r="U60">
            <v>6094.5643072363546</v>
          </cell>
          <cell r="V60">
            <v>6415.3290442489269</v>
          </cell>
          <cell r="W60">
            <v>6687.0996885708319</v>
          </cell>
          <cell r="X60">
            <v>6919.9343192177166</v>
          </cell>
          <cell r="Y60">
            <v>7084.7007202072718</v>
          </cell>
          <cell r="Z60">
            <v>7193.0966617929889</v>
          </cell>
          <cell r="AA60">
            <v>7263.1137600509865</v>
          </cell>
          <cell r="AB60">
            <v>7308.9968826389377</v>
          </cell>
        </row>
        <row r="61">
          <cell r="B61" t="str">
            <v>Patients at End of Period</v>
          </cell>
          <cell r="C61">
            <v>4591.0991823232007</v>
          </cell>
          <cell r="D61">
            <v>5438.0103627282942</v>
          </cell>
          <cell r="E61">
            <v>6196.4957045387364</v>
          </cell>
          <cell r="F61">
            <v>6750.0688422801995</v>
          </cell>
          <cell r="G61">
            <v>6873.9169070234484</v>
          </cell>
          <cell r="H61">
            <v>6381.4417022263851</v>
          </cell>
          <cell r="I61">
            <v>5666.8373334993239</v>
          </cell>
          <cell r="J61">
            <v>5270.2070885186249</v>
          </cell>
          <cell r="K61">
            <v>5117.3712884545084</v>
          </cell>
          <cell r="L61">
            <v>5089.3211778263394</v>
          </cell>
          <cell r="P61" t="str">
            <v>Patients at End of Period</v>
          </cell>
          <cell r="Q61">
            <v>5223.8874196697716</v>
          </cell>
          <cell r="R61">
            <v>5448.5345261022558</v>
          </cell>
          <cell r="S61">
            <v>5769.5604905436849</v>
          </cell>
          <cell r="T61">
            <v>6094.5643072363546</v>
          </cell>
          <cell r="U61">
            <v>6415.3290442489269</v>
          </cell>
          <cell r="V61">
            <v>6687.0996885708319</v>
          </cell>
          <cell r="W61">
            <v>6919.9343192177166</v>
          </cell>
          <cell r="X61">
            <v>7084.7007202072718</v>
          </cell>
          <cell r="Y61">
            <v>7193.0966617929889</v>
          </cell>
          <cell r="Z61">
            <v>7263.1137600509865</v>
          </cell>
          <cell r="AA61">
            <v>7308.9968826389377</v>
          </cell>
          <cell r="AB61">
            <v>7339.0989006951522</v>
          </cell>
        </row>
        <row r="63">
          <cell r="B63" t="str">
            <v>Total Patient Days</v>
          </cell>
          <cell r="C63">
            <v>85164.889832095359</v>
          </cell>
          <cell r="D63">
            <v>139344.90769040224</v>
          </cell>
          <cell r="E63">
            <v>160189.67694661734</v>
          </cell>
          <cell r="F63">
            <v>175667.75966879056</v>
          </cell>
          <cell r="G63">
            <v>179113.50410454167</v>
          </cell>
          <cell r="H63">
            <v>165302.16069089193</v>
          </cell>
          <cell r="I63">
            <v>145271.16432503134</v>
          </cell>
          <cell r="J63">
            <v>133353.85456209915</v>
          </cell>
          <cell r="K63">
            <v>129051.00245284176</v>
          </cell>
          <cell r="L63">
            <v>128242.11095577363</v>
          </cell>
          <cell r="P63" t="str">
            <v>Total Patient Days</v>
          </cell>
          <cell r="Q63">
            <v>130842.36961975202</v>
          </cell>
          <cell r="R63">
            <v>135948.1400244516</v>
          </cell>
          <cell r="S63">
            <v>142839.63094066753</v>
          </cell>
          <cell r="T63">
            <v>151510.16884278817</v>
          </cell>
          <cell r="U63">
            <v>160060.64586898161</v>
          </cell>
          <cell r="V63">
            <v>167637.93577383447</v>
          </cell>
          <cell r="W63">
            <v>173724.28653224508</v>
          </cell>
          <cell r="X63">
            <v>178304.68986718298</v>
          </cell>
          <cell r="Y63">
            <v>181306.6657965903</v>
          </cell>
          <cell r="Z63">
            <v>183233.9794806038</v>
          </cell>
          <cell r="AA63">
            <v>184485.48712349506</v>
          </cell>
          <cell r="AB63">
            <v>185295.06902684493</v>
          </cell>
        </row>
        <row r="64">
          <cell r="B64" t="str">
            <v>Average Cost/Day</v>
          </cell>
          <cell r="C64">
            <v>146.66666666666666</v>
          </cell>
          <cell r="D64">
            <v>146.66666666666666</v>
          </cell>
          <cell r="E64">
            <v>146.66666666666666</v>
          </cell>
          <cell r="F64">
            <v>146.66666666666666</v>
          </cell>
          <cell r="G64">
            <v>146.66666666666666</v>
          </cell>
          <cell r="H64">
            <v>146.66666666666666</v>
          </cell>
          <cell r="I64">
            <v>146.66666666666666</v>
          </cell>
          <cell r="J64">
            <v>146.66666666666666</v>
          </cell>
          <cell r="K64">
            <v>146.66666666666666</v>
          </cell>
          <cell r="L64">
            <v>146.66666666666666</v>
          </cell>
          <cell r="P64" t="str">
            <v>Average Cost/Day</v>
          </cell>
          <cell r="Q64">
            <v>146.66666666666666</v>
          </cell>
          <cell r="R64">
            <v>146.66666666666666</v>
          </cell>
          <cell r="S64">
            <v>146.66666666666666</v>
          </cell>
          <cell r="T64">
            <v>146.66666666666666</v>
          </cell>
          <cell r="U64">
            <v>146.66666666666666</v>
          </cell>
          <cell r="V64">
            <v>146.66666666666666</v>
          </cell>
          <cell r="W64">
            <v>146.66666666666666</v>
          </cell>
          <cell r="X64">
            <v>146.66666666666666</v>
          </cell>
          <cell r="Y64">
            <v>146.66666666666666</v>
          </cell>
          <cell r="Z64">
            <v>146.66666666666666</v>
          </cell>
          <cell r="AA64">
            <v>146.66666666666666</v>
          </cell>
          <cell r="AB64">
            <v>146.66666666666666</v>
          </cell>
        </row>
        <row r="66">
          <cell r="B66" t="str">
            <v>Monthly Sales</v>
          </cell>
          <cell r="C66">
            <v>12490.850508707319</v>
          </cell>
          <cell r="D66">
            <v>20437.253127925662</v>
          </cell>
          <cell r="E66">
            <v>23494.485952170544</v>
          </cell>
          <cell r="F66">
            <v>25764.604751422616</v>
          </cell>
          <cell r="G66">
            <v>26269.980601999443</v>
          </cell>
          <cell r="H66">
            <v>24244.316901330814</v>
          </cell>
          <cell r="I66">
            <v>21306.437434337928</v>
          </cell>
          <cell r="J66">
            <v>19558.56533577454</v>
          </cell>
          <cell r="K66">
            <v>18927.480359750123</v>
          </cell>
          <cell r="L66">
            <v>18808.84294018013</v>
          </cell>
          <cell r="M66">
            <v>211302.81791359911</v>
          </cell>
          <cell r="P66" t="str">
            <v>Monthly Sales</v>
          </cell>
          <cell r="Q66">
            <v>19190.21421089696</v>
          </cell>
          <cell r="R66">
            <v>19939.060536919569</v>
          </cell>
          <cell r="S66">
            <v>20949.812537964572</v>
          </cell>
          <cell r="T66">
            <v>22221.491430275597</v>
          </cell>
          <cell r="U66">
            <v>23475.5613941173</v>
          </cell>
          <cell r="V66">
            <v>24586.897246829056</v>
          </cell>
          <cell r="W66">
            <v>25479.562024729279</v>
          </cell>
          <cell r="X66">
            <v>26151.354513853501</v>
          </cell>
          <cell r="Y66">
            <v>26591.644316833244</v>
          </cell>
          <cell r="Z66">
            <v>26874.316990488554</v>
          </cell>
          <cell r="AA66">
            <v>27057.871444779274</v>
          </cell>
          <cell r="AB66">
            <v>27176.610123937255</v>
          </cell>
          <cell r="AC66">
            <v>289694.3967716241</v>
          </cell>
        </row>
        <row r="67">
          <cell r="C67" t="str">
            <v>1Q04</v>
          </cell>
          <cell r="F67" t="str">
            <v>2Q04</v>
          </cell>
          <cell r="I67" t="str">
            <v>3Q04</v>
          </cell>
          <cell r="L67" t="str">
            <v>4Q04</v>
          </cell>
          <cell r="M67">
            <v>2004</v>
          </cell>
          <cell r="S67" t="str">
            <v>1Q05</v>
          </cell>
          <cell r="V67" t="str">
            <v>2Q05</v>
          </cell>
          <cell r="Y67" t="str">
            <v>3Q05</v>
          </cell>
          <cell r="AB67" t="str">
            <v>4Q05</v>
          </cell>
          <cell r="AC67">
            <v>2005</v>
          </cell>
        </row>
        <row r="68">
          <cell r="B68" t="str">
            <v>Relapsed/Refractory Sales</v>
          </cell>
          <cell r="C68">
            <v>12490.850508707319</v>
          </cell>
          <cell r="F68">
            <v>69696.34383151881</v>
          </cell>
          <cell r="I68">
            <v>71820.734937668181</v>
          </cell>
          <cell r="L68">
            <v>57294.888635704789</v>
          </cell>
          <cell r="M68">
            <v>211302.81791359911</v>
          </cell>
          <cell r="P68" t="str">
            <v>Total Sales</v>
          </cell>
          <cell r="S68">
            <v>60079.087285781097</v>
          </cell>
          <cell r="V68">
            <v>70283.95007122196</v>
          </cell>
          <cell r="Y68">
            <v>78222.560855416028</v>
          </cell>
          <cell r="AB68">
            <v>81108.798559205083</v>
          </cell>
          <cell r="AC68">
            <v>289694.39677162416</v>
          </cell>
        </row>
        <row r="70">
          <cell r="C70" t="str">
            <v>1Q04</v>
          </cell>
          <cell r="F70" t="str">
            <v>2Q04</v>
          </cell>
          <cell r="I70" t="str">
            <v>3Q04</v>
          </cell>
          <cell r="L70" t="str">
            <v>4Q04</v>
          </cell>
          <cell r="M70">
            <v>2004</v>
          </cell>
          <cell r="S70" t="str">
            <v>1Q05</v>
          </cell>
          <cell r="V70" t="str">
            <v>2Q05</v>
          </cell>
          <cell r="Y70" t="str">
            <v>3Q05</v>
          </cell>
          <cell r="AB70" t="str">
            <v>4Q05</v>
          </cell>
          <cell r="AC70">
            <v>2005</v>
          </cell>
        </row>
        <row r="71">
          <cell r="B71" t="str">
            <v>Total Sales</v>
          </cell>
          <cell r="C71">
            <v>24592.22197400295</v>
          </cell>
          <cell r="F71">
            <v>133980.14318219628</v>
          </cell>
          <cell r="I71">
            <v>161536.07133526943</v>
          </cell>
          <cell r="L71">
            <v>174359.67341958501</v>
          </cell>
          <cell r="M71">
            <v>494468.10991105367</v>
          </cell>
          <cell r="P71" t="str">
            <v>Total Sales</v>
          </cell>
          <cell r="S71">
            <v>201977.69031282194</v>
          </cell>
          <cell r="V71">
            <v>237723.03550510277</v>
          </cell>
          <cell r="Y71">
            <v>269070.53908129712</v>
          </cell>
          <cell r="AB71">
            <v>290081.17337585526</v>
          </cell>
          <cell r="AC71">
            <v>998852.43827507715</v>
          </cell>
        </row>
        <row r="74">
          <cell r="B74" t="str">
            <v>New Diagnoses</v>
          </cell>
          <cell r="C74">
            <v>0.25</v>
          </cell>
          <cell r="D74">
            <v>0.3</v>
          </cell>
          <cell r="E74">
            <v>0.35</v>
          </cell>
          <cell r="F74">
            <v>0.4</v>
          </cell>
        </row>
        <row r="75">
          <cell r="B75" t="str">
            <v>Total Q3 Sales</v>
          </cell>
          <cell r="C75">
            <v>153979.96593385277</v>
          </cell>
          <cell r="D75">
            <v>156638.59668507241</v>
          </cell>
          <cell r="E75">
            <v>159297.22743629201</v>
          </cell>
          <cell r="F75">
            <v>161955.85818751174</v>
          </cell>
        </row>
        <row r="76">
          <cell r="B76" t="str">
            <v>Total Q4 Sales</v>
          </cell>
          <cell r="C76">
            <v>159919.35890491318</v>
          </cell>
          <cell r="D76">
            <v>167772.72580992253</v>
          </cell>
          <cell r="E76">
            <v>175626.09271493187</v>
          </cell>
          <cell r="F76">
            <v>183479.45961994119</v>
          </cell>
        </row>
        <row r="77">
          <cell r="B77" t="str">
            <v>FY2004</v>
          </cell>
          <cell r="C77">
            <v>471721.72845186933</v>
          </cell>
          <cell r="D77">
            <v>482233.7261080984</v>
          </cell>
          <cell r="E77">
            <v>492745.72376432741</v>
          </cell>
          <cell r="F77">
            <v>503257.72142055631</v>
          </cell>
        </row>
        <row r="79">
          <cell r="B79" t="str">
            <v>Relapsing</v>
          </cell>
          <cell r="C79">
            <v>0.25</v>
          </cell>
          <cell r="D79">
            <v>0.3</v>
          </cell>
          <cell r="E79">
            <v>0.35</v>
          </cell>
          <cell r="F79">
            <v>0.4</v>
          </cell>
        </row>
        <row r="80">
          <cell r="B80" t="str">
            <v>Total Q3 Sales</v>
          </cell>
          <cell r="C80">
            <v>149404.15650281997</v>
          </cell>
          <cell r="D80">
            <v>151725.76358521846</v>
          </cell>
          <cell r="E80">
            <v>154047.37066761701</v>
          </cell>
          <cell r="F80">
            <v>156368.9777500155</v>
          </cell>
        </row>
        <row r="81">
          <cell r="B81" t="str">
            <v>Total Q4 Sales</v>
          </cell>
          <cell r="C81">
            <v>153623.49900867679</v>
          </cell>
          <cell r="D81">
            <v>160172.05022159428</v>
          </cell>
          <cell r="E81">
            <v>166720.60143451183</v>
          </cell>
          <cell r="F81">
            <v>173269.15264742935</v>
          </cell>
        </row>
        <row r="82">
          <cell r="B82" t="str">
            <v>FY2004</v>
          </cell>
          <cell r="C82">
            <v>460850.0591246002</v>
          </cell>
          <cell r="D82">
            <v>469720.21741991618</v>
          </cell>
          <cell r="E82">
            <v>478590.37571523222</v>
          </cell>
          <cell r="F82">
            <v>487460.53401054826</v>
          </cell>
        </row>
        <row r="85">
          <cell r="B85" t="str">
            <v xml:space="preserve">Front-Line </v>
          </cell>
        </row>
        <row r="86">
          <cell r="C86" t="str">
            <v>Patients Start of Period</v>
          </cell>
          <cell r="D86" t="str">
            <v>New Patient Additions</v>
          </cell>
          <cell r="E86" t="str">
            <v>Drop-Outs</v>
          </cell>
          <cell r="F86" t="str">
            <v>Patients End of Period</v>
          </cell>
          <cell r="G86" t="str">
            <v>Total Patient Days</v>
          </cell>
          <cell r="H86" t="str">
            <v>Sales</v>
          </cell>
        </row>
        <row r="87">
          <cell r="B87" t="str">
            <v>March</v>
          </cell>
          <cell r="C87">
            <v>0</v>
          </cell>
          <cell r="D87">
            <v>4500</v>
          </cell>
          <cell r="E87">
            <v>52.05655526992286</v>
          </cell>
          <cell r="F87">
            <v>4447.9434447300773</v>
          </cell>
          <cell r="G87">
            <v>82509.350899742945</v>
          </cell>
          <cell r="H87">
            <v>12101.371465295631</v>
          </cell>
        </row>
        <row r="88">
          <cell r="B88" t="str">
            <v>April</v>
          </cell>
          <cell r="C88">
            <v>4447.9434447300773</v>
          </cell>
          <cell r="D88">
            <v>665.93698599999993</v>
          </cell>
          <cell r="E88">
            <v>77.112381586118232</v>
          </cell>
          <cell r="F88">
            <v>5036.7680491439587</v>
          </cell>
          <cell r="G88">
            <v>131450.00183242085</v>
          </cell>
          <cell r="H88">
            <v>19279.333602088391</v>
          </cell>
        </row>
        <row r="89">
          <cell r="B89" t="str">
            <v>May</v>
          </cell>
          <cell r="C89">
            <v>5036.7680491439587</v>
          </cell>
          <cell r="D89">
            <v>636.71597375294982</v>
          </cell>
          <cell r="E89">
            <v>104.39805603570247</v>
          </cell>
          <cell r="F89">
            <v>5569.0859668612065</v>
          </cell>
          <cell r="G89">
            <v>146351.83166713189</v>
          </cell>
          <cell r="H89">
            <v>21464.935311179343</v>
          </cell>
        </row>
        <row r="90">
          <cell r="B90" t="str">
            <v>June</v>
          </cell>
          <cell r="C90">
            <v>5569.0859668612065</v>
          </cell>
          <cell r="D90">
            <v>668.13639106724418</v>
          </cell>
          <cell r="E90">
            <v>146.07053212678733</v>
          </cell>
          <cell r="F90">
            <v>6091.151825801664</v>
          </cell>
          <cell r="G90">
            <v>160496.79843688456</v>
          </cell>
          <cell r="H90">
            <v>23539.530437409736</v>
          </cell>
        </row>
        <row r="91">
          <cell r="B91" t="str">
            <v xml:space="preserve">July </v>
          </cell>
          <cell r="C91">
            <v>6091.151825801664</v>
          </cell>
          <cell r="D91">
            <v>1216.7978474772819</v>
          </cell>
          <cell r="E91">
            <v>227.29858180770779</v>
          </cell>
          <cell r="F91">
            <v>7080.651091471238</v>
          </cell>
          <cell r="G91">
            <v>179945.42295666158</v>
          </cell>
          <cell r="H91">
            <v>26391.995366977033</v>
          </cell>
        </row>
        <row r="92">
          <cell r="B92" t="str">
            <v>August</v>
          </cell>
          <cell r="C92">
            <v>7080.651091471238</v>
          </cell>
          <cell r="D92">
            <v>1218.8055639256195</v>
          </cell>
          <cell r="E92">
            <v>319.15848221867031</v>
          </cell>
          <cell r="F92">
            <v>7980.2981731781874</v>
          </cell>
          <cell r="G92">
            <v>205105.32511190866</v>
          </cell>
          <cell r="H92">
            <v>30082.114349746604</v>
          </cell>
        </row>
        <row r="93">
          <cell r="B93" t="str">
            <v>September</v>
          </cell>
          <cell r="C93">
            <v>7980.2981731781874</v>
          </cell>
          <cell r="D93">
            <v>1220.8165931060967</v>
          </cell>
          <cell r="E93">
            <v>450.47129857474908</v>
          </cell>
          <cell r="F93">
            <v>8750.6434677095367</v>
          </cell>
          <cell r="G93">
            <v>226644.72736962023</v>
          </cell>
          <cell r="H93">
            <v>33241.226680877633</v>
          </cell>
        </row>
        <row r="94">
          <cell r="B94" t="str">
            <v>October</v>
          </cell>
          <cell r="C94">
            <v>8750.6434677095367</v>
          </cell>
          <cell r="D94">
            <v>1375.6848080453119</v>
          </cell>
          <cell r="E94">
            <v>576.84867314941653</v>
          </cell>
          <cell r="F94">
            <v>9549.4796026054319</v>
          </cell>
          <cell r="G94">
            <v>246681.37251187017</v>
          </cell>
          <cell r="H94">
            <v>36179.934635074285</v>
          </cell>
        </row>
        <row r="95">
          <cell r="B95" t="str">
            <v>November</v>
          </cell>
          <cell r="C95">
            <v>9549.4796026054319</v>
          </cell>
          <cell r="D95">
            <v>1408.5759032669996</v>
          </cell>
          <cell r="E95">
            <v>680.04417956358725</v>
          </cell>
          <cell r="F95">
            <v>10278.011326308844</v>
          </cell>
          <cell r="G95">
            <v>266585.24979247933</v>
          </cell>
          <cell r="H95">
            <v>39099.169969563634</v>
          </cell>
        </row>
        <row r="96">
          <cell r="B96" t="str">
            <v>December</v>
          </cell>
          <cell r="C96">
            <v>10278.011326308844</v>
          </cell>
          <cell r="D96">
            <v>1472.2435340946677</v>
          </cell>
          <cell r="E96">
            <v>783.83950159654296</v>
          </cell>
          <cell r="F96">
            <v>10966.415358806968</v>
          </cell>
          <cell r="G96">
            <v>284902.36485847033</v>
          </cell>
          <cell r="H96">
            <v>41785.680179242314</v>
          </cell>
        </row>
        <row r="97">
          <cell r="B97" t="str">
            <v>Relapsed/ Refractory</v>
          </cell>
        </row>
        <row r="98">
          <cell r="C98" t="str">
            <v>Patients Start of Period</v>
          </cell>
          <cell r="D98" t="str">
            <v>New Patient Additions</v>
          </cell>
          <cell r="E98" t="str">
            <v>Drop-Outs</v>
          </cell>
          <cell r="F98" t="str">
            <v>Patients End of Period</v>
          </cell>
          <cell r="G98" t="str">
            <v>Total Patient Days</v>
          </cell>
          <cell r="H98" t="str">
            <v>Sales</v>
          </cell>
        </row>
        <row r="99">
          <cell r="B99" t="str">
            <v>March</v>
          </cell>
          <cell r="C99">
            <v>0</v>
          </cell>
          <cell r="D99">
            <v>4600</v>
          </cell>
          <cell r="E99">
            <v>8.9008176767992015</v>
          </cell>
          <cell r="F99">
            <v>4591.0991823232007</v>
          </cell>
          <cell r="G99">
            <v>85164.889832095359</v>
          </cell>
          <cell r="H99">
            <v>12490.850508707319</v>
          </cell>
        </row>
        <row r="100">
          <cell r="B100" t="str">
            <v>April</v>
          </cell>
          <cell r="C100">
            <v>4591.0991823232007</v>
          </cell>
          <cell r="D100">
            <v>883.07467299999996</v>
          </cell>
          <cell r="E100">
            <v>36.163492594906678</v>
          </cell>
          <cell r="F100">
            <v>5438.0103627282942</v>
          </cell>
          <cell r="G100">
            <v>139344.90769040224</v>
          </cell>
          <cell r="H100">
            <v>20437.253127925662</v>
          </cell>
        </row>
        <row r="101">
          <cell r="B101" t="str">
            <v>May</v>
          </cell>
          <cell r="C101">
            <v>5438.0103627282942</v>
          </cell>
          <cell r="D101">
            <v>884.53174621044991</v>
          </cell>
          <cell r="E101">
            <v>126.04640440000773</v>
          </cell>
          <cell r="F101">
            <v>6196.4957045387364</v>
          </cell>
          <cell r="G101">
            <v>160189.67694661734</v>
          </cell>
          <cell r="H101">
            <v>23494.485952170544</v>
          </cell>
        </row>
        <row r="102">
          <cell r="B102" t="str">
            <v>June</v>
          </cell>
          <cell r="C102">
            <v>6196.4957045387364</v>
          </cell>
          <cell r="D102">
            <v>885.99122359169723</v>
          </cell>
          <cell r="E102">
            <v>332.41808585023387</v>
          </cell>
          <cell r="F102">
            <v>6750.0688422801995</v>
          </cell>
          <cell r="G102">
            <v>175667.75966879056</v>
          </cell>
          <cell r="H102">
            <v>25764.604751422616</v>
          </cell>
        </row>
        <row r="103">
          <cell r="B103" t="str">
            <v xml:space="preserve">July </v>
          </cell>
          <cell r="C103">
            <v>6750.0688422801995</v>
          </cell>
          <cell r="D103">
            <v>887.45310911062336</v>
          </cell>
          <cell r="E103">
            <v>763.60504436737506</v>
          </cell>
          <cell r="F103">
            <v>6873.9169070234484</v>
          </cell>
          <cell r="G103">
            <v>179113.50410454167</v>
          </cell>
          <cell r="H103">
            <v>26269.980601999443</v>
          </cell>
        </row>
        <row r="104">
          <cell r="B104" t="str">
            <v>August</v>
          </cell>
          <cell r="C104">
            <v>6873.9169070234484</v>
          </cell>
          <cell r="D104">
            <v>888.91740674065579</v>
          </cell>
          <cell r="E104">
            <v>1381.3926115377192</v>
          </cell>
          <cell r="F104">
            <v>6381.4417022263851</v>
          </cell>
          <cell r="G104">
            <v>165302.16069089193</v>
          </cell>
          <cell r="H104">
            <v>24244.316901330814</v>
          </cell>
        </row>
        <row r="105">
          <cell r="B105" t="str">
            <v>September</v>
          </cell>
          <cell r="C105">
            <v>6381.4417022263851</v>
          </cell>
          <cell r="D105">
            <v>890.38412046177791</v>
          </cell>
          <cell r="E105">
            <v>1604.9884891888387</v>
          </cell>
          <cell r="F105">
            <v>5666.8373334993239</v>
          </cell>
          <cell r="G105">
            <v>145271.16432503134</v>
          </cell>
          <cell r="H105">
            <v>21306.437434337928</v>
          </cell>
        </row>
        <row r="106">
          <cell r="B106" t="str">
            <v>October</v>
          </cell>
          <cell r="C106">
            <v>5666.8373334993239</v>
          </cell>
          <cell r="D106">
            <v>944.31521039351253</v>
          </cell>
          <cell r="E106">
            <v>1340.9454553742116</v>
          </cell>
          <cell r="F106">
            <v>5270.2070885186249</v>
          </cell>
          <cell r="G106">
            <v>133353.85456209915</v>
          </cell>
          <cell r="H106">
            <v>19558.56533577454</v>
          </cell>
        </row>
        <row r="107">
          <cell r="B107" t="str">
            <v>November</v>
          </cell>
          <cell r="C107">
            <v>5270.2070885186249</v>
          </cell>
          <cell r="D107">
            <v>945.8733304906616</v>
          </cell>
          <cell r="E107">
            <v>1098.7091305547785</v>
          </cell>
          <cell r="F107">
            <v>5117.3712884545084</v>
          </cell>
          <cell r="G107">
            <v>129051.00245284176</v>
          </cell>
          <cell r="H107">
            <v>18927.480359750123</v>
          </cell>
        </row>
        <row r="108">
          <cell r="B108" t="str">
            <v>December</v>
          </cell>
          <cell r="C108">
            <v>5117.3712884545084</v>
          </cell>
          <cell r="D108">
            <v>947.43402148597113</v>
          </cell>
          <cell r="E108">
            <v>975.48413211414072</v>
          </cell>
          <cell r="F108">
            <v>5089.3211778263394</v>
          </cell>
          <cell r="G108">
            <v>128242.11095577363</v>
          </cell>
          <cell r="H108">
            <v>18808.84294018013</v>
          </cell>
        </row>
        <row r="109">
          <cell r="B109" t="str">
            <v>Total Sales</v>
          </cell>
        </row>
        <row r="110">
          <cell r="B110" t="str">
            <v>2Q04</v>
          </cell>
          <cell r="C110">
            <v>133980.14318219628</v>
          </cell>
        </row>
        <row r="111">
          <cell r="B111" t="str">
            <v>3Q04</v>
          </cell>
          <cell r="C111">
            <v>161536.07133526943</v>
          </cell>
        </row>
        <row r="112">
          <cell r="B112" t="str">
            <v>4Q04</v>
          </cell>
          <cell r="C112">
            <v>174359.67341958501</v>
          </cell>
        </row>
        <row r="113">
          <cell r="B113">
            <v>2004</v>
          </cell>
          <cell r="C113">
            <v>494468.10991105367</v>
          </cell>
        </row>
      </sheetData>
      <sheetData sheetId="16" refreshError="1"/>
      <sheetData sheetId="17" refreshError="1">
        <row r="1">
          <cell r="A1" t="str">
            <v>Model data for companies: DNA.N</v>
          </cell>
          <cell r="HX1" t="str">
            <v>ElementName</v>
          </cell>
          <cell r="HY1" t="str">
            <v>ScaleOverride</v>
          </cell>
          <cell r="HZ1" t="str">
            <v>UnitOverride</v>
          </cell>
          <cell r="IA1" t="str">
            <v>ReverseSign</v>
          </cell>
          <cell r="IB1" t="str">
            <v>IsDrivingAssumption</v>
          </cell>
          <cell r="IC1" t="str">
            <v>SegmentID</v>
          </cell>
        </row>
        <row r="2">
          <cell r="A2" t="str">
            <v xml:space="preserve">Model Snapshot type:  </v>
          </cell>
          <cell r="G2" t="str">
            <v>1997-FY</v>
          </cell>
          <cell r="H2" t="str">
            <v>1998-FY</v>
          </cell>
          <cell r="I2" t="str">
            <v>1999-FY</v>
          </cell>
          <cell r="J2" t="str">
            <v>2000-FY</v>
          </cell>
          <cell r="K2" t="str">
            <v>2001-FY</v>
          </cell>
          <cell r="L2" t="str">
            <v>2002-FY</v>
          </cell>
        </row>
        <row r="3">
          <cell r="A3" t="str">
            <v>Default Currency: USD in Millions</v>
          </cell>
        </row>
        <row r="4">
          <cell r="A4" t="str">
            <v>Data as of 2/28/2005 1:22:21 PM</v>
          </cell>
          <cell r="G4" t="str">
            <v>data filled 1997-2002</v>
          </cell>
        </row>
        <row r="5">
          <cell r="A5" t="str">
            <v>Template v1.0</v>
          </cell>
          <cell r="L5" t="str">
            <v>Genentech (DNA.N) ()</v>
          </cell>
        </row>
        <row r="6">
          <cell r="G6" t="str">
            <v>1997-FY
1997-1-1
1997-12-31</v>
          </cell>
          <cell r="H6" t="str">
            <v>1998-FY
1998-1-1
1998-12-31</v>
          </cell>
          <cell r="I6" t="str">
            <v>1999-FY
1999-1-1
1999-12-31</v>
          </cell>
          <cell r="J6" t="str">
            <v>2000-FY
2000-1-1
2000-12-31</v>
          </cell>
          <cell r="K6" t="str">
            <v>2001-FY
2001-1-1
2002-12-31</v>
          </cell>
          <cell r="L6" t="str">
            <v>2002 (A)_x000D_
2002-1-1_x000D_
2002-12-31</v>
          </cell>
          <cell r="M6" t="str">
            <v>2003 (A)_x000D_
2003-1-1_x000D_
2003-12-31</v>
          </cell>
        </row>
        <row r="7">
          <cell r="A7" t="str">
            <v>Validation Formulas</v>
          </cell>
          <cell r="HY7">
            <v>0</v>
          </cell>
          <cell r="HZ7" t="str">
            <v>ms_eqr_gcim_String:ms_eqr_gcim_string</v>
          </cell>
          <cell r="IA7" t="b">
            <v>0</v>
          </cell>
          <cell r="IB7" t="b">
            <v>0</v>
          </cell>
        </row>
        <row r="18">
          <cell r="B18" t="str">
            <v>Balance Sheet Validation</v>
          </cell>
          <cell r="G18" t="b">
            <v>1</v>
          </cell>
          <cell r="H18" t="b">
            <v>1</v>
          </cell>
          <cell r="I18" t="b">
            <v>1</v>
          </cell>
          <cell r="J18" t="b">
            <v>1</v>
          </cell>
          <cell r="K18" t="b">
            <v>1</v>
          </cell>
          <cell r="L18" t="b">
            <v>1</v>
          </cell>
          <cell r="M18" t="b">
            <v>1</v>
          </cell>
          <cell r="HY18">
            <v>0</v>
          </cell>
          <cell r="HZ18" t="str">
            <v>ms_eqr_gcim_Boolean:ms_eqr_gcim_boolean</v>
          </cell>
          <cell r="IA18" t="b">
            <v>0</v>
          </cell>
          <cell r="IB18" t="b">
            <v>0</v>
          </cell>
        </row>
        <row r="29">
          <cell r="C29" t="str">
            <v>Assets</v>
          </cell>
          <cell r="G29">
            <v>2507.6120000000005</v>
          </cell>
          <cell r="H29">
            <v>2855.402</v>
          </cell>
          <cell r="I29">
            <v>6534.7819999999992</v>
          </cell>
          <cell r="J29">
            <v>6716.424</v>
          </cell>
          <cell r="K29">
            <v>7146.8890000000001</v>
          </cell>
          <cell r="L29">
            <v>6758.1189999999997</v>
          </cell>
          <cell r="M29">
            <v>8735.9628426585787</v>
          </cell>
          <cell r="HY29">
            <v>0</v>
          </cell>
          <cell r="HZ29" t="str">
            <v>ISO4217:USD</v>
          </cell>
          <cell r="IA29" t="b">
            <v>0</v>
          </cell>
          <cell r="IB29" t="b">
            <v>0</v>
          </cell>
        </row>
        <row r="40">
          <cell r="C40" t="str">
            <v>Liabilities and Equity</v>
          </cell>
          <cell r="G40">
            <v>2507.6120000000001</v>
          </cell>
          <cell r="H40">
            <v>2855.402</v>
          </cell>
          <cell r="I40">
            <v>6534.7819999999992</v>
          </cell>
          <cell r="J40">
            <v>6716.4240000000009</v>
          </cell>
          <cell r="K40">
            <v>7146.8889999999992</v>
          </cell>
          <cell r="L40">
            <v>6758.1189999999997</v>
          </cell>
          <cell r="M40">
            <v>8736.0156437000005</v>
          </cell>
          <cell r="HY40">
            <v>0</v>
          </cell>
          <cell r="HZ40" t="str">
            <v>ISO4217:USD</v>
          </cell>
          <cell r="IA40" t="b">
            <v>0</v>
          </cell>
          <cell r="IB40" t="b">
            <v>0</v>
          </cell>
        </row>
        <row r="51">
          <cell r="B51" t="str">
            <v>Changes in Shareholders Equity Validation</v>
          </cell>
          <cell r="G51" t="b">
            <v>1</v>
          </cell>
          <cell r="H51" t="b">
            <v>1</v>
          </cell>
          <cell r="I51" t="b">
            <v>1</v>
          </cell>
          <cell r="J51" t="b">
            <v>1</v>
          </cell>
          <cell r="K51" t="b">
            <v>1</v>
          </cell>
          <cell r="L51" t="b">
            <v>1</v>
          </cell>
          <cell r="M51" t="b">
            <v>1</v>
          </cell>
          <cell r="HY51">
            <v>0</v>
          </cell>
          <cell r="HZ51" t="str">
            <v>ms_eqr_gcim_Boolean:ms_eqr_gcim_boolean</v>
          </cell>
          <cell r="IA51" t="b">
            <v>0</v>
          </cell>
          <cell r="IB51" t="b">
            <v>0</v>
          </cell>
        </row>
        <row r="62">
          <cell r="C62" t="str">
            <v>Changes in Shareholders Equity</v>
          </cell>
          <cell r="G62">
            <v>230.16599999999994</v>
          </cell>
          <cell r="H62">
            <v>312.61999999999983</v>
          </cell>
          <cell r="I62">
            <v>2926.0119999999993</v>
          </cell>
          <cell r="J62">
            <v>404.34600000000012</v>
          </cell>
          <cell r="K62">
            <v>245.61100000000016</v>
          </cell>
          <cell r="L62">
            <v>-581.05699999999945</v>
          </cell>
          <cell r="M62">
            <v>1181.4782639664222</v>
          </cell>
          <cell r="HY62">
            <v>0</v>
          </cell>
          <cell r="HZ62" t="str">
            <v>ISO4217:USD</v>
          </cell>
          <cell r="IA62" t="b">
            <v>0</v>
          </cell>
          <cell r="IB62" t="b">
            <v>0</v>
          </cell>
        </row>
        <row r="73">
          <cell r="D73" t="str">
            <v>Net Income (Reported) Less Preferred Dividends</v>
          </cell>
          <cell r="G73">
            <v>129.04399999999993</v>
          </cell>
          <cell r="H73">
            <v>181.90899999999982</v>
          </cell>
          <cell r="I73">
            <v>-1157.4760000000001</v>
          </cell>
          <cell r="J73">
            <v>-74.240999999999914</v>
          </cell>
          <cell r="K73">
            <v>150.23100000000022</v>
          </cell>
          <cell r="L73">
            <v>63.665000000000532</v>
          </cell>
          <cell r="M73">
            <v>562.62846292500024</v>
          </cell>
          <cell r="HY73">
            <v>0</v>
          </cell>
          <cell r="HZ73" t="str">
            <v>ISO4217:USD</v>
          </cell>
          <cell r="IA73" t="b">
            <v>0</v>
          </cell>
          <cell r="IB73" t="b">
            <v>0</v>
          </cell>
        </row>
        <row r="74">
          <cell r="G74">
            <v>169.79499999999993</v>
          </cell>
          <cell r="H74">
            <v>252.65099999999981</v>
          </cell>
          <cell r="I74">
            <v>-1130.577</v>
          </cell>
          <cell r="J74">
            <v>3.9730000000000665</v>
          </cell>
          <cell r="K74">
            <v>282.98100000000022</v>
          </cell>
          <cell r="L74">
            <v>573.53200000000049</v>
          </cell>
          <cell r="M74">
            <v>784.22646292500019</v>
          </cell>
        </row>
        <row r="75">
          <cell r="G75">
            <v>-40.750999999999998</v>
          </cell>
          <cell r="H75">
            <v>-70.74199999999999</v>
          </cell>
          <cell r="I75">
            <v>-26.899000000000029</v>
          </cell>
          <cell r="J75">
            <v>-78.213999999999984</v>
          </cell>
          <cell r="K75">
            <v>-132.75</v>
          </cell>
          <cell r="L75">
            <v>-509.86699999999996</v>
          </cell>
          <cell r="M75">
            <v>-221.59799999999998</v>
          </cell>
        </row>
        <row r="84">
          <cell r="D84" t="str">
            <v>Change in Accumulated Other Comprehensive Income (Loss) or Other Reserves</v>
          </cell>
          <cell r="G84">
            <v>-0.11700000000000001</v>
          </cell>
          <cell r="H84">
            <v>5.431</v>
          </cell>
          <cell r="I84">
            <v>200.23600000000002</v>
          </cell>
          <cell r="J84">
            <v>72.119</v>
          </cell>
          <cell r="K84">
            <v>-19.896000000000001</v>
          </cell>
          <cell r="L84">
            <v>-43.08</v>
          </cell>
          <cell r="M84">
            <v>28.549801041422199</v>
          </cell>
          <cell r="HY84">
            <v>0</v>
          </cell>
          <cell r="HZ84" t="str">
            <v>ISO4217:USD</v>
          </cell>
          <cell r="IA84" t="b">
            <v>0</v>
          </cell>
          <cell r="IB84" t="b">
            <v>0</v>
          </cell>
        </row>
        <row r="95">
          <cell r="D95" t="str">
            <v>Change in Investment in Own Shares (Asset)</v>
          </cell>
          <cell r="G95">
            <v>0</v>
          </cell>
          <cell r="H95">
            <v>0</v>
          </cell>
          <cell r="I95">
            <v>0</v>
          </cell>
          <cell r="J95">
            <v>0</v>
          </cell>
          <cell r="K95">
            <v>0</v>
          </cell>
          <cell r="L95">
            <v>0</v>
          </cell>
          <cell r="M95">
            <v>0</v>
          </cell>
          <cell r="HY95">
            <v>0</v>
          </cell>
          <cell r="HZ95" t="str">
            <v>ISO4217:USD</v>
          </cell>
          <cell r="IA95" t="b">
            <v>0</v>
          </cell>
          <cell r="IB95" t="b">
            <v>0</v>
          </cell>
        </row>
        <row r="106">
          <cell r="B106" t="str">
            <v>Cash Flow Validation</v>
          </cell>
          <cell r="G106" t="b">
            <v>1</v>
          </cell>
          <cell r="H106" t="b">
            <v>1</v>
          </cell>
          <cell r="I106" t="b">
            <v>1</v>
          </cell>
          <cell r="J106" t="b">
            <v>1</v>
          </cell>
          <cell r="K106" t="b">
            <v>1</v>
          </cell>
          <cell r="L106" t="b">
            <v>1</v>
          </cell>
          <cell r="M106" t="b">
            <v>1</v>
          </cell>
          <cell r="HY106">
            <v>0</v>
          </cell>
          <cell r="HZ106" t="str">
            <v>ms_eqr_gcim_Boolean:ms_eqr_gcim_boolean</v>
          </cell>
          <cell r="IA106" t="b">
            <v>0</v>
          </cell>
          <cell r="IB106" t="b">
            <v>0</v>
          </cell>
        </row>
        <row r="117">
          <cell r="C117" t="str">
            <v>Aggregate Cash and Cash Equivalents for Validation</v>
          </cell>
          <cell r="F117">
            <v>207.26400000000001</v>
          </cell>
          <cell r="G117">
            <v>244.46899999999999</v>
          </cell>
          <cell r="H117">
            <v>281.16199999999998</v>
          </cell>
          <cell r="I117">
            <v>337.68200000000002</v>
          </cell>
          <cell r="J117">
            <v>551.38400000000001</v>
          </cell>
          <cell r="K117">
            <v>395.20299999999997</v>
          </cell>
          <cell r="L117">
            <v>208.13</v>
          </cell>
          <cell r="M117">
            <v>371.87784265857795</v>
          </cell>
          <cell r="HY117">
            <v>0</v>
          </cell>
          <cell r="HZ117" t="str">
            <v>ISO4217:USD</v>
          </cell>
          <cell r="IA117" t="b">
            <v>0</v>
          </cell>
          <cell r="IB117" t="b">
            <v>0</v>
          </cell>
        </row>
        <row r="128">
          <cell r="C128" t="str">
            <v>Changes in Cash and Cash Equivalents</v>
          </cell>
          <cell r="G128">
            <v>37.204999999999984</v>
          </cell>
          <cell r="H128">
            <v>36.693000000000012</v>
          </cell>
          <cell r="I128">
            <v>56.519999999999698</v>
          </cell>
          <cell r="J128">
            <v>213.702</v>
          </cell>
          <cell r="K128">
            <v>-156.18100000000004</v>
          </cell>
          <cell r="L128">
            <v>-187.07299999999987</v>
          </cell>
          <cell r="M128">
            <v>163.89584265857809</v>
          </cell>
          <cell r="HY128">
            <v>0</v>
          </cell>
          <cell r="HZ128" t="str">
            <v>ISO4217:USD</v>
          </cell>
          <cell r="IA128" t="b">
            <v>0</v>
          </cell>
          <cell r="IB128" t="b">
            <v>0</v>
          </cell>
        </row>
        <row r="129">
          <cell r="G129">
            <v>39.993000000000023</v>
          </cell>
          <cell r="H129">
            <v>172.93699999999998</v>
          </cell>
          <cell r="I129">
            <v>-218.41600000000022</v>
          </cell>
          <cell r="J129">
            <v>277.20500000000004</v>
          </cell>
          <cell r="K129">
            <v>369.18700000000001</v>
          </cell>
          <cell r="L129">
            <v>31.79299999999995</v>
          </cell>
          <cell r="M129">
            <v>530.46584265857791</v>
          </cell>
        </row>
        <row r="130">
          <cell r="G130">
            <v>-2.7880000000000393</v>
          </cell>
          <cell r="H130">
            <v>-136.24399999999997</v>
          </cell>
          <cell r="I130">
            <v>274.93599999999992</v>
          </cell>
          <cell r="J130">
            <v>-63.503000000000043</v>
          </cell>
          <cell r="K130">
            <v>-525.36800000000005</v>
          </cell>
          <cell r="L130">
            <v>-218.86599999999981</v>
          </cell>
          <cell r="M130">
            <v>-366.56999999999982</v>
          </cell>
        </row>
        <row r="131">
          <cell r="G131">
            <v>0</v>
          </cell>
          <cell r="H131">
            <v>0</v>
          </cell>
          <cell r="I131">
            <v>0</v>
          </cell>
          <cell r="J131">
            <v>0</v>
          </cell>
          <cell r="K131">
            <v>0</v>
          </cell>
          <cell r="L131">
            <v>0</v>
          </cell>
          <cell r="M131">
            <v>0</v>
          </cell>
        </row>
        <row r="139">
          <cell r="B139" t="str">
            <v>Tax Rate Validation (must be between 0% and 100%)</v>
          </cell>
          <cell r="G139">
            <v>0.373</v>
          </cell>
          <cell r="H139">
            <v>0.37965018939169048</v>
          </cell>
          <cell r="I139">
            <v>0.51523455723542122</v>
          </cell>
          <cell r="J139">
            <v>0.59149257488044304</v>
          </cell>
          <cell r="K139">
            <v>0.40731343600036757</v>
          </cell>
          <cell r="L139">
            <v>0.37813035732293521</v>
          </cell>
          <cell r="M139">
            <v>0.32364976429312797</v>
          </cell>
          <cell r="HY139">
            <v>0</v>
          </cell>
          <cell r="HZ139" t="str">
            <v>ms_eqr_gcim_Boolean:ms_eqr_gcim_boolean</v>
          </cell>
          <cell r="IA139" t="b">
            <v>0</v>
          </cell>
          <cell r="IB139" t="b">
            <v>0</v>
          </cell>
        </row>
        <row r="140">
          <cell r="A140" t="str">
            <v>Tagged metrics</v>
          </cell>
          <cell r="HY140">
            <v>0</v>
          </cell>
          <cell r="HZ140" t="str">
            <v>ms_eqr_gcim_String:ms_eqr_gcim_string</v>
          </cell>
          <cell r="IA140" t="b">
            <v>0</v>
          </cell>
          <cell r="IB140" t="b">
            <v>0</v>
          </cell>
        </row>
        <row r="141">
          <cell r="B141" t="str">
            <v>Income statement</v>
          </cell>
          <cell r="HY141">
            <v>0</v>
          </cell>
          <cell r="HZ141" t="str">
            <v>ms_eqr_gcim_String:ms_eqr_gcim_string</v>
          </cell>
          <cell r="IA141" t="b">
            <v>0</v>
          </cell>
          <cell r="IB141" t="b">
            <v>0</v>
          </cell>
        </row>
        <row r="142">
          <cell r="C142" t="str">
            <v>Revenue, net</v>
          </cell>
          <cell r="G142">
            <v>706.476</v>
          </cell>
          <cell r="H142">
            <v>832.58999999999992</v>
          </cell>
          <cell r="I142">
            <v>1122.337</v>
          </cell>
          <cell r="J142">
            <v>1438.7070000000001</v>
          </cell>
          <cell r="K142">
            <v>1779.557</v>
          </cell>
          <cell r="L142">
            <v>2218.1080000000002</v>
          </cell>
          <cell r="M142">
            <v>3300.2629999999999</v>
          </cell>
          <cell r="HX142" t="str">
            <v>mstag:revenueNet</v>
          </cell>
          <cell r="HY142">
            <v>6</v>
          </cell>
          <cell r="HZ142" t="str">
            <v>ISO4217:USD</v>
          </cell>
          <cell r="IA142" t="b">
            <v>0</v>
          </cell>
          <cell r="IB142" t="b">
            <v>0</v>
          </cell>
        </row>
        <row r="143">
          <cell r="D143" t="str">
            <v>Revenue, net of discounts and allowances</v>
          </cell>
          <cell r="G143">
            <v>706.476</v>
          </cell>
          <cell r="H143">
            <v>832.58999999999992</v>
          </cell>
          <cell r="I143">
            <v>1122.337</v>
          </cell>
          <cell r="J143">
            <v>1438.7070000000001</v>
          </cell>
          <cell r="K143">
            <v>1779.557</v>
          </cell>
          <cell r="L143">
            <v>2218.1080000000002</v>
          </cell>
          <cell r="M143" t="str">
            <v/>
          </cell>
          <cell r="HX143" t="str">
            <v>mstag:revenueNetOfDiscountsAndAllowances</v>
          </cell>
          <cell r="HY143">
            <v>6</v>
          </cell>
          <cell r="HZ143" t="str">
            <v>ISO4217:USD</v>
          </cell>
          <cell r="IA143" t="b">
            <v>0</v>
          </cell>
          <cell r="IB143" t="b">
            <v>0</v>
          </cell>
        </row>
        <row r="144">
          <cell r="E144" t="str">
            <v>Revenue, gross</v>
          </cell>
          <cell r="G144">
            <v>706.476</v>
          </cell>
          <cell r="H144">
            <v>832.58999999999992</v>
          </cell>
          <cell r="I144">
            <v>1122.337</v>
          </cell>
          <cell r="J144">
            <v>1438.7070000000001</v>
          </cell>
          <cell r="K144">
            <v>1779.557</v>
          </cell>
          <cell r="L144">
            <v>2218.1080000000002</v>
          </cell>
          <cell r="HX144" t="str">
            <v>mstag:revenueGross</v>
          </cell>
          <cell r="HY144">
            <v>6</v>
          </cell>
          <cell r="HZ144" t="str">
            <v>ISO4217:USD</v>
          </cell>
          <cell r="IA144" t="b">
            <v>0</v>
          </cell>
          <cell r="IB144" t="b">
            <v>0</v>
          </cell>
        </row>
        <row r="145">
          <cell r="E145" t="str">
            <v>Sales discounts</v>
          </cell>
          <cell r="HX145" t="str">
            <v>mstag:salesDiscounts</v>
          </cell>
          <cell r="HY145">
            <v>6</v>
          </cell>
          <cell r="HZ145" t="str">
            <v>ISO4217:USD</v>
          </cell>
          <cell r="IA145" t="b">
            <v>0</v>
          </cell>
          <cell r="IB145" t="b">
            <v>0</v>
          </cell>
        </row>
        <row r="146">
          <cell r="E146" t="str">
            <v>Change in allowance for doubtful accounts, recurring</v>
          </cell>
          <cell r="HX146" t="str">
            <v>mstag:changeInAllowanceForDoubtfulAccountsRecurring</v>
          </cell>
          <cell r="HY146">
            <v>6</v>
          </cell>
          <cell r="HZ146" t="str">
            <v>ISO4217:USD</v>
          </cell>
          <cell r="IA146" t="b">
            <v>0</v>
          </cell>
          <cell r="IB146" t="b">
            <v>0</v>
          </cell>
        </row>
        <row r="147">
          <cell r="E147" t="str">
            <v>Change in allowance for doubtful accounts, one time</v>
          </cell>
          <cell r="HX147" t="str">
            <v>mstag:changeInAllowanceForDoubtfulAccountsOneTime</v>
          </cell>
          <cell r="HY147">
            <v>6</v>
          </cell>
          <cell r="HZ147" t="str">
            <v>ISO4217:USD</v>
          </cell>
          <cell r="IA147" t="b">
            <v>0</v>
          </cell>
          <cell r="IB147" t="b">
            <v>0</v>
          </cell>
        </row>
        <row r="148">
          <cell r="C148" t="str">
            <v>Revenue, region</v>
          </cell>
          <cell r="HX148" t="str">
            <v>mstag:revenueRegion</v>
          </cell>
          <cell r="HY148">
            <v>6</v>
          </cell>
          <cell r="HZ148" t="str">
            <v>ISO4217:USD</v>
          </cell>
          <cell r="IA148" t="b">
            <v>0</v>
          </cell>
          <cell r="IB148" t="b">
            <v>0</v>
          </cell>
        </row>
        <row r="149">
          <cell r="D149" t="str">
            <v>Revenue (Americas)</v>
          </cell>
          <cell r="G149" t="str">
            <v/>
          </cell>
          <cell r="H149" t="str">
            <v/>
          </cell>
          <cell r="I149" t="str">
            <v/>
          </cell>
          <cell r="J149" t="str">
            <v/>
          </cell>
          <cell r="K149" t="str">
            <v/>
          </cell>
          <cell r="L149" t="str">
            <v/>
          </cell>
          <cell r="M149" t="str">
            <v/>
          </cell>
          <cell r="HX149" t="str">
            <v>mstag:americasRevenues</v>
          </cell>
          <cell r="HY149">
            <v>6</v>
          </cell>
          <cell r="HZ149" t="str">
            <v>ISO4217:USD</v>
          </cell>
          <cell r="IA149" t="b">
            <v>0</v>
          </cell>
          <cell r="IB149" t="b">
            <v>0</v>
          </cell>
        </row>
        <row r="150">
          <cell r="E150" t="str">
            <v>Revenue (North America)</v>
          </cell>
          <cell r="HX150" t="str">
            <v>mstag:northAmericaRevenues</v>
          </cell>
          <cell r="HY150">
            <v>6</v>
          </cell>
          <cell r="HZ150" t="str">
            <v>ISO4217:USD</v>
          </cell>
          <cell r="IA150" t="b">
            <v>0</v>
          </cell>
          <cell r="IB150" t="b">
            <v>0</v>
          </cell>
        </row>
        <row r="151">
          <cell r="E151" t="str">
            <v>Revenue (Latin America)</v>
          </cell>
          <cell r="HX151" t="str">
            <v>mstag:latinAmericaRevenues</v>
          </cell>
          <cell r="HY151">
            <v>6</v>
          </cell>
          <cell r="HZ151" t="str">
            <v>ISO4217:USD</v>
          </cell>
          <cell r="IA151" t="b">
            <v>0</v>
          </cell>
          <cell r="IB151" t="b">
            <v>0</v>
          </cell>
        </row>
        <row r="152">
          <cell r="D152" t="str">
            <v>Revenue (Europe, Middle East, and Africa)</v>
          </cell>
          <cell r="G152" t="str">
            <v/>
          </cell>
          <cell r="H152" t="str">
            <v/>
          </cell>
          <cell r="I152" t="str">
            <v/>
          </cell>
          <cell r="J152" t="str">
            <v/>
          </cell>
          <cell r="K152" t="str">
            <v/>
          </cell>
          <cell r="L152" t="str">
            <v/>
          </cell>
          <cell r="M152" t="str">
            <v/>
          </cell>
          <cell r="HX152" t="str">
            <v>mstag:europeMiddleEastAndAfricaEmeaRevenues</v>
          </cell>
          <cell r="HY152">
            <v>6</v>
          </cell>
          <cell r="HZ152" t="str">
            <v>ISO4217:USD</v>
          </cell>
          <cell r="IA152" t="b">
            <v>0</v>
          </cell>
          <cell r="IB152" t="b">
            <v>0</v>
          </cell>
        </row>
        <row r="153">
          <cell r="E153" t="str">
            <v>Revenue (Europe)</v>
          </cell>
          <cell r="HX153" t="str">
            <v>mstag:europeRevenues</v>
          </cell>
          <cell r="HY153">
            <v>6</v>
          </cell>
          <cell r="HZ153" t="str">
            <v>ISO4217:USD</v>
          </cell>
          <cell r="IA153" t="b">
            <v>0</v>
          </cell>
          <cell r="IB153" t="b">
            <v>0</v>
          </cell>
        </row>
        <row r="154">
          <cell r="E154" t="str">
            <v>Revenue (Africa and Middle East)</v>
          </cell>
          <cell r="HX154" t="str">
            <v>mstag:africaAndMiddleEastRevenues</v>
          </cell>
          <cell r="HY154">
            <v>6</v>
          </cell>
          <cell r="HZ154" t="str">
            <v>ISO4217:USD</v>
          </cell>
          <cell r="IA154" t="b">
            <v>0</v>
          </cell>
          <cell r="IB154" t="b">
            <v>0</v>
          </cell>
        </row>
        <row r="155">
          <cell r="D155" t="str">
            <v>Revenue (Asia)</v>
          </cell>
          <cell r="G155" t="str">
            <v/>
          </cell>
          <cell r="H155" t="str">
            <v/>
          </cell>
          <cell r="I155" t="str">
            <v/>
          </cell>
          <cell r="J155" t="str">
            <v/>
          </cell>
          <cell r="K155" t="str">
            <v/>
          </cell>
          <cell r="L155" t="str">
            <v/>
          </cell>
          <cell r="M155" t="str">
            <v/>
          </cell>
          <cell r="HX155" t="str">
            <v>mstag:asiaRevenues</v>
          </cell>
          <cell r="HY155">
            <v>6</v>
          </cell>
          <cell r="HZ155" t="str">
            <v>ISO4217:USD</v>
          </cell>
          <cell r="IA155" t="b">
            <v>0</v>
          </cell>
          <cell r="IB155" t="b">
            <v>0</v>
          </cell>
        </row>
        <row r="156">
          <cell r="E156" t="str">
            <v>Revenue (Japan)</v>
          </cell>
          <cell r="HX156" t="str">
            <v>mstag:japanRevenues</v>
          </cell>
          <cell r="HY156">
            <v>6</v>
          </cell>
          <cell r="HZ156" t="str">
            <v>ISO4217:USD</v>
          </cell>
          <cell r="IA156" t="b">
            <v>0</v>
          </cell>
          <cell r="IB156" t="b">
            <v>0</v>
          </cell>
        </row>
        <row r="157">
          <cell r="E157" t="str">
            <v>Revenue (Asia ex-Japan)</v>
          </cell>
          <cell r="HX157" t="str">
            <v>mstag:nonJapanAsiaRevenues</v>
          </cell>
          <cell r="HY157">
            <v>6</v>
          </cell>
          <cell r="HZ157" t="str">
            <v>ISO4217:USD</v>
          </cell>
          <cell r="IA157" t="b">
            <v>0</v>
          </cell>
          <cell r="IB157" t="b">
            <v>0</v>
          </cell>
        </row>
        <row r="158">
          <cell r="D158" t="str">
            <v>Other revenue, region</v>
          </cell>
          <cell r="HX158" t="str">
            <v>mstag:otherRevenueRegion</v>
          </cell>
          <cell r="HY158">
            <v>6</v>
          </cell>
          <cell r="HZ158" t="str">
            <v>ISO4217:USD</v>
          </cell>
          <cell r="IA158" t="b">
            <v>0</v>
          </cell>
          <cell r="IB158" t="b">
            <v>0</v>
          </cell>
        </row>
        <row r="159">
          <cell r="D159" t="str">
            <v>Intercompany eliminations</v>
          </cell>
          <cell r="HX159" t="str">
            <v>mstag:intercompanyEliminations</v>
          </cell>
          <cell r="HY159">
            <v>6</v>
          </cell>
          <cell r="HZ159" t="str">
            <v>ISO4217:USD</v>
          </cell>
          <cell r="IA159" t="b">
            <v>0</v>
          </cell>
          <cell r="IB159" t="b">
            <v>0</v>
          </cell>
        </row>
        <row r="160">
          <cell r="C160" t="str">
            <v>Royalty, licensee income</v>
          </cell>
          <cell r="G160">
            <v>241.11199999999999</v>
          </cell>
          <cell r="H160">
            <v>229.589</v>
          </cell>
          <cell r="I160">
            <v>189.26999999999998</v>
          </cell>
          <cell r="J160">
            <v>207.24100000000001</v>
          </cell>
          <cell r="K160">
            <v>264.47500000000002</v>
          </cell>
          <cell r="L160">
            <v>365.55</v>
          </cell>
          <cell r="HX160" t="str">
            <v>mstag:royaltyLicenseeIncome</v>
          </cell>
          <cell r="HY160">
            <v>6</v>
          </cell>
          <cell r="HZ160" t="str">
            <v>ISO4217:USD</v>
          </cell>
          <cell r="IA160" t="b">
            <v>0</v>
          </cell>
          <cell r="IB160" t="b">
            <v>0</v>
          </cell>
        </row>
        <row r="161">
          <cell r="C161" t="str">
            <v>Cost of sales, with depreciation</v>
          </cell>
          <cell r="G161">
            <v>102.536</v>
          </cell>
          <cell r="H161">
            <v>138.62299999999999</v>
          </cell>
          <cell r="I161">
            <v>285.54899999999998</v>
          </cell>
          <cell r="J161">
            <v>364.89199999999994</v>
          </cell>
          <cell r="K161">
            <v>354.44200000000001</v>
          </cell>
          <cell r="L161">
            <v>441.63</v>
          </cell>
          <cell r="M161">
            <v>480.2</v>
          </cell>
          <cell r="HX161" t="str">
            <v>mstag:costOfSalesWithDepreciation</v>
          </cell>
          <cell r="HY161">
            <v>6</v>
          </cell>
          <cell r="HZ161" t="str">
            <v>ISO4217:USD</v>
          </cell>
          <cell r="IA161" t="b">
            <v>0</v>
          </cell>
          <cell r="IB161" t="b">
            <v>0</v>
          </cell>
        </row>
        <row r="162">
          <cell r="C162" t="str">
            <v>Cost of sales, without depreciation</v>
          </cell>
          <cell r="HX162" t="str">
            <v>mstag:costOfSalesWithoutDepreciation</v>
          </cell>
          <cell r="HY162">
            <v>6</v>
          </cell>
          <cell r="HZ162" t="str">
            <v>ISO4217:USD</v>
          </cell>
          <cell r="IA162" t="b">
            <v>0</v>
          </cell>
          <cell r="IB162" t="b">
            <v>0</v>
          </cell>
        </row>
        <row r="163">
          <cell r="C163" t="str">
            <v>Cost of materials</v>
          </cell>
          <cell r="HX163" t="str">
            <v>mstag:costOfMaterials</v>
          </cell>
          <cell r="HY163">
            <v>6</v>
          </cell>
          <cell r="HZ163" t="str">
            <v>ISO4217:USD</v>
          </cell>
          <cell r="IA163" t="b">
            <v>0</v>
          </cell>
          <cell r="IB163" t="b">
            <v>0</v>
          </cell>
        </row>
        <row r="164">
          <cell r="C164" t="str">
            <v>Cost of services sold</v>
          </cell>
          <cell r="HX164" t="str">
            <v>mstag:costOfServicesSold</v>
          </cell>
          <cell r="HY164">
            <v>6</v>
          </cell>
          <cell r="HZ164" t="str">
            <v>ISO4217:USD</v>
          </cell>
          <cell r="IA164" t="b">
            <v>0</v>
          </cell>
          <cell r="IB164" t="b">
            <v>0</v>
          </cell>
        </row>
        <row r="165">
          <cell r="C165" t="str">
            <v>Selling, general, and administrative expenses</v>
          </cell>
          <cell r="G165">
            <v>470.923</v>
          </cell>
          <cell r="H165">
            <v>358.93099999999998</v>
          </cell>
          <cell r="I165">
            <v>393.65700000000004</v>
          </cell>
          <cell r="J165">
            <v>368.22399999999999</v>
          </cell>
          <cell r="K165">
            <v>446.90599999999995</v>
          </cell>
          <cell r="L165">
            <v>546.27599999999995</v>
          </cell>
          <cell r="M165">
            <v>794.88499999999999</v>
          </cell>
          <cell r="HX165" t="str">
            <v>mstag:sellingGeneralAndAdministrativeExpenses</v>
          </cell>
          <cell r="HY165">
            <v>6</v>
          </cell>
          <cell r="HZ165" t="str">
            <v>ISO4217:USD</v>
          </cell>
          <cell r="IA165" t="b">
            <v>0</v>
          </cell>
          <cell r="IB165" t="b">
            <v>0</v>
          </cell>
        </row>
        <row r="166">
          <cell r="D166" t="str">
            <v>Marketing and distribution costs</v>
          </cell>
          <cell r="G166">
            <v>41.8</v>
          </cell>
          <cell r="H166">
            <v>47.7</v>
          </cell>
          <cell r="I166">
            <v>80</v>
          </cell>
          <cell r="J166">
            <v>86.5</v>
          </cell>
          <cell r="K166">
            <v>91.9</v>
          </cell>
          <cell r="L166">
            <v>111.7</v>
          </cell>
          <cell r="M166" t="str">
            <v/>
          </cell>
          <cell r="HX166" t="str">
            <v>mstag:marketingAndDistributionCosts</v>
          </cell>
          <cell r="HY166">
            <v>6</v>
          </cell>
          <cell r="HZ166" t="str">
            <v>ISO4217:USD</v>
          </cell>
          <cell r="IA166" t="b">
            <v>0</v>
          </cell>
          <cell r="IB166" t="b">
            <v>0</v>
          </cell>
        </row>
        <row r="167">
          <cell r="E167" t="str">
            <v>Advertising costs</v>
          </cell>
          <cell r="G167">
            <v>41.8</v>
          </cell>
          <cell r="H167">
            <v>47.7</v>
          </cell>
          <cell r="I167">
            <v>80</v>
          </cell>
          <cell r="J167">
            <v>86.5</v>
          </cell>
          <cell r="K167">
            <v>91.9</v>
          </cell>
          <cell r="L167">
            <v>111.7</v>
          </cell>
          <cell r="HX167" t="str">
            <v>mstag:advertisingCosts</v>
          </cell>
          <cell r="HY167">
            <v>6</v>
          </cell>
          <cell r="HZ167" t="str">
            <v>ISO4217:USD</v>
          </cell>
          <cell r="IA167" t="b">
            <v>0</v>
          </cell>
          <cell r="IB167" t="b">
            <v>0</v>
          </cell>
        </row>
        <row r="168">
          <cell r="D168" t="str">
            <v>General and administrative expenses</v>
          </cell>
          <cell r="G168">
            <v>429.12299999999999</v>
          </cell>
          <cell r="H168">
            <v>311.23099999999999</v>
          </cell>
          <cell r="I168">
            <v>313.65700000000004</v>
          </cell>
          <cell r="J168">
            <v>281.72399999999999</v>
          </cell>
          <cell r="K168">
            <v>355.00599999999997</v>
          </cell>
          <cell r="L168">
            <v>434.57599999999996</v>
          </cell>
          <cell r="HX168" t="str">
            <v>mstag:generalAndAdministrativeExpenses</v>
          </cell>
          <cell r="HY168">
            <v>6</v>
          </cell>
          <cell r="HZ168" t="str">
            <v>ISO4217:USD</v>
          </cell>
          <cell r="IA168" t="b">
            <v>0</v>
          </cell>
          <cell r="IB168" t="b">
            <v>0</v>
          </cell>
        </row>
        <row r="169">
          <cell r="C169" t="str">
            <v>Stock compensation</v>
          </cell>
          <cell r="HX169" t="str">
            <v>mstag:stockCompensation</v>
          </cell>
          <cell r="HY169">
            <v>6</v>
          </cell>
          <cell r="HZ169" t="str">
            <v>ISO4217:USD</v>
          </cell>
          <cell r="IA169" t="b">
            <v>0</v>
          </cell>
          <cell r="IB169" t="b">
            <v>0</v>
          </cell>
        </row>
        <row r="170">
          <cell r="C170" t="str">
            <v>Employee expenses</v>
          </cell>
          <cell r="HX170" t="str">
            <v>mstag:employeeExpenses</v>
          </cell>
          <cell r="HY170">
            <v>6</v>
          </cell>
          <cell r="HZ170" t="str">
            <v>ISO4217:USD</v>
          </cell>
          <cell r="IA170" t="b">
            <v>0</v>
          </cell>
          <cell r="IB170" t="b">
            <v>0</v>
          </cell>
        </row>
        <row r="171">
          <cell r="C171" t="str">
            <v>Marketing costs</v>
          </cell>
          <cell r="HX171" t="str">
            <v>mstag:marketingCosts</v>
          </cell>
          <cell r="HY171">
            <v>6</v>
          </cell>
          <cell r="HZ171" t="str">
            <v>ISO4217:USD</v>
          </cell>
          <cell r="IA171" t="b">
            <v>0</v>
          </cell>
          <cell r="IB171" t="b">
            <v>0</v>
          </cell>
        </row>
        <row r="172">
          <cell r="C172" t="str">
            <v>Research and development</v>
          </cell>
          <cell r="G172">
            <v>269.85199999999998</v>
          </cell>
          <cell r="H172">
            <v>396.18599999999998</v>
          </cell>
          <cell r="I172">
            <v>367.33799999999997</v>
          </cell>
          <cell r="J172">
            <v>489.87900000000002</v>
          </cell>
          <cell r="K172">
            <v>526.23</v>
          </cell>
          <cell r="L172">
            <v>623.48199999999997</v>
          </cell>
          <cell r="M172">
            <v>721.96299999999997</v>
          </cell>
          <cell r="HX172" t="str">
            <v>mstag:researchAndDevelopment</v>
          </cell>
          <cell r="HY172">
            <v>6</v>
          </cell>
          <cell r="HZ172" t="str">
            <v>ISO4217:USD</v>
          </cell>
          <cell r="IA172" t="b">
            <v>0</v>
          </cell>
          <cell r="IB172" t="b">
            <v>0</v>
          </cell>
        </row>
        <row r="173">
          <cell r="C173" t="str">
            <v>Acquired in-process R and D, recurring</v>
          </cell>
          <cell r="HX173" t="str">
            <v>mstag:acquiredInProcessRAndDRecurring</v>
          </cell>
          <cell r="HY173">
            <v>6</v>
          </cell>
          <cell r="HZ173" t="str">
            <v>ISO4217:USD</v>
          </cell>
          <cell r="IA173" t="b">
            <v>0</v>
          </cell>
          <cell r="IB173" t="b">
            <v>0</v>
          </cell>
        </row>
        <row r="174">
          <cell r="C174" t="str">
            <v>Acquired in-process R and D, one time</v>
          </cell>
          <cell r="G174">
            <v>0</v>
          </cell>
          <cell r="H174">
            <v>0</v>
          </cell>
          <cell r="I174">
            <v>752.5</v>
          </cell>
          <cell r="J174">
            <v>0</v>
          </cell>
          <cell r="K174">
            <v>0</v>
          </cell>
          <cell r="L174">
            <v>0</v>
          </cell>
          <cell r="M174" t="str">
            <v/>
          </cell>
          <cell r="HX174" t="str">
            <v>mstag:acquiredInProcessRAndDOneTime</v>
          </cell>
          <cell r="HY174">
            <v>6</v>
          </cell>
          <cell r="HZ174" t="str">
            <v>ISO4217:USD</v>
          </cell>
          <cell r="IA174" t="b">
            <v>0</v>
          </cell>
          <cell r="IB174" t="b">
            <v>0</v>
          </cell>
        </row>
        <row r="175">
          <cell r="D175" t="str">
            <v>Acquired in-process R and D, one time, gross of tax</v>
          </cell>
          <cell r="G175">
            <v>0</v>
          </cell>
          <cell r="H175">
            <v>0</v>
          </cell>
          <cell r="I175">
            <v>1015.875</v>
          </cell>
          <cell r="J175">
            <v>0</v>
          </cell>
          <cell r="K175">
            <v>0</v>
          </cell>
          <cell r="L175">
            <v>0</v>
          </cell>
          <cell r="HX175" t="str">
            <v>mstag:acquiredInProcessRAndDOneTimeGrossOfTax</v>
          </cell>
          <cell r="HY175">
            <v>6</v>
          </cell>
          <cell r="HZ175" t="str">
            <v>ISO4217:USD</v>
          </cell>
          <cell r="IA175" t="b">
            <v>0</v>
          </cell>
          <cell r="IB175" t="b">
            <v>0</v>
          </cell>
        </row>
        <row r="176">
          <cell r="D176" t="str">
            <v>Tax on acquired in-process R and D, one time</v>
          </cell>
          <cell r="G176">
            <v>0</v>
          </cell>
          <cell r="H176">
            <v>0</v>
          </cell>
          <cell r="I176">
            <v>263.375</v>
          </cell>
          <cell r="J176">
            <v>0</v>
          </cell>
          <cell r="K176">
            <v>0</v>
          </cell>
          <cell r="L176">
            <v>0</v>
          </cell>
          <cell r="HX176" t="str">
            <v>mstag:taxOnAcquiredInProcessRAndDOneTime</v>
          </cell>
          <cell r="HY176">
            <v>6</v>
          </cell>
          <cell r="HZ176" t="str">
            <v>ISO4217:USD</v>
          </cell>
          <cell r="IA176" t="b">
            <v>0</v>
          </cell>
          <cell r="IB176" t="b">
            <v>0</v>
          </cell>
        </row>
        <row r="177">
          <cell r="C177" t="str">
            <v>Depreciation, in income statement</v>
          </cell>
          <cell r="HX177" t="str">
            <v>mstag:depreciationInIncomeStatement</v>
          </cell>
          <cell r="HY177">
            <v>6</v>
          </cell>
          <cell r="HZ177" t="str">
            <v>ISO4217:USD</v>
          </cell>
          <cell r="IA177" t="b">
            <v>0</v>
          </cell>
          <cell r="IB177" t="b">
            <v>0</v>
          </cell>
        </row>
        <row r="178">
          <cell r="C178" t="str">
            <v>Amortization of goodwill, in income statement</v>
          </cell>
          <cell r="G178">
            <v>0</v>
          </cell>
          <cell r="H178">
            <v>0</v>
          </cell>
          <cell r="I178">
            <v>76.599999999999994</v>
          </cell>
          <cell r="J178">
            <v>153.30000000000001</v>
          </cell>
          <cell r="K178">
            <v>153.30000000000001</v>
          </cell>
          <cell r="L178">
            <v>0</v>
          </cell>
          <cell r="M178" t="str">
            <v/>
          </cell>
          <cell r="HX178" t="str">
            <v>mstag:amortizationOfGoodwillInIncomeStatement</v>
          </cell>
          <cell r="HY178">
            <v>6</v>
          </cell>
          <cell r="HZ178" t="str">
            <v>ISO4217:USD</v>
          </cell>
          <cell r="IA178" t="b">
            <v>0</v>
          </cell>
          <cell r="IB178" t="b">
            <v>0</v>
          </cell>
        </row>
        <row r="179">
          <cell r="D179" t="str">
            <v>Amortization of goodwill, operating, in income statement</v>
          </cell>
          <cell r="G179">
            <v>0</v>
          </cell>
          <cell r="H179">
            <v>0</v>
          </cell>
          <cell r="I179">
            <v>76.599999999999994</v>
          </cell>
          <cell r="J179">
            <v>153.30000000000001</v>
          </cell>
          <cell r="K179">
            <v>153.30000000000001</v>
          </cell>
          <cell r="L179">
            <v>0</v>
          </cell>
          <cell r="HX179" t="str">
            <v>mstag:amortizationOfGoodwillOperatingInIncomeStatement</v>
          </cell>
          <cell r="HY179">
            <v>6</v>
          </cell>
          <cell r="HZ179" t="str">
            <v>ISO4217:USD</v>
          </cell>
          <cell r="IA179" t="b">
            <v>0</v>
          </cell>
          <cell r="IB179" t="b">
            <v>0</v>
          </cell>
        </row>
        <row r="180">
          <cell r="D180" t="str">
            <v>Amortization of goodwill, nonoperating, in income statement</v>
          </cell>
          <cell r="HX180" t="str">
            <v>mstag:amortizationOfGoodwillNonOperatingInIncomeStatement</v>
          </cell>
          <cell r="HY180">
            <v>6</v>
          </cell>
          <cell r="HZ180" t="str">
            <v>ISO4217:USD</v>
          </cell>
          <cell r="IA180" t="b">
            <v>0</v>
          </cell>
          <cell r="IB180" t="b">
            <v>0</v>
          </cell>
        </row>
        <row r="181">
          <cell r="C181" t="str">
            <v>Amortization of intangibles assumed to have indefinite life, in income statement</v>
          </cell>
          <cell r="G181">
            <v>0</v>
          </cell>
          <cell r="H181">
            <v>0</v>
          </cell>
          <cell r="I181">
            <v>0</v>
          </cell>
          <cell r="J181">
            <v>0</v>
          </cell>
          <cell r="K181">
            <v>0</v>
          </cell>
          <cell r="L181">
            <v>0</v>
          </cell>
          <cell r="M181">
            <v>154.30000000000001</v>
          </cell>
          <cell r="HX181" t="str">
            <v>mstag:amortizationOfIntangiblesAssumedToHaveIndefiniteLifeIncomeStatement</v>
          </cell>
          <cell r="HY181">
            <v>6</v>
          </cell>
          <cell r="HZ181" t="str">
            <v>ISO4217:USD</v>
          </cell>
          <cell r="IA181" t="b">
            <v>0</v>
          </cell>
          <cell r="IB181" t="b">
            <v>0</v>
          </cell>
        </row>
        <row r="182">
          <cell r="C182" t="str">
            <v>Amortization of other intangibles, in income statement</v>
          </cell>
          <cell r="G182">
            <v>0</v>
          </cell>
          <cell r="H182">
            <v>0</v>
          </cell>
          <cell r="I182">
            <v>121.142</v>
          </cell>
          <cell r="J182">
            <v>222</v>
          </cell>
          <cell r="K182">
            <v>168.51599999999996</v>
          </cell>
          <cell r="L182">
            <v>155.71299999999999</v>
          </cell>
          <cell r="M182" t="str">
            <v/>
          </cell>
          <cell r="HX182" t="str">
            <v>mstag:amortizationOfOtherIntangiblesInIncomeStatement</v>
          </cell>
          <cell r="HY182">
            <v>6</v>
          </cell>
          <cell r="HZ182" t="str">
            <v>ISO4217:USD</v>
          </cell>
          <cell r="IA182" t="b">
            <v>0</v>
          </cell>
          <cell r="IB182" t="b">
            <v>0</v>
          </cell>
        </row>
        <row r="183">
          <cell r="D183" t="str">
            <v>Amortization of taxable other intangibles, in income statement</v>
          </cell>
          <cell r="G183">
            <v>0</v>
          </cell>
          <cell r="H183">
            <v>0</v>
          </cell>
          <cell r="I183">
            <v>121.142</v>
          </cell>
          <cell r="J183">
            <v>222</v>
          </cell>
          <cell r="K183">
            <v>168.51599999999996</v>
          </cell>
          <cell r="L183">
            <v>155.71299999999999</v>
          </cell>
          <cell r="HX183" t="str">
            <v>mstag:amortizationOfTaxableOtherIntangiblesInIncomeStatement</v>
          </cell>
          <cell r="HY183">
            <v>6</v>
          </cell>
          <cell r="HZ183" t="str">
            <v>ISO4217:USD</v>
          </cell>
          <cell r="IA183" t="b">
            <v>0</v>
          </cell>
          <cell r="IB183" t="b">
            <v>0</v>
          </cell>
        </row>
        <row r="184">
          <cell r="D184" t="str">
            <v>Amortization of nontaxable other intangibles, in income statement</v>
          </cell>
          <cell r="HX184" t="str">
            <v>mstag:amortizationOfNonTaxableOtherIntangiblesInIncomeStatement</v>
          </cell>
          <cell r="HY184">
            <v>6</v>
          </cell>
          <cell r="HZ184" t="str">
            <v>ISO4217:USD</v>
          </cell>
          <cell r="IA184" t="b">
            <v>0</v>
          </cell>
          <cell r="IB184" t="b">
            <v>0</v>
          </cell>
        </row>
        <row r="185">
          <cell r="C185" t="str">
            <v>Goodwill impairment</v>
          </cell>
          <cell r="HX185" t="str">
            <v>mstag:goodwillImpairment</v>
          </cell>
          <cell r="HY185">
            <v>6</v>
          </cell>
          <cell r="HZ185" t="str">
            <v>ISO4217:USD</v>
          </cell>
          <cell r="IA185" t="b">
            <v>0</v>
          </cell>
          <cell r="IB185" t="b">
            <v>0</v>
          </cell>
        </row>
        <row r="186">
          <cell r="C186" t="str">
            <v>Indefinite life intangible impairment</v>
          </cell>
          <cell r="HX186" t="str">
            <v>mstag:indefiniteLifeIntangibleImpairment</v>
          </cell>
          <cell r="HY186">
            <v>6</v>
          </cell>
          <cell r="HZ186" t="str">
            <v>ISO4217:USD</v>
          </cell>
          <cell r="IA186" t="b">
            <v>0</v>
          </cell>
          <cell r="IB186" t="b">
            <v>0</v>
          </cell>
        </row>
        <row r="187">
          <cell r="C187" t="str">
            <v>Asset impairment, nongoodwill, one time</v>
          </cell>
          <cell r="G187" t="str">
            <v/>
          </cell>
          <cell r="H187" t="str">
            <v/>
          </cell>
          <cell r="I187" t="str">
            <v/>
          </cell>
          <cell r="J187" t="str">
            <v/>
          </cell>
          <cell r="K187" t="str">
            <v/>
          </cell>
          <cell r="L187" t="str">
            <v/>
          </cell>
          <cell r="M187" t="str">
            <v/>
          </cell>
          <cell r="HX187" t="str">
            <v>mstag:assetImpairmentNonGoodwillOneTimeIncomeStatement</v>
          </cell>
          <cell r="HY187">
            <v>6</v>
          </cell>
          <cell r="HZ187" t="str">
            <v>ISO4217:USD</v>
          </cell>
          <cell r="IA187" t="b">
            <v>0</v>
          </cell>
          <cell r="IB187" t="b">
            <v>0</v>
          </cell>
        </row>
        <row r="188">
          <cell r="D188" t="str">
            <v>Asset impairment, nongoodwill, one time, gross of tax</v>
          </cell>
          <cell r="HX188" t="str">
            <v>mstag:assetImpairmentNonGoodwillOneTimeGrossOfTax</v>
          </cell>
          <cell r="HY188">
            <v>6</v>
          </cell>
          <cell r="HZ188" t="str">
            <v>ISO4217:USD</v>
          </cell>
          <cell r="IA188" t="b">
            <v>0</v>
          </cell>
          <cell r="IB188" t="b">
            <v>0</v>
          </cell>
        </row>
        <row r="189">
          <cell r="D189" t="str">
            <v>Tax on asset impairment, nongoodwill, one time</v>
          </cell>
          <cell r="HX189" t="str">
            <v>mstag:taxOnAssetImpairmentNonGoodwillOneTime</v>
          </cell>
          <cell r="HY189">
            <v>6</v>
          </cell>
          <cell r="HZ189" t="str">
            <v>ISO4217:USD</v>
          </cell>
          <cell r="IA189" t="b">
            <v>0</v>
          </cell>
          <cell r="IB189" t="b">
            <v>0</v>
          </cell>
        </row>
        <row r="190">
          <cell r="C190" t="str">
            <v>Other operating expense (income)</v>
          </cell>
          <cell r="G190">
            <v>0</v>
          </cell>
          <cell r="H190">
            <v>0</v>
          </cell>
          <cell r="I190">
            <v>529.47199999999998</v>
          </cell>
          <cell r="J190">
            <v>128.81200000000001</v>
          </cell>
          <cell r="K190">
            <v>246.65700000000001</v>
          </cell>
          <cell r="L190">
            <v>350.72500000000002</v>
          </cell>
          <cell r="M190">
            <v>457.53399999999999</v>
          </cell>
          <cell r="HX190" t="str">
            <v>mstag:otherOperatingExpense</v>
          </cell>
          <cell r="HY190">
            <v>6</v>
          </cell>
          <cell r="HZ190" t="str">
            <v>ISO4217:USD</v>
          </cell>
          <cell r="IA190" t="b">
            <v>0</v>
          </cell>
          <cell r="IB190" t="b">
            <v>0</v>
          </cell>
        </row>
        <row r="191">
          <cell r="C191" t="str">
            <v>Interest and dividend income</v>
          </cell>
          <cell r="G191">
            <v>69.16</v>
          </cell>
          <cell r="H191">
            <v>88.763999999999996</v>
          </cell>
          <cell r="I191">
            <v>89.433999999999997</v>
          </cell>
          <cell r="J191">
            <v>90.408000000000001</v>
          </cell>
          <cell r="K191">
            <v>130.5</v>
          </cell>
          <cell r="L191">
            <v>101.4</v>
          </cell>
          <cell r="M191">
            <v>92.845462924999993</v>
          </cell>
          <cell r="HX191" t="str">
            <v>mstag:interestAndDividendIncome</v>
          </cell>
          <cell r="HY191">
            <v>6</v>
          </cell>
          <cell r="HZ191" t="str">
            <v>ISO4217:USD</v>
          </cell>
          <cell r="IA191" t="b">
            <v>0</v>
          </cell>
          <cell r="IB191" t="b">
            <v>0</v>
          </cell>
        </row>
        <row r="192">
          <cell r="D192" t="str">
            <v>Interest income</v>
          </cell>
          <cell r="G192">
            <v>69.16</v>
          </cell>
          <cell r="H192">
            <v>88.763999999999996</v>
          </cell>
          <cell r="I192">
            <v>89.433999999999997</v>
          </cell>
          <cell r="J192">
            <v>90.408000000000001</v>
          </cell>
          <cell r="K192">
            <v>130.5</v>
          </cell>
          <cell r="L192">
            <v>101.4</v>
          </cell>
          <cell r="HX192" t="str">
            <v>mstag:interestIncome</v>
          </cell>
          <cell r="HY192">
            <v>6</v>
          </cell>
          <cell r="HZ192" t="str">
            <v>ISO4217:USD</v>
          </cell>
          <cell r="IA192" t="b">
            <v>0</v>
          </cell>
          <cell r="IB192" t="b">
            <v>0</v>
          </cell>
        </row>
        <row r="193">
          <cell r="D193" t="str">
            <v>Dividend income</v>
          </cell>
          <cell r="HX193" t="str">
            <v>mstag:dividendIncome</v>
          </cell>
          <cell r="HY193">
            <v>6</v>
          </cell>
          <cell r="HZ193" t="str">
            <v>ISO4217:USD</v>
          </cell>
          <cell r="IA193" t="b">
            <v>0</v>
          </cell>
          <cell r="IB193" t="b">
            <v>0</v>
          </cell>
        </row>
        <row r="194">
          <cell r="C194" t="str">
            <v>Interest expense</v>
          </cell>
          <cell r="G194">
            <v>3.6419999999999999</v>
          </cell>
          <cell r="H194">
            <v>4.5519999999999996</v>
          </cell>
          <cell r="I194">
            <v>5.3599999999999994</v>
          </cell>
          <cell r="J194">
            <v>5.2759999999999998</v>
          </cell>
          <cell r="K194">
            <v>5.7</v>
          </cell>
          <cell r="L194">
            <v>0.8</v>
          </cell>
          <cell r="M194" t="str">
            <v/>
          </cell>
          <cell r="HX194" t="str">
            <v>mstag:interestExpense</v>
          </cell>
          <cell r="HY194">
            <v>6</v>
          </cell>
          <cell r="HZ194" t="str">
            <v>ISO4217:USD</v>
          </cell>
          <cell r="IA194" t="b">
            <v>0</v>
          </cell>
          <cell r="IB194" t="b">
            <v>0</v>
          </cell>
        </row>
        <row r="195">
          <cell r="D195" t="str">
            <v>Interest paid or payable</v>
          </cell>
          <cell r="G195">
            <v>7.5419999999999998</v>
          </cell>
          <cell r="H195">
            <v>7.5519999999999996</v>
          </cell>
          <cell r="I195">
            <v>7.4599999999999991</v>
          </cell>
          <cell r="J195">
            <v>7.476</v>
          </cell>
          <cell r="K195">
            <v>7.5</v>
          </cell>
          <cell r="L195">
            <v>1.8</v>
          </cell>
          <cell r="HX195" t="str">
            <v>mstag:interestPaid</v>
          </cell>
          <cell r="HY195">
            <v>6</v>
          </cell>
          <cell r="HZ195" t="str">
            <v>ISO4217:USD</v>
          </cell>
          <cell r="IA195" t="b">
            <v>0</v>
          </cell>
          <cell r="IB195" t="b">
            <v>0</v>
          </cell>
        </row>
        <row r="196">
          <cell r="D196" t="str">
            <v>Interest capitalized</v>
          </cell>
          <cell r="G196">
            <v>3.9</v>
          </cell>
          <cell r="H196">
            <v>3</v>
          </cell>
          <cell r="I196">
            <v>2.1</v>
          </cell>
          <cell r="J196">
            <v>2.2000000000000002</v>
          </cell>
          <cell r="K196">
            <v>1.8</v>
          </cell>
          <cell r="L196">
            <v>1</v>
          </cell>
          <cell r="HX196" t="str">
            <v>mstag:interestCapitalized</v>
          </cell>
          <cell r="HY196">
            <v>6</v>
          </cell>
          <cell r="HZ196" t="str">
            <v>ISO4217:USD</v>
          </cell>
          <cell r="IA196" t="b">
            <v>0</v>
          </cell>
          <cell r="IB196" t="b">
            <v>0</v>
          </cell>
        </row>
        <row r="197">
          <cell r="D197" t="str">
            <v>Net interest cost, FRS 17</v>
          </cell>
          <cell r="HX197" t="str">
            <v>mstag:netInterestCostFrs17</v>
          </cell>
          <cell r="HY197">
            <v>6</v>
          </cell>
          <cell r="HZ197" t="str">
            <v>ISO4217:USD</v>
          </cell>
          <cell r="IA197" t="b">
            <v>0</v>
          </cell>
          <cell r="IB197" t="b">
            <v>0</v>
          </cell>
        </row>
        <row r="198">
          <cell r="C198" t="str">
            <v>Income (losses) from investments, nonoperating</v>
          </cell>
          <cell r="G198">
            <v>0</v>
          </cell>
          <cell r="H198">
            <v>0</v>
          </cell>
          <cell r="I198">
            <v>0</v>
          </cell>
          <cell r="J198">
            <v>0</v>
          </cell>
          <cell r="K198">
            <v>10.199999999999999</v>
          </cell>
          <cell r="L198">
            <v>7.1</v>
          </cell>
          <cell r="HX198" t="str">
            <v>mstag:incomeLossesFromInvestmentsNonOperating</v>
          </cell>
          <cell r="HY198">
            <v>6</v>
          </cell>
          <cell r="HZ198" t="str">
            <v>ISO4217:USD</v>
          </cell>
          <cell r="IA198" t="b">
            <v>0</v>
          </cell>
          <cell r="IB198" t="b">
            <v>0</v>
          </cell>
        </row>
        <row r="199">
          <cell r="C199" t="str">
            <v>Income (loss) from investments under the equity method, operating</v>
          </cell>
          <cell r="G199" t="str">
            <v/>
          </cell>
          <cell r="H199" t="str">
            <v/>
          </cell>
          <cell r="I199" t="str">
            <v/>
          </cell>
          <cell r="J199" t="str">
            <v/>
          </cell>
          <cell r="K199" t="str">
            <v/>
          </cell>
          <cell r="L199" t="str">
            <v/>
          </cell>
          <cell r="M199" t="str">
            <v/>
          </cell>
          <cell r="HX199" t="str">
            <v>mstag:incomeLossFromInvestmentsAccountedForUnderTheEquityMethodOperatingIncomeStatement</v>
          </cell>
          <cell r="HY199">
            <v>6</v>
          </cell>
          <cell r="HZ199" t="str">
            <v>ISO4217:USD</v>
          </cell>
          <cell r="IA199" t="b">
            <v>0</v>
          </cell>
          <cell r="IB199" t="b">
            <v>0</v>
          </cell>
        </row>
        <row r="200">
          <cell r="D200" t="str">
            <v>Share of associate company's or joint venture's operating profit, pre-goodwill, pretax, and preinterest</v>
          </cell>
          <cell r="HX200" t="str">
            <v>mstag:shareOfAssociateCompanysOrJointVenturesOperatingProfitPreGoodwillPreTaxAndPreInterest</v>
          </cell>
          <cell r="HY200">
            <v>6</v>
          </cell>
          <cell r="HZ200" t="str">
            <v>ISO4217:USD</v>
          </cell>
          <cell r="IA200" t="b">
            <v>0</v>
          </cell>
          <cell r="IB200" t="b">
            <v>0</v>
          </cell>
        </row>
        <row r="201">
          <cell r="D201" t="str">
            <v>Share of associate company's or joint venture's operating profit, post-goodwill, pretax, and preinterest</v>
          </cell>
          <cell r="HX201" t="str">
            <v>mstag:shareOfAssociateCompanysOrJointVenturesOperatingProfitPostGoodwillPreTaxAndPreInterest</v>
          </cell>
          <cell r="HY201">
            <v>6</v>
          </cell>
          <cell r="HZ201" t="str">
            <v>ISO4217:USD</v>
          </cell>
          <cell r="IA201" t="b">
            <v>0</v>
          </cell>
          <cell r="IB201" t="b">
            <v>0</v>
          </cell>
        </row>
        <row r="202">
          <cell r="D202" t="str">
            <v>Share of associate company's or joint venture's amortization of goodwill</v>
          </cell>
          <cell r="HX202" t="str">
            <v>mstag:shareOfAssociateAmortizationOfGoodwill</v>
          </cell>
          <cell r="HY202">
            <v>6</v>
          </cell>
          <cell r="HZ202" t="str">
            <v>ISO4217:USD</v>
          </cell>
          <cell r="IA202" t="b">
            <v>0</v>
          </cell>
          <cell r="IB202" t="b">
            <v>0</v>
          </cell>
        </row>
        <row r="203">
          <cell r="D203" t="str">
            <v>Share of associate company's or joint venture's interest expense</v>
          </cell>
          <cell r="HX203" t="str">
            <v>mstag:jointVentureInterestExpense</v>
          </cell>
          <cell r="HY203">
            <v>6</v>
          </cell>
          <cell r="HZ203" t="str">
            <v>ISO4217:USD</v>
          </cell>
          <cell r="IA203" t="b">
            <v>0</v>
          </cell>
          <cell r="IB203" t="b">
            <v>0</v>
          </cell>
        </row>
        <row r="204">
          <cell r="D204" t="str">
            <v>Share of associate company's or joint venture's tax</v>
          </cell>
          <cell r="HX204" t="str">
            <v>mstag:shareOfAssociateCompanysOrJointVenturesTax</v>
          </cell>
          <cell r="HY204">
            <v>6</v>
          </cell>
          <cell r="HZ204" t="str">
            <v>ISO4217:USD</v>
          </cell>
          <cell r="IA204" t="b">
            <v>0</v>
          </cell>
          <cell r="IB204" t="b">
            <v>0</v>
          </cell>
        </row>
        <row r="205">
          <cell r="D205" t="str">
            <v>Other associate company or joint venture net income</v>
          </cell>
          <cell r="HX205" t="str">
            <v>mstag:otherJointVenureNetIncome</v>
          </cell>
          <cell r="HY205">
            <v>6</v>
          </cell>
          <cell r="HZ205" t="str">
            <v>ISO4217:USD</v>
          </cell>
          <cell r="IA205" t="b">
            <v>0</v>
          </cell>
          <cell r="IB205" t="b">
            <v>0</v>
          </cell>
        </row>
        <row r="206">
          <cell r="C206" t="str">
            <v>Income (loss) from investments under the equity method, operating, pretax</v>
          </cell>
          <cell r="HX206" t="str">
            <v>mstag:incomeLossFromInvestmentsUnderTheEquityMethodOperatingPreTax</v>
          </cell>
          <cell r="HY206">
            <v>6</v>
          </cell>
          <cell r="HZ206" t="str">
            <v>ISO4217:USD</v>
          </cell>
          <cell r="IA206" t="b">
            <v>0</v>
          </cell>
          <cell r="IB206" t="b">
            <v>0</v>
          </cell>
        </row>
        <row r="207">
          <cell r="C207" t="str">
            <v>Income (loss) from investments under the equity method, nonoperating</v>
          </cell>
          <cell r="HX207" t="str">
            <v>mstag:incomeLossFromInvestmentsAccountedForUnderTheEquityMethodNonOperatingIncomeStatement</v>
          </cell>
          <cell r="HY207">
            <v>6</v>
          </cell>
          <cell r="HZ207" t="str">
            <v>ISO4217:USD</v>
          </cell>
          <cell r="IA207" t="b">
            <v>0</v>
          </cell>
          <cell r="IB207" t="b">
            <v>0</v>
          </cell>
        </row>
        <row r="208">
          <cell r="C208" t="str">
            <v>Income (loss) from investments under the equity method, nonoperating, pretax</v>
          </cell>
          <cell r="HX208" t="str">
            <v>mstag:incomeLossFromInvestmentsUnderTheEquityMethodNonOperatingPreTax</v>
          </cell>
          <cell r="HY208">
            <v>6</v>
          </cell>
          <cell r="HZ208" t="str">
            <v>ISO4217:USD</v>
          </cell>
          <cell r="IA208" t="b">
            <v>0</v>
          </cell>
          <cell r="IB208" t="b">
            <v>0</v>
          </cell>
        </row>
        <row r="209">
          <cell r="C209" t="str">
            <v>Gains (losses) from sale of PPE and intangibles, recurring</v>
          </cell>
          <cell r="HX209" t="str">
            <v>mstag:gainsLossesFromSaleOfOperatingAssetsRecurringIncomeStatement</v>
          </cell>
          <cell r="HY209">
            <v>6</v>
          </cell>
          <cell r="HZ209" t="str">
            <v>ISO4217:USD</v>
          </cell>
          <cell r="IA209" t="b">
            <v>0</v>
          </cell>
          <cell r="IB209" t="b">
            <v>0</v>
          </cell>
        </row>
        <row r="210">
          <cell r="C210" t="str">
            <v>Gains (losses) from sale of PPE and intangibles, one time</v>
          </cell>
          <cell r="G210" t="str">
            <v/>
          </cell>
          <cell r="H210" t="str">
            <v/>
          </cell>
          <cell r="I210" t="str">
            <v/>
          </cell>
          <cell r="J210" t="str">
            <v/>
          </cell>
          <cell r="K210" t="str">
            <v/>
          </cell>
          <cell r="L210" t="str">
            <v/>
          </cell>
          <cell r="M210" t="str">
            <v/>
          </cell>
          <cell r="HX210" t="str">
            <v>mstag:gainsLossesFromSaleOfOperatingAssetsOneTimeIncomeStatement</v>
          </cell>
          <cell r="HY210">
            <v>6</v>
          </cell>
          <cell r="HZ210" t="str">
            <v>ISO4217:USD</v>
          </cell>
          <cell r="IA210" t="b">
            <v>0</v>
          </cell>
          <cell r="IB210" t="b">
            <v>0</v>
          </cell>
        </row>
        <row r="211">
          <cell r="D211" t="str">
            <v>Gains (losses) from sale of PPE and intangibles, one time, gross of tax</v>
          </cell>
          <cell r="HX211" t="str">
            <v>mstag:gainsLossesFromSaleOfOperatingAssetsOneTimeGrossOfTax</v>
          </cell>
          <cell r="HY211">
            <v>6</v>
          </cell>
          <cell r="HZ211" t="str">
            <v>ISO4217:USD</v>
          </cell>
          <cell r="IA211" t="b">
            <v>0</v>
          </cell>
          <cell r="IB211" t="b">
            <v>0</v>
          </cell>
        </row>
        <row r="212">
          <cell r="D212" t="str">
            <v>Tax on gains (losses) from sale of PPE and intangibles, one time</v>
          </cell>
          <cell r="HX212" t="str">
            <v>mstag:taxOnGainsLossesFromSaleOfOperatingAssetsOneTime</v>
          </cell>
          <cell r="HY212">
            <v>6</v>
          </cell>
          <cell r="HZ212" t="str">
            <v>ISO4217:USD</v>
          </cell>
          <cell r="IA212" t="b">
            <v>0</v>
          </cell>
          <cell r="IB212" t="b">
            <v>0</v>
          </cell>
        </row>
        <row r="213">
          <cell r="C213" t="str">
            <v>Net monetary gains (losses) from inflationary accounting</v>
          </cell>
          <cell r="HX213" t="str">
            <v>mstag:netMonetaryGainsLossesFromInflationaryAccounting</v>
          </cell>
          <cell r="HY213">
            <v>6</v>
          </cell>
          <cell r="HZ213" t="str">
            <v>ISO4217:USD</v>
          </cell>
          <cell r="IA213" t="b">
            <v>0</v>
          </cell>
          <cell r="IB213" t="b">
            <v>0</v>
          </cell>
        </row>
        <row r="214">
          <cell r="C214" t="str">
            <v>Gain (loss) on redemption and extinguishment of debt</v>
          </cell>
          <cell r="HX214" t="str">
            <v>mstag:gainLossOnRedemptionAndExtinguishmentOfDebt</v>
          </cell>
          <cell r="HY214">
            <v>6</v>
          </cell>
          <cell r="HZ214" t="str">
            <v>ISO4217:USD</v>
          </cell>
          <cell r="IA214" t="b">
            <v>0</v>
          </cell>
          <cell r="IB214" t="b">
            <v>0</v>
          </cell>
        </row>
        <row r="215">
          <cell r="C215" t="str">
            <v>Foreign currency exchange gains (losses)</v>
          </cell>
          <cell r="G215" t="str">
            <v/>
          </cell>
          <cell r="H215" t="str">
            <v/>
          </cell>
          <cell r="I215" t="str">
            <v/>
          </cell>
          <cell r="J215" t="str">
            <v/>
          </cell>
          <cell r="K215" t="str">
            <v/>
          </cell>
          <cell r="L215" t="str">
            <v/>
          </cell>
          <cell r="M215" t="str">
            <v/>
          </cell>
          <cell r="HX215" t="str">
            <v>mstag:foreignCurrencyExchangeGainsLosses</v>
          </cell>
          <cell r="HY215">
            <v>6</v>
          </cell>
          <cell r="HZ215" t="str">
            <v>ISO4217:USD</v>
          </cell>
          <cell r="IA215" t="b">
            <v>0</v>
          </cell>
          <cell r="IB215" t="b">
            <v>0</v>
          </cell>
        </row>
        <row r="216">
          <cell r="D216" t="str">
            <v>Foreign currency exchange gains (losses), operating</v>
          </cell>
          <cell r="G216" t="str">
            <v/>
          </cell>
          <cell r="H216" t="str">
            <v/>
          </cell>
          <cell r="I216" t="str">
            <v/>
          </cell>
          <cell r="J216" t="str">
            <v/>
          </cell>
          <cell r="K216" t="str">
            <v/>
          </cell>
          <cell r="L216" t="str">
            <v/>
          </cell>
          <cell r="M216" t="str">
            <v/>
          </cell>
          <cell r="HX216" t="str">
            <v>mstag:foreignCurrencyExchangeGainsLossesOperating</v>
          </cell>
          <cell r="HY216">
            <v>6</v>
          </cell>
          <cell r="HZ216" t="str">
            <v>ISO4217:USD</v>
          </cell>
          <cell r="IA216" t="b">
            <v>0</v>
          </cell>
          <cell r="IB216" t="b">
            <v>0</v>
          </cell>
        </row>
        <row r="217">
          <cell r="E217" t="str">
            <v>Realized foreign currency exchange gains (losses) in net operating assets</v>
          </cell>
          <cell r="HX217" t="str">
            <v>mstag:realizedForeignCurrencyExchangeGainsLossesInNetOperatingAssets</v>
          </cell>
          <cell r="HY217">
            <v>6</v>
          </cell>
          <cell r="HZ217" t="str">
            <v>ISO4217:USD</v>
          </cell>
          <cell r="IA217" t="b">
            <v>0</v>
          </cell>
          <cell r="IB217" t="b">
            <v>0</v>
          </cell>
        </row>
        <row r="218">
          <cell r="E218" t="str">
            <v>Unrealized foreign currency exchange gains (losses) in net operating assets</v>
          </cell>
          <cell r="HX218" t="str">
            <v>mstag:unrealizedForeignCurrencyExchangeGainsLossesInNetOperatingAssets</v>
          </cell>
          <cell r="HY218">
            <v>6</v>
          </cell>
          <cell r="HZ218" t="str">
            <v>ISO4217:USD</v>
          </cell>
          <cell r="IA218" t="b">
            <v>0</v>
          </cell>
          <cell r="IB218" t="b">
            <v>0</v>
          </cell>
        </row>
        <row r="219">
          <cell r="D219" t="str">
            <v>Foreign currency exchange gains (losses), financing</v>
          </cell>
          <cell r="G219" t="str">
            <v/>
          </cell>
          <cell r="H219" t="str">
            <v/>
          </cell>
          <cell r="I219" t="str">
            <v/>
          </cell>
          <cell r="J219" t="str">
            <v/>
          </cell>
          <cell r="K219" t="str">
            <v/>
          </cell>
          <cell r="L219" t="str">
            <v/>
          </cell>
          <cell r="M219" t="str">
            <v/>
          </cell>
          <cell r="HX219" t="str">
            <v>mstag:foreignCurrencyExchangeGainsLossesFinancing</v>
          </cell>
          <cell r="HY219">
            <v>6</v>
          </cell>
          <cell r="HZ219" t="str">
            <v>ISO4217:USD</v>
          </cell>
          <cell r="IA219" t="b">
            <v>0</v>
          </cell>
          <cell r="IB219" t="b">
            <v>0</v>
          </cell>
        </row>
        <row r="220">
          <cell r="E220" t="str">
            <v>Realized foreign currency exchange gains (losses) in net financing obligations</v>
          </cell>
          <cell r="HX220" t="str">
            <v>mstag:realizedForeignCurrencyExchangeGainsLossesInNetFinancingObligations</v>
          </cell>
          <cell r="HY220">
            <v>6</v>
          </cell>
          <cell r="HZ220" t="str">
            <v>ISO4217:USD</v>
          </cell>
          <cell r="IA220" t="b">
            <v>0</v>
          </cell>
          <cell r="IB220" t="b">
            <v>0</v>
          </cell>
        </row>
        <row r="221">
          <cell r="E221" t="str">
            <v>Unrealized foreign currency exchange gains (losses) in net financing obligations</v>
          </cell>
          <cell r="HX221" t="str">
            <v>mstag:unrealizedForeignCurrencyExchangeGainsLossesInNetFinancingObligations</v>
          </cell>
          <cell r="HY221">
            <v>6</v>
          </cell>
          <cell r="HZ221" t="str">
            <v>ISO4217:USD</v>
          </cell>
          <cell r="IA221" t="b">
            <v>0</v>
          </cell>
          <cell r="IB221" t="b">
            <v>0</v>
          </cell>
        </row>
        <row r="222">
          <cell r="C222" t="str">
            <v>Restructuring costs, recurring</v>
          </cell>
          <cell r="HX222" t="str">
            <v>mstag:restructuringCostsRecurring</v>
          </cell>
          <cell r="HY222">
            <v>6</v>
          </cell>
          <cell r="HZ222" t="str">
            <v>ISO4217:USD</v>
          </cell>
          <cell r="IA222" t="b">
            <v>0</v>
          </cell>
          <cell r="IB222" t="b">
            <v>0</v>
          </cell>
        </row>
        <row r="223">
          <cell r="C223" t="str">
            <v>Restructuring costs, one time</v>
          </cell>
          <cell r="G223" t="str">
            <v/>
          </cell>
          <cell r="H223" t="str">
            <v/>
          </cell>
          <cell r="I223" t="str">
            <v/>
          </cell>
          <cell r="J223" t="str">
            <v/>
          </cell>
          <cell r="K223" t="str">
            <v/>
          </cell>
          <cell r="L223" t="str">
            <v/>
          </cell>
          <cell r="M223" t="str">
            <v/>
          </cell>
          <cell r="HX223" t="str">
            <v>mstag:restructuringCostsOneTime</v>
          </cell>
          <cell r="HY223">
            <v>6</v>
          </cell>
          <cell r="HZ223" t="str">
            <v>ISO4217:USD</v>
          </cell>
          <cell r="IA223" t="b">
            <v>0</v>
          </cell>
          <cell r="IB223" t="b">
            <v>0</v>
          </cell>
        </row>
        <row r="224">
          <cell r="D224" t="str">
            <v>Restructuring costs, one time, gross of tax</v>
          </cell>
          <cell r="HX224" t="str">
            <v>mstag:restructuringCostsOneTimeGrossOfTax</v>
          </cell>
          <cell r="HY224">
            <v>6</v>
          </cell>
          <cell r="HZ224" t="str">
            <v>ISO4217:USD</v>
          </cell>
          <cell r="IA224" t="b">
            <v>0</v>
          </cell>
          <cell r="IB224" t="b">
            <v>0</v>
          </cell>
        </row>
        <row r="225">
          <cell r="D225" t="str">
            <v>Tax on restructuring costs, one time</v>
          </cell>
          <cell r="HX225" t="str">
            <v>mstag:taxOnRestructuringCostsOneTime</v>
          </cell>
          <cell r="HY225">
            <v>6</v>
          </cell>
          <cell r="HZ225" t="str">
            <v>ISO4217:USD</v>
          </cell>
          <cell r="IA225" t="b">
            <v>0</v>
          </cell>
          <cell r="IB225" t="b">
            <v>0</v>
          </cell>
        </row>
        <row r="226">
          <cell r="C226" t="str">
            <v>Legal provision, recurring</v>
          </cell>
          <cell r="HX226" t="str">
            <v>mstag:legalProvisionRecurring</v>
          </cell>
          <cell r="HY226">
            <v>6</v>
          </cell>
          <cell r="HZ226" t="str">
            <v>ISO4217:USD</v>
          </cell>
          <cell r="IA226" t="b">
            <v>0</v>
          </cell>
          <cell r="IB226" t="b">
            <v>0</v>
          </cell>
        </row>
        <row r="227">
          <cell r="C227" t="str">
            <v>Legal provision, one time</v>
          </cell>
          <cell r="G227" t="str">
            <v/>
          </cell>
          <cell r="H227" t="str">
            <v/>
          </cell>
          <cell r="I227" t="str">
            <v/>
          </cell>
          <cell r="J227" t="str">
            <v/>
          </cell>
          <cell r="K227" t="str">
            <v/>
          </cell>
          <cell r="L227" t="str">
            <v/>
          </cell>
          <cell r="M227" t="str">
            <v/>
          </cell>
          <cell r="HX227" t="str">
            <v>mstag:legalProvisionOneTime</v>
          </cell>
          <cell r="HY227">
            <v>6</v>
          </cell>
          <cell r="HZ227" t="str">
            <v>ISO4217:USD</v>
          </cell>
          <cell r="IA227" t="b">
            <v>0</v>
          </cell>
          <cell r="IB227" t="b">
            <v>0</v>
          </cell>
        </row>
        <row r="228">
          <cell r="D228" t="str">
            <v>Legal provision, one time, gross of tax</v>
          </cell>
          <cell r="HX228" t="str">
            <v>mstag:legalProvisionOneTimeGrossOfTax</v>
          </cell>
          <cell r="HY228">
            <v>6</v>
          </cell>
          <cell r="HZ228" t="str">
            <v>ISO4217:USD</v>
          </cell>
          <cell r="IA228" t="b">
            <v>0</v>
          </cell>
          <cell r="IB228" t="b">
            <v>0</v>
          </cell>
        </row>
        <row r="229">
          <cell r="D229" t="str">
            <v>Tax on legal provision, one time</v>
          </cell>
          <cell r="HX229" t="str">
            <v>mstag:taxOnLegalProvisionOneTime</v>
          </cell>
          <cell r="HY229">
            <v>6</v>
          </cell>
          <cell r="HZ229" t="str">
            <v>ISO4217:USD</v>
          </cell>
          <cell r="IA229" t="b">
            <v>0</v>
          </cell>
          <cell r="IB229" t="b">
            <v>0</v>
          </cell>
        </row>
        <row r="230">
          <cell r="C230" t="str">
            <v>Environmental provision, recurring</v>
          </cell>
          <cell r="HX230" t="str">
            <v>mstag:environmentalProvisionRecurring</v>
          </cell>
          <cell r="HY230">
            <v>6</v>
          </cell>
          <cell r="HZ230" t="str">
            <v>ISO4217:USD</v>
          </cell>
          <cell r="IA230" t="b">
            <v>0</v>
          </cell>
          <cell r="IB230" t="b">
            <v>0</v>
          </cell>
        </row>
        <row r="231">
          <cell r="C231" t="str">
            <v>Environmental provision, one time</v>
          </cell>
          <cell r="G231" t="str">
            <v/>
          </cell>
          <cell r="H231" t="str">
            <v/>
          </cell>
          <cell r="I231" t="str">
            <v/>
          </cell>
          <cell r="J231" t="str">
            <v/>
          </cell>
          <cell r="K231" t="str">
            <v/>
          </cell>
          <cell r="L231" t="str">
            <v/>
          </cell>
          <cell r="M231" t="str">
            <v/>
          </cell>
          <cell r="HX231" t="str">
            <v>mstag:environmentalProvisionOneTime</v>
          </cell>
          <cell r="HY231">
            <v>6</v>
          </cell>
          <cell r="HZ231" t="str">
            <v>ISO4217:USD</v>
          </cell>
          <cell r="IA231" t="b">
            <v>0</v>
          </cell>
          <cell r="IB231" t="b">
            <v>0</v>
          </cell>
        </row>
        <row r="232">
          <cell r="D232" t="str">
            <v>Environmental provision, one time, gross of tax</v>
          </cell>
          <cell r="HX232" t="str">
            <v>mstag:environmentalProvisionOneTimeGrossOfTax</v>
          </cell>
          <cell r="HY232">
            <v>6</v>
          </cell>
          <cell r="HZ232" t="str">
            <v>ISO4217:USD</v>
          </cell>
          <cell r="IA232" t="b">
            <v>0</v>
          </cell>
          <cell r="IB232" t="b">
            <v>0</v>
          </cell>
        </row>
        <row r="233">
          <cell r="D233" t="str">
            <v>Tax on environmental provision, one time</v>
          </cell>
          <cell r="HX233" t="str">
            <v>mstag:taxOnEnvironmentalProvisionOneTime</v>
          </cell>
          <cell r="HY233">
            <v>6</v>
          </cell>
          <cell r="HZ233" t="str">
            <v>ISO4217:USD</v>
          </cell>
          <cell r="IA233" t="b">
            <v>0</v>
          </cell>
          <cell r="IB233" t="b">
            <v>0</v>
          </cell>
        </row>
        <row r="234">
          <cell r="C234" t="str">
            <v>Other provisions, recurring</v>
          </cell>
          <cell r="HX234" t="str">
            <v>mstag:otherProvisionsRecurring</v>
          </cell>
          <cell r="HY234">
            <v>6</v>
          </cell>
          <cell r="HZ234" t="str">
            <v>ISO4217:USD</v>
          </cell>
          <cell r="IA234" t="b">
            <v>0</v>
          </cell>
          <cell r="IB234" t="b">
            <v>0</v>
          </cell>
        </row>
        <row r="235">
          <cell r="C235" t="str">
            <v>Other provisions, one time</v>
          </cell>
          <cell r="G235">
            <v>0</v>
          </cell>
          <cell r="H235">
            <v>0</v>
          </cell>
          <cell r="I235">
            <v>0</v>
          </cell>
          <cell r="J235">
            <v>0</v>
          </cell>
          <cell r="K235">
            <v>0</v>
          </cell>
          <cell r="L235">
            <v>0</v>
          </cell>
          <cell r="M235">
            <v>-129.1</v>
          </cell>
          <cell r="HX235" t="str">
            <v>mstag:otherProvisionsOneTime</v>
          </cell>
          <cell r="HY235">
            <v>6</v>
          </cell>
          <cell r="HZ235" t="str">
            <v>ISO4217:USD</v>
          </cell>
          <cell r="IA235" t="b">
            <v>0</v>
          </cell>
          <cell r="IB235" t="b">
            <v>0</v>
          </cell>
        </row>
        <row r="236">
          <cell r="D236" t="str">
            <v>Other provisions, one time, gross of tax</v>
          </cell>
          <cell r="G236">
            <v>0</v>
          </cell>
          <cell r="H236">
            <v>0</v>
          </cell>
          <cell r="I236">
            <v>0</v>
          </cell>
          <cell r="J236">
            <v>0</v>
          </cell>
          <cell r="K236">
            <v>0</v>
          </cell>
          <cell r="L236">
            <v>0</v>
          </cell>
          <cell r="M236">
            <v>-115.8</v>
          </cell>
          <cell r="HX236" t="str">
            <v>mstag:otherProvisionsOneTimeGrossOfTax</v>
          </cell>
          <cell r="HY236">
            <v>6</v>
          </cell>
          <cell r="HZ236" t="str">
            <v>ISO4217:USD</v>
          </cell>
          <cell r="IA236" t="b">
            <v>0</v>
          </cell>
          <cell r="IB236" t="b">
            <v>0</v>
          </cell>
        </row>
        <row r="237">
          <cell r="D237" t="str">
            <v>Tax on other provisions, one time</v>
          </cell>
          <cell r="G237">
            <v>0</v>
          </cell>
          <cell r="H237">
            <v>0</v>
          </cell>
          <cell r="I237">
            <v>0</v>
          </cell>
          <cell r="J237">
            <v>0</v>
          </cell>
          <cell r="K237">
            <v>0</v>
          </cell>
          <cell r="L237">
            <v>0</v>
          </cell>
          <cell r="M237">
            <v>13.3</v>
          </cell>
          <cell r="HX237" t="str">
            <v>mstag:taxOnOtherProvisionsOneTime</v>
          </cell>
          <cell r="HY237">
            <v>6</v>
          </cell>
          <cell r="HZ237" t="str">
            <v>ISO4217:USD</v>
          </cell>
          <cell r="IA237" t="b">
            <v>0</v>
          </cell>
          <cell r="IB237" t="b">
            <v>0</v>
          </cell>
        </row>
        <row r="238">
          <cell r="C238" t="str">
            <v>Pension settlement and curtailment gains (losses), one time</v>
          </cell>
          <cell r="G238" t="str">
            <v/>
          </cell>
          <cell r="H238" t="str">
            <v/>
          </cell>
          <cell r="I238" t="str">
            <v/>
          </cell>
          <cell r="J238" t="str">
            <v/>
          </cell>
          <cell r="K238" t="str">
            <v/>
          </cell>
          <cell r="L238" t="str">
            <v/>
          </cell>
          <cell r="M238" t="str">
            <v/>
          </cell>
          <cell r="HX238" t="str">
            <v>mstag:pensionSettlementAndCurtailmentGainsLossesOneTime</v>
          </cell>
          <cell r="HY238">
            <v>6</v>
          </cell>
          <cell r="HZ238" t="str">
            <v>ISO4217:USD</v>
          </cell>
          <cell r="IA238" t="b">
            <v>0</v>
          </cell>
          <cell r="IB238" t="b">
            <v>0</v>
          </cell>
        </row>
        <row r="239">
          <cell r="D239" t="str">
            <v>Daiko Henjo: special settlement gain (loss) (Japan)</v>
          </cell>
          <cell r="HX239" t="str">
            <v>mstag:daikoHenjoSpecialSettlementGainLossJapan</v>
          </cell>
          <cell r="HY239">
            <v>6</v>
          </cell>
          <cell r="HZ239" t="str">
            <v>ISO4217:USD</v>
          </cell>
          <cell r="IA239" t="b">
            <v>0</v>
          </cell>
          <cell r="IB239" t="b">
            <v>0</v>
          </cell>
        </row>
        <row r="240">
          <cell r="D240" t="str">
            <v>Other pension settlement and curtailment gains (losses), one time</v>
          </cell>
          <cell r="HX240" t="str">
            <v>mstag:otherPensionSettlementAndCurtailmentGainsLossesOneTime</v>
          </cell>
          <cell r="HY240">
            <v>6</v>
          </cell>
          <cell r="HZ240" t="str">
            <v>ISO4217:USD</v>
          </cell>
          <cell r="IA240" t="b">
            <v>0</v>
          </cell>
          <cell r="IB240" t="b">
            <v>0</v>
          </cell>
        </row>
        <row r="241">
          <cell r="C241" t="str">
            <v>Other nonoperating income (expense)</v>
          </cell>
          <cell r="G241">
            <v>0</v>
          </cell>
          <cell r="H241">
            <v>0</v>
          </cell>
          <cell r="I241">
            <v>-230.00800000000001</v>
          </cell>
          <cell r="J241">
            <v>0</v>
          </cell>
          <cell r="K241">
            <v>0</v>
          </cell>
          <cell r="L241">
            <v>-543.90499999999997</v>
          </cell>
          <cell r="HX241" t="str">
            <v>mstag:otherNonOperatingIncomeExpense</v>
          </cell>
          <cell r="HY241">
            <v>6</v>
          </cell>
          <cell r="HZ241" t="str">
            <v>ISO4217:USD</v>
          </cell>
          <cell r="IA241" t="b">
            <v>0</v>
          </cell>
          <cell r="IB241" t="b">
            <v>0</v>
          </cell>
        </row>
        <row r="242">
          <cell r="C242" t="str">
            <v>Tax expense (income)</v>
          </cell>
          <cell r="G242">
            <v>40.750999999999998</v>
          </cell>
          <cell r="H242">
            <v>70.74199999999999</v>
          </cell>
          <cell r="I242">
            <v>-203.10899999999998</v>
          </cell>
          <cell r="J242">
            <v>20.413999999999987</v>
          </cell>
          <cell r="K242">
            <v>127.11199999999999</v>
          </cell>
          <cell r="L242">
            <v>-34.038000000000011</v>
          </cell>
          <cell r="M242">
            <v>303.69799999999998</v>
          </cell>
          <cell r="HX242" t="str">
            <v>mstag:taxExpenseIncome</v>
          </cell>
          <cell r="HY242">
            <v>6</v>
          </cell>
          <cell r="HZ242" t="str">
            <v>ISO4217:USD</v>
          </cell>
          <cell r="IA242" t="b">
            <v>0</v>
          </cell>
          <cell r="IB242" t="b">
            <v>0</v>
          </cell>
        </row>
        <row r="243">
          <cell r="D243" t="str">
            <v>Current income tax expense</v>
          </cell>
          <cell r="G243">
            <v>31.050999999999998</v>
          </cell>
          <cell r="H243">
            <v>40.948999999999998</v>
          </cell>
          <cell r="I243">
            <v>-38.971000000000004</v>
          </cell>
          <cell r="J243">
            <v>217.196</v>
          </cell>
          <cell r="K243">
            <v>97.754999999999995</v>
          </cell>
          <cell r="L243">
            <v>162.60599999999999</v>
          </cell>
          <cell r="HX243" t="str">
            <v>mstag:currentIncomeTax</v>
          </cell>
          <cell r="HY243">
            <v>6</v>
          </cell>
          <cell r="HZ243" t="str">
            <v>ISO4217:USD</v>
          </cell>
          <cell r="IA243" t="b">
            <v>0</v>
          </cell>
          <cell r="IB243" t="b">
            <v>0</v>
          </cell>
        </row>
        <row r="244">
          <cell r="D244" t="str">
            <v>Deferred income tax expense</v>
          </cell>
          <cell r="G244">
            <v>9.6999999999999993</v>
          </cell>
          <cell r="H244">
            <v>29.792999999999999</v>
          </cell>
          <cell r="I244">
            <v>-164.13799999999998</v>
          </cell>
          <cell r="J244">
            <v>-196.78200000000001</v>
          </cell>
          <cell r="K244">
            <v>29.356999999999999</v>
          </cell>
          <cell r="L244">
            <v>-196.64400000000001</v>
          </cell>
          <cell r="M244" t="str">
            <v/>
          </cell>
          <cell r="HX244" t="str">
            <v>mstag:deferredIncomeTax</v>
          </cell>
          <cell r="HY244">
            <v>6</v>
          </cell>
          <cell r="HZ244" t="str">
            <v>ISO4217:USD</v>
          </cell>
          <cell r="IA244" t="b">
            <v>0</v>
          </cell>
          <cell r="IB244" t="b">
            <v>0</v>
          </cell>
        </row>
        <row r="245">
          <cell r="E245" t="str">
            <v>Deferred income tax expense, benefit for NOLs</v>
          </cell>
          <cell r="HX245" t="str">
            <v>mstag:deferredIncomeTaxBenefitForNols</v>
          </cell>
          <cell r="HY245">
            <v>6</v>
          </cell>
          <cell r="HZ245" t="str">
            <v>ISO4217:USD</v>
          </cell>
          <cell r="IA245" t="b">
            <v>0</v>
          </cell>
          <cell r="IB245" t="b">
            <v>0</v>
          </cell>
        </row>
        <row r="246">
          <cell r="E246" t="str">
            <v>Other deferred income tax expense</v>
          </cell>
          <cell r="G246">
            <v>9.6999999999999993</v>
          </cell>
          <cell r="H246">
            <v>29.792999999999999</v>
          </cell>
          <cell r="I246">
            <v>-164.13799999999998</v>
          </cell>
          <cell r="J246">
            <v>-196.78200000000001</v>
          </cell>
          <cell r="K246">
            <v>29.356999999999999</v>
          </cell>
          <cell r="L246">
            <v>-196.64400000000001</v>
          </cell>
          <cell r="HX246" t="str">
            <v>mstag:otherDeferredIncomeTax</v>
          </cell>
          <cell r="HY246">
            <v>6</v>
          </cell>
          <cell r="HZ246" t="str">
            <v>ISO4217:USD</v>
          </cell>
          <cell r="IA246" t="b">
            <v>0</v>
          </cell>
          <cell r="IB246" t="b">
            <v>0</v>
          </cell>
        </row>
        <row r="247">
          <cell r="C247" t="str">
            <v>Minority interests in net income</v>
          </cell>
          <cell r="HX247" t="str">
            <v>mstag:minorityInterestsInNetIncome</v>
          </cell>
          <cell r="HY247">
            <v>6</v>
          </cell>
          <cell r="HZ247" t="str">
            <v>ISO4217:USD</v>
          </cell>
          <cell r="IA247" t="b">
            <v>0</v>
          </cell>
          <cell r="IB247" t="b">
            <v>0</v>
          </cell>
        </row>
        <row r="248">
          <cell r="C248" t="str">
            <v>Cumulative effect of change in accounting principle, net of tax</v>
          </cell>
          <cell r="G248">
            <v>0</v>
          </cell>
          <cell r="H248">
            <v>0</v>
          </cell>
          <cell r="I248">
            <v>0</v>
          </cell>
          <cell r="J248">
            <v>-57.8</v>
          </cell>
          <cell r="K248">
            <v>-5.6379999999999999</v>
          </cell>
          <cell r="L248">
            <v>0</v>
          </cell>
          <cell r="M248">
            <v>-47</v>
          </cell>
          <cell r="HX248" t="str">
            <v>mstag:cumulativeEffectOfChangeInAccountingPrincipleNetOfTax</v>
          </cell>
          <cell r="HY248">
            <v>6</v>
          </cell>
          <cell r="HZ248" t="str">
            <v>ISO4217:USD</v>
          </cell>
          <cell r="IA248" t="b">
            <v>0</v>
          </cell>
          <cell r="IB248" t="b">
            <v>0</v>
          </cell>
        </row>
        <row r="249">
          <cell r="C249" t="str">
            <v>Income (loss) from extraordinary items, net of tax</v>
          </cell>
          <cell r="G249" t="str">
            <v/>
          </cell>
          <cell r="H249" t="str">
            <v/>
          </cell>
          <cell r="I249" t="str">
            <v/>
          </cell>
          <cell r="J249" t="str">
            <v/>
          </cell>
          <cell r="K249" t="str">
            <v/>
          </cell>
          <cell r="L249" t="str">
            <v/>
          </cell>
          <cell r="M249" t="str">
            <v/>
          </cell>
          <cell r="HX249" t="str">
            <v>mstag:incomeLossFromExtraordinaryItemsNetOfTax</v>
          </cell>
          <cell r="HY249">
            <v>6</v>
          </cell>
          <cell r="HZ249" t="str">
            <v>ISO4217:USD</v>
          </cell>
          <cell r="IA249" t="b">
            <v>0</v>
          </cell>
          <cell r="IB249" t="b">
            <v>0</v>
          </cell>
        </row>
        <row r="250">
          <cell r="D250" t="str">
            <v>Income (loss) from extraordinary items, pretax</v>
          </cell>
          <cell r="HX250" t="str">
            <v>mstag:incomeLossFromExtraordinaryItemsPretax</v>
          </cell>
          <cell r="HY250">
            <v>6</v>
          </cell>
          <cell r="HZ250" t="str">
            <v>ISO4217:USD</v>
          </cell>
          <cell r="IA250" t="b">
            <v>0</v>
          </cell>
          <cell r="IB250" t="b">
            <v>0</v>
          </cell>
        </row>
        <row r="251">
          <cell r="D251" t="str">
            <v>Tax on income (loss) from extraordinary items</v>
          </cell>
          <cell r="HX251" t="str">
            <v>mstag:taxOnIncomeLossFromExtraordinaryItems</v>
          </cell>
          <cell r="HY251">
            <v>6</v>
          </cell>
          <cell r="HZ251" t="str">
            <v>ISO4217:USD</v>
          </cell>
          <cell r="IA251" t="b">
            <v>0</v>
          </cell>
          <cell r="IB251" t="b">
            <v>0</v>
          </cell>
        </row>
        <row r="252">
          <cell r="C252" t="str">
            <v>Income (loss) from discontinued operations, net of tax</v>
          </cell>
          <cell r="G252" t="str">
            <v/>
          </cell>
          <cell r="H252" t="str">
            <v/>
          </cell>
          <cell r="I252" t="str">
            <v/>
          </cell>
          <cell r="J252" t="str">
            <v/>
          </cell>
          <cell r="K252" t="str">
            <v/>
          </cell>
          <cell r="L252" t="str">
            <v/>
          </cell>
          <cell r="M252" t="str">
            <v/>
          </cell>
          <cell r="HX252" t="str">
            <v>mstag:incomeLossFromDiscontinuedOperationsNetOfTax</v>
          </cell>
          <cell r="HY252">
            <v>6</v>
          </cell>
          <cell r="HZ252" t="str">
            <v>ISO4217:USD</v>
          </cell>
          <cell r="IA252" t="b">
            <v>0</v>
          </cell>
          <cell r="IB252" t="b">
            <v>0</v>
          </cell>
        </row>
        <row r="253">
          <cell r="D253" t="str">
            <v>Income (loss) from discontinued operations, pretax</v>
          </cell>
          <cell r="HX253" t="str">
            <v>mstag:incomeLossFromDiscontinuedOperationsPretax</v>
          </cell>
          <cell r="HY253">
            <v>6</v>
          </cell>
          <cell r="HZ253" t="str">
            <v>ISO4217:USD</v>
          </cell>
          <cell r="IA253" t="b">
            <v>0</v>
          </cell>
          <cell r="IB253" t="b">
            <v>0</v>
          </cell>
        </row>
        <row r="254">
          <cell r="D254" t="str">
            <v>Tax on income (loss) from discontinued operations</v>
          </cell>
          <cell r="HX254" t="str">
            <v>mstag:taxOnIncomeLossFromDiscontinuedOperations</v>
          </cell>
          <cell r="HY254">
            <v>6</v>
          </cell>
          <cell r="HZ254" t="str">
            <v>ISO4217:USD</v>
          </cell>
          <cell r="IA254" t="b">
            <v>0</v>
          </cell>
          <cell r="IB254" t="b">
            <v>0</v>
          </cell>
        </row>
        <row r="255">
          <cell r="C255" t="str">
            <v>Preferred dividends paid</v>
          </cell>
          <cell r="HX255" t="str">
            <v>mstag:preferredDividendsPaid</v>
          </cell>
          <cell r="HY255">
            <v>6</v>
          </cell>
          <cell r="HZ255" t="str">
            <v>ISO4217:USD</v>
          </cell>
          <cell r="IA255" t="b">
            <v>0</v>
          </cell>
          <cell r="IB255" t="b">
            <v>0</v>
          </cell>
        </row>
        <row r="256">
          <cell r="C256" t="str">
            <v>Preferred dividends attributable to current period earnings</v>
          </cell>
          <cell r="HX256" t="str">
            <v>mstag:preferredDividendsAttributableToCurrentPeriodEarnings</v>
          </cell>
          <cell r="HY256">
            <v>6</v>
          </cell>
          <cell r="HZ256" t="str">
            <v>ISO4217:USD</v>
          </cell>
          <cell r="IA256" t="b">
            <v>0</v>
          </cell>
          <cell r="IB256" t="b">
            <v>0</v>
          </cell>
        </row>
        <row r="257">
          <cell r="C257" t="str">
            <v>Adjustment to net income for dilutive items</v>
          </cell>
          <cell r="G257" t="str">
            <v/>
          </cell>
          <cell r="H257" t="str">
            <v/>
          </cell>
          <cell r="I257" t="str">
            <v/>
          </cell>
          <cell r="J257" t="str">
            <v/>
          </cell>
          <cell r="K257" t="str">
            <v/>
          </cell>
          <cell r="L257" t="str">
            <v/>
          </cell>
          <cell r="M257" t="str">
            <v/>
          </cell>
          <cell r="HX257" t="str">
            <v>mstag:adjustmentToNetIncomeForDilutiveItems</v>
          </cell>
          <cell r="HY257">
            <v>6</v>
          </cell>
          <cell r="HZ257" t="str">
            <v>ISO4217:USD</v>
          </cell>
          <cell r="IA257" t="b">
            <v>0</v>
          </cell>
          <cell r="IB257" t="b">
            <v>0</v>
          </cell>
        </row>
        <row r="258">
          <cell r="D258" t="str">
            <v>Impact of assumed conversion of preferred stock</v>
          </cell>
          <cell r="HX258" t="str">
            <v>mstag:impactOfAssumedConversionOfPreferredStock</v>
          </cell>
          <cell r="HY258">
            <v>6</v>
          </cell>
          <cell r="HZ258" t="str">
            <v>ISO4217:USD</v>
          </cell>
          <cell r="IA258" t="b">
            <v>0</v>
          </cell>
          <cell r="IB258" t="b">
            <v>0</v>
          </cell>
        </row>
        <row r="259">
          <cell r="D259" t="str">
            <v>Impact of assumed conversion of convertible bonds</v>
          </cell>
          <cell r="HX259" t="str">
            <v>mstag:impactOfAssumedConversionOfConvertibleBonds</v>
          </cell>
          <cell r="HY259">
            <v>6</v>
          </cell>
          <cell r="HZ259" t="str">
            <v>ISO4217:USD</v>
          </cell>
          <cell r="IA259" t="b">
            <v>0</v>
          </cell>
          <cell r="IB259" t="b">
            <v>0</v>
          </cell>
        </row>
        <row r="260">
          <cell r="D260" t="str">
            <v>Impact of stock options compensation</v>
          </cell>
          <cell r="HX260" t="str">
            <v>mstag:impactOfStockOptionsCompensation</v>
          </cell>
          <cell r="HY260">
            <v>6</v>
          </cell>
          <cell r="HZ260" t="str">
            <v>ISO4217:USD</v>
          </cell>
          <cell r="IA260" t="b">
            <v>0</v>
          </cell>
          <cell r="IB260" t="b">
            <v>0</v>
          </cell>
        </row>
        <row r="261">
          <cell r="C261" t="str">
            <v>Company-reported revenue</v>
          </cell>
          <cell r="HX261" t="str">
            <v>mstag:companyReportedRevenue</v>
          </cell>
          <cell r="HY261">
            <v>6</v>
          </cell>
          <cell r="HZ261" t="str">
            <v>ISO4217:USD</v>
          </cell>
          <cell r="IA261" t="b">
            <v>0</v>
          </cell>
          <cell r="IB261" t="b">
            <v>0</v>
          </cell>
        </row>
        <row r="262">
          <cell r="C262" t="str">
            <v>Japan-specific operating metrics</v>
          </cell>
          <cell r="HX262" t="str">
            <v>mstag:japanSpecificOperatingMetrics</v>
          </cell>
          <cell r="HY262">
            <v>6</v>
          </cell>
          <cell r="HZ262" t="str">
            <v>ISO4217:USD</v>
          </cell>
          <cell r="IA262" t="b">
            <v>0</v>
          </cell>
          <cell r="IB262" t="b">
            <v>0</v>
          </cell>
        </row>
        <row r="263">
          <cell r="D263" t="str">
            <v>Operating income (expense) classified by company as nonoperating (Japan)</v>
          </cell>
          <cell r="HX263" t="str">
            <v>mstag:operatingIncomeExpenseClassifiedByCompanyAsNonOperatingJapan</v>
          </cell>
          <cell r="HY263">
            <v>6</v>
          </cell>
          <cell r="HZ263" t="str">
            <v>ISO4217:USD</v>
          </cell>
          <cell r="IA263" t="b">
            <v>0</v>
          </cell>
          <cell r="IB263" t="b">
            <v>0</v>
          </cell>
        </row>
        <row r="264">
          <cell r="D264" t="str">
            <v>Operating income (expense) classified by company as extraordinary (Japan)</v>
          </cell>
          <cell r="HX264" t="str">
            <v>mstag:operatingIncomeExpenseClassifiedByCompanyAsExtraordinaryJapan</v>
          </cell>
          <cell r="HY264">
            <v>6</v>
          </cell>
          <cell r="HZ264" t="str">
            <v>ISO4217:USD</v>
          </cell>
          <cell r="IA264" t="b">
            <v>0</v>
          </cell>
          <cell r="IB264" t="b">
            <v>0</v>
          </cell>
        </row>
        <row r="265">
          <cell r="D265" t="str">
            <v>Nonoperating income (expense) classified by company as operating (Japan)</v>
          </cell>
          <cell r="HX265" t="str">
            <v>mstag:nonOperatingIncomeExpenseClassifiedByCompanyAsOperatingJapan</v>
          </cell>
          <cell r="HY265">
            <v>6</v>
          </cell>
          <cell r="HZ265" t="str">
            <v>ISO4217:USD</v>
          </cell>
          <cell r="IA265" t="b">
            <v>0</v>
          </cell>
          <cell r="IB265" t="b">
            <v>0</v>
          </cell>
        </row>
        <row r="266">
          <cell r="D266" t="str">
            <v>Nonoperating income (expense) classified by company as extraordinary (Japan)</v>
          </cell>
          <cell r="HX266" t="str">
            <v>mstag:recurringIncomeExpenseClassifiedByCompanyAsExtraordinaryJapan</v>
          </cell>
          <cell r="HY266">
            <v>6</v>
          </cell>
          <cell r="HZ266" t="str">
            <v>ISO4217:USD</v>
          </cell>
          <cell r="IA266" t="b">
            <v>0</v>
          </cell>
          <cell r="IB266" t="b">
            <v>0</v>
          </cell>
        </row>
        <row r="267">
          <cell r="D267" t="str">
            <v>One-time income (expense), gross of tax, classified by company as operating (Japan)</v>
          </cell>
          <cell r="HX267" t="str">
            <v>mstag:oneTimeIncomeExpenseGrossOfTaxClassifiedByCompanyAsOperatingJapan</v>
          </cell>
          <cell r="HY267">
            <v>6</v>
          </cell>
          <cell r="HZ267" t="str">
            <v>ISO4217:USD</v>
          </cell>
          <cell r="IA267" t="b">
            <v>0</v>
          </cell>
          <cell r="IB267" t="b">
            <v>0</v>
          </cell>
        </row>
        <row r="268">
          <cell r="D268" t="str">
            <v>One-time income (expense), gross of tax, classified by company as nonoperating (Japan)</v>
          </cell>
          <cell r="HX268" t="str">
            <v>mstag:oneTimeIncomeExpenseGrossOfTaxClassifiedByCompanyAsNonOperatingJapan</v>
          </cell>
          <cell r="HY268">
            <v>6</v>
          </cell>
          <cell r="HZ268" t="str">
            <v>ISO4217:USD</v>
          </cell>
          <cell r="IA268" t="b">
            <v>0</v>
          </cell>
          <cell r="IB268" t="b">
            <v>0</v>
          </cell>
        </row>
        <row r="269">
          <cell r="D269" t="str">
            <v>Recurring profit (Japan)</v>
          </cell>
          <cell r="HX269" t="str">
            <v>mstag:recurringProfitJapan</v>
          </cell>
          <cell r="HY269">
            <v>6</v>
          </cell>
          <cell r="HZ269" t="str">
            <v>ISO4217:USD</v>
          </cell>
          <cell r="IA269" t="b">
            <v>0</v>
          </cell>
          <cell r="IB269" t="b">
            <v>0</v>
          </cell>
        </row>
        <row r="270">
          <cell r="C270" t="str">
            <v>EPS adjusted for consensus</v>
          </cell>
          <cell r="HX270" t="str">
            <v>mstag:adjEpsForConsensus</v>
          </cell>
          <cell r="HY270">
            <v>0</v>
          </cell>
          <cell r="HZ270" t="str">
            <v>ISO4217:USD</v>
          </cell>
          <cell r="IA270" t="b">
            <v>0</v>
          </cell>
          <cell r="IB270" t="b">
            <v>0</v>
          </cell>
        </row>
        <row r="271">
          <cell r="C271" t="str">
            <v>Period-end diluted shares outstanding</v>
          </cell>
          <cell r="HX271" t="str">
            <v>mstag:periodEndDilutedSharesOutstanding</v>
          </cell>
          <cell r="HY271">
            <v>6</v>
          </cell>
          <cell r="HZ271" t="str">
            <v>ms_eqr_gcim_Decimal:ms_eqr_gcim_decimal</v>
          </cell>
          <cell r="IA271" t="b">
            <v>0</v>
          </cell>
          <cell r="IB271" t="b">
            <v>0</v>
          </cell>
        </row>
        <row r="272">
          <cell r="C272" t="str">
            <v>Period-end basic shares outstanding</v>
          </cell>
          <cell r="G272">
            <v>993.82235200000002</v>
          </cell>
          <cell r="H272">
            <v>1016.9171200000001</v>
          </cell>
          <cell r="I272">
            <v>1032.4410559999999</v>
          </cell>
          <cell r="J272">
            <v>1050.953542</v>
          </cell>
          <cell r="K272">
            <v>1056.6265719999999</v>
          </cell>
          <cell r="L272">
            <v>1025.6204499999999</v>
          </cell>
          <cell r="M272">
            <v>1049.4000000000001</v>
          </cell>
          <cell r="HX272" t="str">
            <v>mstag:periodEndBasicSharesOutstanding</v>
          </cell>
          <cell r="HY272">
            <v>6</v>
          </cell>
          <cell r="HZ272" t="str">
            <v>ms_eqr_gcim_Decimal:ms_eqr_gcim_decimal</v>
          </cell>
          <cell r="IA272" t="b">
            <v>0</v>
          </cell>
          <cell r="IB272" t="b">
            <v>0</v>
          </cell>
        </row>
        <row r="273">
          <cell r="C273" t="str">
            <v>Current diluted shares outstanding</v>
          </cell>
          <cell r="HX273" t="str">
            <v>mstag:currentDilutedSharesOutstanding</v>
          </cell>
          <cell r="HY273">
            <v>6</v>
          </cell>
          <cell r="HZ273" t="str">
            <v>ms_eqr_gcim_Decimal:ms_eqr_gcim_decimal</v>
          </cell>
          <cell r="IA273" t="b">
            <v>0</v>
          </cell>
          <cell r="IB273" t="b">
            <v>0</v>
          </cell>
        </row>
        <row r="274">
          <cell r="C274" t="str">
            <v>Current basic shares outstanding</v>
          </cell>
          <cell r="HX274" t="str">
            <v>mstag:currentBasicSharesOutstanding</v>
          </cell>
          <cell r="HY274">
            <v>6</v>
          </cell>
          <cell r="HZ274" t="str">
            <v>ms_eqr_gcim_Decimal:ms_eqr_gcim_decimal</v>
          </cell>
          <cell r="IA274" t="b">
            <v>0</v>
          </cell>
          <cell r="IB274" t="b">
            <v>0</v>
          </cell>
        </row>
        <row r="275">
          <cell r="C275" t="str">
            <v>Average diluted shares outstanding</v>
          </cell>
          <cell r="G275">
            <v>1011.176</v>
          </cell>
          <cell r="H275">
            <v>1038.9760000000001</v>
          </cell>
          <cell r="I275">
            <v>1026.704</v>
          </cell>
          <cell r="J275">
            <v>1044.3579999999999</v>
          </cell>
          <cell r="K275">
            <v>1070.5820000000001</v>
          </cell>
          <cell r="L275">
            <v>1048.816</v>
          </cell>
          <cell r="M275">
            <v>1054.3219999999999</v>
          </cell>
          <cell r="HX275" t="str">
            <v>mstag:averageDilutedSharesOutstanding</v>
          </cell>
          <cell r="HY275">
            <v>6</v>
          </cell>
          <cell r="HZ275" t="str">
            <v>ms_eqr_gcim_Decimal:ms_eqr_gcim_decimal</v>
          </cell>
          <cell r="IA275" t="b">
            <v>0</v>
          </cell>
          <cell r="IB275" t="b">
            <v>0</v>
          </cell>
        </row>
        <row r="276">
          <cell r="C276" t="str">
            <v>Number of preferred shares outstanding</v>
          </cell>
          <cell r="HX276" t="str">
            <v>mstag:numberOfPreferredSharesOutstanding</v>
          </cell>
          <cell r="HY276">
            <v>6</v>
          </cell>
          <cell r="HZ276" t="str">
            <v>ms_eqr_gcim_Decimal:ms_eqr_gcim_decimal</v>
          </cell>
          <cell r="IA276" t="b">
            <v>0</v>
          </cell>
          <cell r="IB276" t="b">
            <v>0</v>
          </cell>
        </row>
        <row r="277">
          <cell r="C277" t="str">
            <v>Average basic shares outstanding</v>
          </cell>
          <cell r="G277">
            <v>984.32</v>
          </cell>
          <cell r="H277">
            <v>1006.136</v>
          </cell>
          <cell r="I277">
            <v>1026.704</v>
          </cell>
          <cell r="J277">
            <v>1044.3579999999999</v>
          </cell>
          <cell r="K277">
            <v>1054.0440000000001</v>
          </cell>
          <cell r="L277">
            <v>1038.384</v>
          </cell>
          <cell r="M277">
            <v>1034.4565</v>
          </cell>
          <cell r="HX277" t="str">
            <v>mstag:averageBasicSharesOutstanding</v>
          </cell>
          <cell r="HY277">
            <v>6</v>
          </cell>
          <cell r="HZ277" t="str">
            <v>ms_eqr_gcim_Decimal:ms_eqr_gcim_decimal</v>
          </cell>
          <cell r="IA277" t="b">
            <v>0</v>
          </cell>
          <cell r="IB277" t="b">
            <v>0</v>
          </cell>
        </row>
        <row r="278">
          <cell r="C278" t="str">
            <v>ADR ratio</v>
          </cell>
          <cell r="HX278" t="str">
            <v>mstag:adrRatioNew</v>
          </cell>
          <cell r="HY278">
            <v>0</v>
          </cell>
          <cell r="HZ278" t="str">
            <v>ms_eqr_gcim_Decimal:ms_eqr_gcim_decimal</v>
          </cell>
          <cell r="IA278" t="b">
            <v>0</v>
          </cell>
          <cell r="IB278" t="b">
            <v>0</v>
          </cell>
        </row>
        <row r="279">
          <cell r="C279" t="str">
            <v>Current ADR ratio</v>
          </cell>
          <cell r="HX279" t="str">
            <v>mstag:currentAdrRatio</v>
          </cell>
          <cell r="HY279">
            <v>0</v>
          </cell>
          <cell r="HZ279" t="str">
            <v>ms_eqr_gcim_Decimal:ms_eqr_gcim_decimal</v>
          </cell>
          <cell r="IA279" t="b">
            <v>0</v>
          </cell>
          <cell r="IB279" t="b">
            <v>0</v>
          </cell>
        </row>
        <row r="280">
          <cell r="C280" t="str">
            <v>Analyst's average FX rate</v>
          </cell>
          <cell r="HX280" t="str">
            <v>mstag:analystsAverageFxRate</v>
          </cell>
          <cell r="HY280">
            <v>0</v>
          </cell>
          <cell r="HZ280" t="str">
            <v>ms_eqr_gcim_Decimal:ms_eqr_gcim_decimal</v>
          </cell>
          <cell r="IA280" t="b">
            <v>0</v>
          </cell>
          <cell r="IB280" t="b">
            <v>0</v>
          </cell>
        </row>
        <row r="281">
          <cell r="C281" t="str">
            <v>Analyst's period-end FX rate</v>
          </cell>
          <cell r="HX281" t="str">
            <v>mstag:analystsPeriodEndFxRate</v>
          </cell>
          <cell r="HY281">
            <v>0</v>
          </cell>
          <cell r="HZ281" t="str">
            <v>ms_eqr_gcim_Decimal:ms_eqr_gcim_decimal</v>
          </cell>
          <cell r="IA281" t="b">
            <v>0</v>
          </cell>
          <cell r="IB281" t="b">
            <v>0</v>
          </cell>
        </row>
        <row r="282">
          <cell r="C282" t="str">
            <v>Percent ownership</v>
          </cell>
          <cell r="HX282" t="str">
            <v>mstag:percentOwnership</v>
          </cell>
          <cell r="HY282">
            <v>0</v>
          </cell>
          <cell r="HZ282" t="str">
            <v>ms_eqr_gcim_Decimal:ms_eqr_gcim_decimal</v>
          </cell>
          <cell r="IA282" t="b">
            <v>0</v>
          </cell>
          <cell r="IB282" t="b">
            <v>0</v>
          </cell>
        </row>
        <row r="283">
          <cell r="C283" t="str">
            <v>Statutory tax rate</v>
          </cell>
          <cell r="G283">
            <v>0.373</v>
          </cell>
          <cell r="H283">
            <v>0.37965018939169048</v>
          </cell>
          <cell r="I283">
            <v>0.51523455723542122</v>
          </cell>
          <cell r="J283">
            <v>0.59149257488044304</v>
          </cell>
          <cell r="K283">
            <v>0.40731343600036757</v>
          </cell>
          <cell r="L283">
            <v>0.37813035732293521</v>
          </cell>
          <cell r="M283">
            <v>0.32364976429312797</v>
          </cell>
          <cell r="HX283" t="str">
            <v>mstag:statutoryTaxRate</v>
          </cell>
          <cell r="HY283">
            <v>0</v>
          </cell>
          <cell r="HZ283" t="str">
            <v>ms_eqr_gcim_Decimal:ms_eqr_gcim_decimal</v>
          </cell>
          <cell r="IA283" t="b">
            <v>0</v>
          </cell>
          <cell r="IB283" t="b">
            <v>0</v>
          </cell>
        </row>
        <row r="284">
          <cell r="C284" t="str">
            <v>Dividends per share</v>
          </cell>
          <cell r="G284">
            <v>0</v>
          </cell>
          <cell r="H284">
            <v>0</v>
          </cell>
          <cell r="I284">
            <v>0</v>
          </cell>
          <cell r="J284">
            <v>0</v>
          </cell>
          <cell r="K284">
            <v>0</v>
          </cell>
          <cell r="L284">
            <v>0</v>
          </cell>
          <cell r="HX284" t="str">
            <v>mstag:dividendsPerShare</v>
          </cell>
          <cell r="HY284">
            <v>0</v>
          </cell>
          <cell r="HZ284" t="str">
            <v>ISO4217:USD</v>
          </cell>
          <cell r="IA284" t="b">
            <v>0</v>
          </cell>
          <cell r="IB284" t="b">
            <v>0</v>
          </cell>
        </row>
        <row r="285">
          <cell r="B285" t="str">
            <v>Balance sheet</v>
          </cell>
          <cell r="HY285">
            <v>0</v>
          </cell>
          <cell r="HZ285" t="str">
            <v>ms_eqr_gcim_String:ms_eqr_gcim_string</v>
          </cell>
          <cell r="IA285" t="b">
            <v>0</v>
          </cell>
          <cell r="IB285" t="b">
            <v>0</v>
          </cell>
        </row>
        <row r="286">
          <cell r="C286" t="str">
            <v>Assets</v>
          </cell>
          <cell r="M286">
            <v>8735.9628426585768</v>
          </cell>
          <cell r="HX286" t="str">
            <v>mstag:assets</v>
          </cell>
          <cell r="HY286">
            <v>6</v>
          </cell>
          <cell r="HZ286" t="str">
            <v>ISO4217:USD</v>
          </cell>
          <cell r="IA286" t="b">
            <v>0</v>
          </cell>
          <cell r="IB286" t="b">
            <v>0</v>
          </cell>
        </row>
        <row r="287">
          <cell r="D287" t="str">
            <v>Cash and cash equivalents</v>
          </cell>
          <cell r="F287">
            <v>207.26400000000001</v>
          </cell>
          <cell r="G287">
            <v>244.46899999999999</v>
          </cell>
          <cell r="H287">
            <v>281.16199999999998</v>
          </cell>
          <cell r="I287">
            <v>337.68200000000002</v>
          </cell>
          <cell r="J287">
            <v>551.38400000000001</v>
          </cell>
          <cell r="K287">
            <v>395.20299999999997</v>
          </cell>
          <cell r="L287">
            <v>208.13</v>
          </cell>
          <cell r="M287">
            <v>371.87784265857795</v>
          </cell>
          <cell r="HX287" t="str">
            <v>mstag:cashAndCashEquivalents</v>
          </cell>
          <cell r="HY287">
            <v>6</v>
          </cell>
          <cell r="HZ287" t="str">
            <v>ISO4217:USD</v>
          </cell>
          <cell r="IA287" t="b">
            <v>0</v>
          </cell>
          <cell r="IB287" t="b">
            <v>0</v>
          </cell>
        </row>
        <row r="288">
          <cell r="D288" t="str">
            <v>Restricted cash required for operations</v>
          </cell>
          <cell r="HX288" t="str">
            <v>mstag:restrictedCashRequiredForOperations</v>
          </cell>
          <cell r="HY288">
            <v>6</v>
          </cell>
          <cell r="HZ288" t="str">
            <v>ISO4217:USD</v>
          </cell>
          <cell r="IA288" t="b">
            <v>0</v>
          </cell>
          <cell r="IB288" t="b">
            <v>0</v>
          </cell>
        </row>
        <row r="289">
          <cell r="D289" t="str">
            <v>Trade receivables</v>
          </cell>
          <cell r="G289">
            <v>71.41500000000002</v>
          </cell>
          <cell r="H289">
            <v>79.411000000000001</v>
          </cell>
          <cell r="I289">
            <v>120.49700000000001</v>
          </cell>
          <cell r="J289">
            <v>162.12100000000001</v>
          </cell>
          <cell r="K289">
            <v>193.203</v>
          </cell>
          <cell r="L289">
            <v>242.90700000000004</v>
          </cell>
          <cell r="M289">
            <v>574.1</v>
          </cell>
          <cell r="HX289" t="str">
            <v>mstag:tradeReceivables</v>
          </cell>
          <cell r="HY289">
            <v>6</v>
          </cell>
          <cell r="HZ289" t="str">
            <v>ISO4217:USD</v>
          </cell>
          <cell r="IA289" t="b">
            <v>0</v>
          </cell>
          <cell r="IB289" t="b">
            <v>0</v>
          </cell>
        </row>
        <row r="290">
          <cell r="E290" t="str">
            <v>Trade receivables, current</v>
          </cell>
          <cell r="G290">
            <v>71.41500000000002</v>
          </cell>
          <cell r="H290">
            <v>79.411000000000001</v>
          </cell>
          <cell r="I290">
            <v>120.49700000000001</v>
          </cell>
          <cell r="J290">
            <v>162.12100000000001</v>
          </cell>
          <cell r="K290">
            <v>193.203</v>
          </cell>
          <cell r="L290">
            <v>242.90700000000004</v>
          </cell>
          <cell r="M290" t="str">
            <v/>
          </cell>
          <cell r="HX290" t="str">
            <v>mstag:tradeReceivablesCurrent</v>
          </cell>
          <cell r="HY290">
            <v>6</v>
          </cell>
          <cell r="HZ290" t="str">
            <v>ISO4217:USD</v>
          </cell>
          <cell r="IA290" t="b">
            <v>0</v>
          </cell>
          <cell r="IB290" t="b">
            <v>0</v>
          </cell>
        </row>
        <row r="291">
          <cell r="F291" t="str">
            <v>Trade receivables, gross, current</v>
          </cell>
          <cell r="G291">
            <v>80.241000000000014</v>
          </cell>
          <cell r="H291">
            <v>94.072000000000003</v>
          </cell>
          <cell r="I291">
            <v>136.26400000000001</v>
          </cell>
          <cell r="J291">
            <v>176.24700000000001</v>
          </cell>
          <cell r="K291">
            <v>210.54</v>
          </cell>
          <cell r="L291">
            <v>259.73400000000004</v>
          </cell>
          <cell r="HX291" t="str">
            <v>mstag:tradeReceivablesGrossCurrent</v>
          </cell>
          <cell r="HY291">
            <v>6</v>
          </cell>
          <cell r="HZ291" t="str">
            <v>ISO4217:USD</v>
          </cell>
          <cell r="IA291" t="b">
            <v>0</v>
          </cell>
          <cell r="IB291" t="b">
            <v>0</v>
          </cell>
        </row>
        <row r="292">
          <cell r="F292" t="str">
            <v>Allowance for doubtful accounts, current</v>
          </cell>
          <cell r="G292">
            <v>8.8260000000000005</v>
          </cell>
          <cell r="H292">
            <v>14.661</v>
          </cell>
          <cell r="I292">
            <v>15.766999999999999</v>
          </cell>
          <cell r="J292">
            <v>14.125999999999999</v>
          </cell>
          <cell r="K292">
            <v>17.337</v>
          </cell>
          <cell r="L292">
            <v>16.827000000000002</v>
          </cell>
          <cell r="HX292" t="str">
            <v>mstag:allowanceForDoubtfulAccountsCurrent</v>
          </cell>
          <cell r="HY292">
            <v>6</v>
          </cell>
          <cell r="HZ292" t="str">
            <v>ISO4217:USD</v>
          </cell>
          <cell r="IA292" t="b">
            <v>0</v>
          </cell>
          <cell r="IB292" t="b">
            <v>0</v>
          </cell>
        </row>
        <row r="293">
          <cell r="E293" t="str">
            <v>Trade receivables, noncurrent</v>
          </cell>
          <cell r="G293" t="str">
            <v/>
          </cell>
          <cell r="H293" t="str">
            <v/>
          </cell>
          <cell r="I293" t="str">
            <v/>
          </cell>
          <cell r="J293" t="str">
            <v/>
          </cell>
          <cell r="K293" t="str">
            <v/>
          </cell>
          <cell r="L293" t="str">
            <v/>
          </cell>
          <cell r="M293" t="str">
            <v/>
          </cell>
          <cell r="HX293" t="str">
            <v>mstag:tradeReceivablesNonCurrent</v>
          </cell>
          <cell r="HY293">
            <v>6</v>
          </cell>
          <cell r="HZ293" t="str">
            <v>ISO4217:USD</v>
          </cell>
          <cell r="IA293" t="b">
            <v>0</v>
          </cell>
          <cell r="IB293" t="b">
            <v>0</v>
          </cell>
        </row>
        <row r="294">
          <cell r="F294" t="str">
            <v>Trade receivables, gross, noncurrent</v>
          </cell>
          <cell r="HX294" t="str">
            <v>mstag:tradeReceivablesGrossNonCurrent</v>
          </cell>
          <cell r="HY294">
            <v>6</v>
          </cell>
          <cell r="HZ294" t="str">
            <v>ISO4217:USD</v>
          </cell>
          <cell r="IA294" t="b">
            <v>0</v>
          </cell>
          <cell r="IB294" t="b">
            <v>0</v>
          </cell>
        </row>
        <row r="295">
          <cell r="F295" t="str">
            <v>Allowance for doubtful accounts, noncurrent</v>
          </cell>
          <cell r="HX295" t="str">
            <v>mstag:allowanceForDoubtfulAccountsNonCurrent</v>
          </cell>
          <cell r="HY295">
            <v>6</v>
          </cell>
          <cell r="HZ295" t="str">
            <v>ISO4217:USD</v>
          </cell>
          <cell r="IA295" t="b">
            <v>0</v>
          </cell>
          <cell r="IB295" t="b">
            <v>0</v>
          </cell>
        </row>
        <row r="296">
          <cell r="D296" t="str">
            <v>Finance lease receivables</v>
          </cell>
          <cell r="G296" t="str">
            <v/>
          </cell>
          <cell r="H296" t="str">
            <v/>
          </cell>
          <cell r="I296" t="str">
            <v/>
          </cell>
          <cell r="J296" t="str">
            <v/>
          </cell>
          <cell r="K296" t="str">
            <v/>
          </cell>
          <cell r="L296" t="str">
            <v/>
          </cell>
          <cell r="M296" t="str">
            <v/>
          </cell>
          <cell r="HX296" t="str">
            <v>mstag:financeLeaseReceivables</v>
          </cell>
          <cell r="HY296">
            <v>6</v>
          </cell>
          <cell r="HZ296" t="str">
            <v>ISO4217:USD</v>
          </cell>
          <cell r="IA296" t="b">
            <v>0</v>
          </cell>
          <cell r="IB296" t="b">
            <v>0</v>
          </cell>
        </row>
        <row r="297">
          <cell r="E297" t="str">
            <v>Finance lease receivables, current</v>
          </cell>
          <cell r="HX297" t="str">
            <v>mstag:financeLeaseReceivablesCurrent</v>
          </cell>
          <cell r="HY297">
            <v>6</v>
          </cell>
          <cell r="HZ297" t="str">
            <v>ISO4217:USD</v>
          </cell>
          <cell r="IA297" t="b">
            <v>0</v>
          </cell>
          <cell r="IB297" t="b">
            <v>0</v>
          </cell>
        </row>
        <row r="298">
          <cell r="E298" t="str">
            <v>Finance lease receivables, noncurrent</v>
          </cell>
          <cell r="HX298" t="str">
            <v>mstag:financeLeaseReceivablesNonCurrent</v>
          </cell>
          <cell r="HY298">
            <v>6</v>
          </cell>
          <cell r="HZ298" t="str">
            <v>ISO4217:USD</v>
          </cell>
          <cell r="IA298" t="b">
            <v>0</v>
          </cell>
          <cell r="IB298" t="b">
            <v>0</v>
          </cell>
        </row>
        <row r="299">
          <cell r="D299" t="str">
            <v>Notes receivable</v>
          </cell>
          <cell r="G299" t="str">
            <v/>
          </cell>
          <cell r="H299" t="str">
            <v/>
          </cell>
          <cell r="I299" t="str">
            <v/>
          </cell>
          <cell r="J299" t="str">
            <v/>
          </cell>
          <cell r="K299" t="str">
            <v/>
          </cell>
          <cell r="L299" t="str">
            <v/>
          </cell>
          <cell r="M299" t="str">
            <v/>
          </cell>
          <cell r="HX299" t="str">
            <v>mstag:notesReceivable</v>
          </cell>
          <cell r="HY299">
            <v>6</v>
          </cell>
          <cell r="HZ299" t="str">
            <v>ISO4217:USD</v>
          </cell>
          <cell r="IA299" t="b">
            <v>0</v>
          </cell>
          <cell r="IB299" t="b">
            <v>0</v>
          </cell>
        </row>
        <row r="300">
          <cell r="E300" t="str">
            <v>Notes receivable, current</v>
          </cell>
          <cell r="HX300" t="str">
            <v>mstag:notesReceivableCurrent</v>
          </cell>
          <cell r="HY300">
            <v>6</v>
          </cell>
          <cell r="HZ300" t="str">
            <v>ISO4217:USD</v>
          </cell>
          <cell r="IA300" t="b">
            <v>0</v>
          </cell>
          <cell r="IB300" t="b">
            <v>0</v>
          </cell>
        </row>
        <row r="301">
          <cell r="E301" t="str">
            <v>Notes receivable, noncurrent</v>
          </cell>
          <cell r="HX301" t="str">
            <v>mstag:notesReceivableNonCurrent</v>
          </cell>
          <cell r="HY301">
            <v>6</v>
          </cell>
          <cell r="HZ301" t="str">
            <v>ISO4217:USD</v>
          </cell>
          <cell r="IA301" t="b">
            <v>0</v>
          </cell>
          <cell r="IB301" t="b">
            <v>0</v>
          </cell>
        </row>
        <row r="302">
          <cell r="D302" t="str">
            <v>Unbilled receivables</v>
          </cell>
          <cell r="G302" t="str">
            <v/>
          </cell>
          <cell r="H302" t="str">
            <v/>
          </cell>
          <cell r="I302" t="str">
            <v/>
          </cell>
          <cell r="J302" t="str">
            <v/>
          </cell>
          <cell r="K302" t="str">
            <v/>
          </cell>
          <cell r="L302" t="str">
            <v/>
          </cell>
          <cell r="M302" t="str">
            <v/>
          </cell>
          <cell r="HX302" t="str">
            <v>mstag:unbilledReceivables</v>
          </cell>
          <cell r="HY302">
            <v>6</v>
          </cell>
          <cell r="HZ302" t="str">
            <v>ISO4217:USD</v>
          </cell>
          <cell r="IA302" t="b">
            <v>0</v>
          </cell>
          <cell r="IB302" t="b">
            <v>0</v>
          </cell>
        </row>
        <row r="303">
          <cell r="E303" t="str">
            <v>Unbilled receivables, current</v>
          </cell>
          <cell r="HX303" t="str">
            <v>mstag:unbilledReceivablesCurrent</v>
          </cell>
          <cell r="HY303">
            <v>6</v>
          </cell>
          <cell r="HZ303" t="str">
            <v>ISO4217:USD</v>
          </cell>
          <cell r="IA303" t="b">
            <v>0</v>
          </cell>
          <cell r="IB303" t="b">
            <v>0</v>
          </cell>
        </row>
        <row r="304">
          <cell r="E304" t="str">
            <v>Unbilled receivables, noncurrent</v>
          </cell>
          <cell r="HX304" t="str">
            <v>mstag:unbilledReceivablesNonCurrent</v>
          </cell>
          <cell r="HY304">
            <v>6</v>
          </cell>
          <cell r="HZ304" t="str">
            <v>ISO4217:USD</v>
          </cell>
          <cell r="IA304" t="b">
            <v>0</v>
          </cell>
          <cell r="IB304" t="b">
            <v>0</v>
          </cell>
        </row>
        <row r="305">
          <cell r="D305" t="str">
            <v>Other receivables</v>
          </cell>
          <cell r="G305">
            <v>117.83000000000001</v>
          </cell>
          <cell r="H305">
            <v>70.33</v>
          </cell>
          <cell r="I305">
            <v>94.288000000000011</v>
          </cell>
          <cell r="J305">
            <v>99.561000000000007</v>
          </cell>
          <cell r="K305">
            <v>122.137</v>
          </cell>
          <cell r="L305">
            <v>175.57400000000001</v>
          </cell>
          <cell r="M305" t="str">
            <v/>
          </cell>
          <cell r="HX305" t="str">
            <v>mstag:otherReceivables</v>
          </cell>
          <cell r="HY305">
            <v>6</v>
          </cell>
          <cell r="HZ305" t="str">
            <v>ISO4217:USD</v>
          </cell>
          <cell r="IA305" t="b">
            <v>0</v>
          </cell>
          <cell r="IB305" t="b">
            <v>0</v>
          </cell>
        </row>
        <row r="306">
          <cell r="E306" t="str">
            <v>Other receivables, current</v>
          </cell>
          <cell r="G306">
            <v>117.83000000000001</v>
          </cell>
          <cell r="H306">
            <v>70.33</v>
          </cell>
          <cell r="I306">
            <v>94.288000000000011</v>
          </cell>
          <cell r="J306">
            <v>99.561000000000007</v>
          </cell>
          <cell r="K306">
            <v>122.137</v>
          </cell>
          <cell r="L306">
            <v>175.57400000000001</v>
          </cell>
          <cell r="HX306" t="str">
            <v>mstag:otherReceivablesCurrent</v>
          </cell>
          <cell r="HY306">
            <v>6</v>
          </cell>
          <cell r="HZ306" t="str">
            <v>ISO4217:USD</v>
          </cell>
          <cell r="IA306" t="b">
            <v>0</v>
          </cell>
          <cell r="IB306" t="b">
            <v>0</v>
          </cell>
        </row>
        <row r="307">
          <cell r="E307" t="str">
            <v>Other receivables, noncurrent</v>
          </cell>
          <cell r="HX307" t="str">
            <v>mstag:otherReceivablesNonCurrent</v>
          </cell>
          <cell r="HY307">
            <v>6</v>
          </cell>
          <cell r="HZ307" t="str">
            <v>ISO4217:USD</v>
          </cell>
          <cell r="IA307" t="b">
            <v>0</v>
          </cell>
          <cell r="IB307" t="b">
            <v>0</v>
          </cell>
        </row>
        <row r="308">
          <cell r="D308" t="str">
            <v>Prepaid expenses</v>
          </cell>
          <cell r="G308">
            <v>55.325000000000003</v>
          </cell>
          <cell r="H308">
            <v>17.036000000000001</v>
          </cell>
          <cell r="I308">
            <v>11.87</v>
          </cell>
          <cell r="J308">
            <v>31.431999999999999</v>
          </cell>
          <cell r="K308">
            <v>38.896000000000001</v>
          </cell>
          <cell r="L308">
            <v>50.741999999999997</v>
          </cell>
          <cell r="M308">
            <v>79.44</v>
          </cell>
          <cell r="HX308" t="str">
            <v>mstag:prepaidExpenses</v>
          </cell>
          <cell r="HY308">
            <v>6</v>
          </cell>
          <cell r="HZ308" t="str">
            <v>ISO4217:USD</v>
          </cell>
          <cell r="IA308" t="b">
            <v>0</v>
          </cell>
          <cell r="IB308" t="b">
            <v>0</v>
          </cell>
        </row>
        <row r="309">
          <cell r="E309" t="str">
            <v>Prepaid expenses, current</v>
          </cell>
          <cell r="G309">
            <v>55.325000000000003</v>
          </cell>
          <cell r="H309">
            <v>17.036000000000001</v>
          </cell>
          <cell r="I309">
            <v>11.87</v>
          </cell>
          <cell r="J309">
            <v>31.431999999999999</v>
          </cell>
          <cell r="K309">
            <v>38.896000000000001</v>
          </cell>
          <cell r="L309">
            <v>50.741999999999997</v>
          </cell>
          <cell r="HX309" t="str">
            <v>mstag:prepaidExpensesCurrent</v>
          </cell>
          <cell r="HY309">
            <v>6</v>
          </cell>
          <cell r="HZ309" t="str">
            <v>ISO4217:USD</v>
          </cell>
          <cell r="IA309" t="b">
            <v>0</v>
          </cell>
          <cell r="IB309" t="b">
            <v>0</v>
          </cell>
        </row>
        <row r="310">
          <cell r="E310" t="str">
            <v>Prepaid expenses, noncurrent</v>
          </cell>
          <cell r="HX310" t="str">
            <v>mstag:prepaidExpensesNonCurrent</v>
          </cell>
          <cell r="HY310">
            <v>6</v>
          </cell>
          <cell r="HZ310" t="str">
            <v>ISO4217:USD</v>
          </cell>
          <cell r="IA310" t="b">
            <v>0</v>
          </cell>
          <cell r="IB310" t="b">
            <v>0</v>
          </cell>
        </row>
        <row r="311">
          <cell r="D311" t="str">
            <v>Income tax receivable</v>
          </cell>
          <cell r="G311" t="str">
            <v/>
          </cell>
          <cell r="H311" t="str">
            <v/>
          </cell>
          <cell r="I311" t="str">
            <v/>
          </cell>
          <cell r="J311" t="str">
            <v/>
          </cell>
          <cell r="K311" t="str">
            <v/>
          </cell>
          <cell r="L311" t="str">
            <v/>
          </cell>
          <cell r="M311" t="str">
            <v/>
          </cell>
          <cell r="HX311" t="str">
            <v>mstag:incomeTaxReceivable</v>
          </cell>
          <cell r="HY311">
            <v>6</v>
          </cell>
          <cell r="HZ311" t="str">
            <v>ISO4217:USD</v>
          </cell>
          <cell r="IA311" t="b">
            <v>0</v>
          </cell>
          <cell r="IB311" t="b">
            <v>0</v>
          </cell>
        </row>
        <row r="312">
          <cell r="E312" t="str">
            <v>Income tax receivable, operating</v>
          </cell>
          <cell r="HX312" t="str">
            <v>mstag:incomeTaxReceivableOperating</v>
          </cell>
          <cell r="HY312">
            <v>6</v>
          </cell>
          <cell r="HZ312" t="str">
            <v>ISO4217:USD</v>
          </cell>
          <cell r="IA312" t="b">
            <v>0</v>
          </cell>
          <cell r="IB312" t="b">
            <v>0</v>
          </cell>
        </row>
        <row r="313">
          <cell r="E313" t="str">
            <v>Income tax receivable, financing</v>
          </cell>
          <cell r="HX313" t="str">
            <v>mstag:incomeTaxReceivableFinancing</v>
          </cell>
          <cell r="HY313">
            <v>6</v>
          </cell>
          <cell r="HZ313" t="str">
            <v>ISO4217:USD</v>
          </cell>
          <cell r="IA313" t="b">
            <v>0</v>
          </cell>
          <cell r="IB313" t="b">
            <v>0</v>
          </cell>
        </row>
        <row r="314">
          <cell r="E314" t="str">
            <v>Income tax receivable, other</v>
          </cell>
          <cell r="HX314" t="str">
            <v>mstag:incomeTaxReceivableOther</v>
          </cell>
          <cell r="HY314">
            <v>6</v>
          </cell>
          <cell r="HZ314" t="str">
            <v>ISO4217:USD</v>
          </cell>
          <cell r="IA314" t="b">
            <v>0</v>
          </cell>
          <cell r="IB314" t="b">
            <v>0</v>
          </cell>
        </row>
        <row r="315">
          <cell r="D315" t="str">
            <v>Inventories</v>
          </cell>
          <cell r="G315">
            <v>116.026</v>
          </cell>
          <cell r="H315">
            <v>148.626</v>
          </cell>
          <cell r="I315">
            <v>275.245</v>
          </cell>
          <cell r="J315">
            <v>265.83000000000004</v>
          </cell>
          <cell r="K315">
            <v>356.94599999999997</v>
          </cell>
          <cell r="L315">
            <v>393.54200000000003</v>
          </cell>
          <cell r="M315">
            <v>469.64</v>
          </cell>
          <cell r="HX315" t="str">
            <v>mstag:inventories</v>
          </cell>
          <cell r="HY315">
            <v>6</v>
          </cell>
          <cell r="HZ315" t="str">
            <v>ISO4217:USD</v>
          </cell>
          <cell r="IA315" t="b">
            <v>0</v>
          </cell>
          <cell r="IB315" t="b">
            <v>0</v>
          </cell>
        </row>
        <row r="316">
          <cell r="E316" t="str">
            <v>Raw materials</v>
          </cell>
          <cell r="G316">
            <v>17.544</v>
          </cell>
          <cell r="H316">
            <v>21.414000000000001</v>
          </cell>
          <cell r="I316">
            <v>19.902999999999999</v>
          </cell>
          <cell r="J316">
            <v>17.620999999999999</v>
          </cell>
          <cell r="K316">
            <v>23.632999999999999</v>
          </cell>
          <cell r="L316">
            <v>30.181000000000001</v>
          </cell>
          <cell r="HX316" t="str">
            <v>mstag:rawMaterials</v>
          </cell>
          <cell r="HY316">
            <v>6</v>
          </cell>
          <cell r="HZ316" t="str">
            <v>ISO4217:USD</v>
          </cell>
          <cell r="IA316" t="b">
            <v>0</v>
          </cell>
          <cell r="IB316" t="b">
            <v>0</v>
          </cell>
        </row>
        <row r="317">
          <cell r="E317" t="str">
            <v>Production supplies</v>
          </cell>
          <cell r="HX317" t="str">
            <v>mstag:productionSupplies</v>
          </cell>
          <cell r="HY317">
            <v>6</v>
          </cell>
          <cell r="HZ317" t="str">
            <v>ISO4217:USD</v>
          </cell>
          <cell r="IA317" t="b">
            <v>0</v>
          </cell>
          <cell r="IB317" t="b">
            <v>0</v>
          </cell>
        </row>
        <row r="318">
          <cell r="E318" t="str">
            <v>Work in progress</v>
          </cell>
          <cell r="G318">
            <v>84.831000000000003</v>
          </cell>
          <cell r="H318">
            <v>106.383</v>
          </cell>
          <cell r="I318">
            <v>228.09200000000001</v>
          </cell>
          <cell r="J318">
            <v>233.12100000000001</v>
          </cell>
          <cell r="K318">
            <v>299.71699999999998</v>
          </cell>
          <cell r="L318">
            <v>329.81900000000002</v>
          </cell>
          <cell r="HX318" t="str">
            <v>mstag:workInProgress</v>
          </cell>
          <cell r="HY318">
            <v>6</v>
          </cell>
          <cell r="HZ318" t="str">
            <v>ISO4217:USD</v>
          </cell>
          <cell r="IA318" t="b">
            <v>0</v>
          </cell>
          <cell r="IB318" t="b">
            <v>0</v>
          </cell>
        </row>
        <row r="319">
          <cell r="E319" t="str">
            <v>Finished goods</v>
          </cell>
          <cell r="G319">
            <v>13.651</v>
          </cell>
          <cell r="H319">
            <v>20.829000000000001</v>
          </cell>
          <cell r="I319">
            <v>27.25</v>
          </cell>
          <cell r="J319">
            <v>15.087999999999999</v>
          </cell>
          <cell r="K319">
            <v>33.595999999999997</v>
          </cell>
          <cell r="L319">
            <v>33.542000000000002</v>
          </cell>
          <cell r="HX319" t="str">
            <v>mstag:finishedGoods</v>
          </cell>
          <cell r="HY319">
            <v>6</v>
          </cell>
          <cell r="HZ319" t="str">
            <v>ISO4217:USD</v>
          </cell>
          <cell r="IA319" t="b">
            <v>0</v>
          </cell>
          <cell r="IB319" t="b">
            <v>0</v>
          </cell>
        </row>
        <row r="320">
          <cell r="E320" t="str">
            <v>Other inventories</v>
          </cell>
          <cell r="HX320" t="str">
            <v>mstag:otherInventories</v>
          </cell>
          <cell r="HY320">
            <v>6</v>
          </cell>
          <cell r="HZ320" t="str">
            <v>ISO4217:USD</v>
          </cell>
          <cell r="IA320" t="b">
            <v>0</v>
          </cell>
          <cell r="IB320" t="b">
            <v>0</v>
          </cell>
        </row>
        <row r="321">
          <cell r="D321" t="str">
            <v>Property, plant, and equipment, net</v>
          </cell>
          <cell r="G321">
            <v>680.03399999999999</v>
          </cell>
          <cell r="H321">
            <v>696.68399999999997</v>
          </cell>
          <cell r="I321">
            <v>725.43099999999993</v>
          </cell>
          <cell r="J321">
            <v>734.43600000000004</v>
          </cell>
          <cell r="K321">
            <v>835.03599999999994</v>
          </cell>
          <cell r="L321">
            <v>1015.1449999999999</v>
          </cell>
          <cell r="M321">
            <v>3040.8</v>
          </cell>
          <cell r="HX321" t="str">
            <v>mstag:propertyPlantAndEquipmentNet</v>
          </cell>
          <cell r="HY321">
            <v>6</v>
          </cell>
          <cell r="HZ321" t="str">
            <v>ISO4217:USD</v>
          </cell>
          <cell r="IA321" t="b">
            <v>0</v>
          </cell>
          <cell r="IB321" t="b">
            <v>0</v>
          </cell>
        </row>
        <row r="322">
          <cell r="E322" t="str">
            <v>Property, plant, and equipment, gross</v>
          </cell>
          <cell r="G322">
            <v>1056.125</v>
          </cell>
          <cell r="H322">
            <v>1141.8989999999999</v>
          </cell>
          <cell r="I322">
            <v>1244.9269999999999</v>
          </cell>
          <cell r="J322">
            <v>1338.768</v>
          </cell>
          <cell r="K322">
            <v>1471.2629999999999</v>
          </cell>
          <cell r="L322">
            <v>1742.7569999999998</v>
          </cell>
          <cell r="M322" t="str">
            <v/>
          </cell>
          <cell r="HX322" t="str">
            <v>mstag:propertyPlantAndEquipmentGross</v>
          </cell>
          <cell r="HY322">
            <v>6</v>
          </cell>
          <cell r="HZ322" t="str">
            <v>ISO4217:USD</v>
          </cell>
          <cell r="IA322" t="b">
            <v>0</v>
          </cell>
          <cell r="IB322" t="b">
            <v>0</v>
          </cell>
        </row>
        <row r="323">
          <cell r="F323" t="str">
            <v>Property</v>
          </cell>
          <cell r="G323">
            <v>339.70800000000003</v>
          </cell>
          <cell r="H323">
            <v>378.13299999999998</v>
          </cell>
          <cell r="I323">
            <v>380.23599999999999</v>
          </cell>
          <cell r="J323">
            <v>392.11900000000003</v>
          </cell>
          <cell r="K323">
            <v>402.47300000000001</v>
          </cell>
          <cell r="L323">
            <v>422.79</v>
          </cell>
          <cell r="HX323" t="str">
            <v>mstag:property</v>
          </cell>
          <cell r="HY323">
            <v>6</v>
          </cell>
          <cell r="HZ323" t="str">
            <v>ISO4217:USD</v>
          </cell>
          <cell r="IA323" t="b">
            <v>0</v>
          </cell>
          <cell r="IB323" t="b">
            <v>0</v>
          </cell>
        </row>
        <row r="324">
          <cell r="F324" t="str">
            <v>Plant and equipment</v>
          </cell>
          <cell r="G324">
            <v>494.87400000000002</v>
          </cell>
          <cell r="H324">
            <v>607.36900000000003</v>
          </cell>
          <cell r="I324">
            <v>667.88400000000001</v>
          </cell>
          <cell r="J324">
            <v>761.69600000000003</v>
          </cell>
          <cell r="K324">
            <v>788.19799999999998</v>
          </cell>
          <cell r="L324">
            <v>880.62400000000002</v>
          </cell>
          <cell r="HX324" t="str">
            <v>mstag:plantAndEquipment</v>
          </cell>
          <cell r="HY324">
            <v>6</v>
          </cell>
          <cell r="HZ324" t="str">
            <v>ISO4217:USD</v>
          </cell>
          <cell r="IA324" t="b">
            <v>0</v>
          </cell>
          <cell r="IB324" t="b">
            <v>0</v>
          </cell>
        </row>
        <row r="325">
          <cell r="F325" t="str">
            <v>Land</v>
          </cell>
          <cell r="G325">
            <v>69.010000000000005</v>
          </cell>
          <cell r="H325">
            <v>69.436999999999998</v>
          </cell>
          <cell r="I325">
            <v>89.983000000000004</v>
          </cell>
          <cell r="J325">
            <v>90.274000000000001</v>
          </cell>
          <cell r="K325">
            <v>125.029</v>
          </cell>
          <cell r="L325">
            <v>149.53299999999999</v>
          </cell>
          <cell r="HX325" t="str">
            <v>mstag:land</v>
          </cell>
          <cell r="HY325">
            <v>6</v>
          </cell>
          <cell r="HZ325" t="str">
            <v>ISO4217:USD</v>
          </cell>
          <cell r="IA325" t="b">
            <v>0</v>
          </cell>
          <cell r="IB325" t="b">
            <v>0</v>
          </cell>
        </row>
        <row r="326">
          <cell r="F326" t="str">
            <v>Construction in progress</v>
          </cell>
          <cell r="G326">
            <v>152.53299999999999</v>
          </cell>
          <cell r="H326">
            <v>86.96</v>
          </cell>
          <cell r="I326">
            <v>106.824</v>
          </cell>
          <cell r="J326">
            <v>94.679000000000002</v>
          </cell>
          <cell r="K326">
            <v>155.56299999999999</v>
          </cell>
          <cell r="L326">
            <v>289.81</v>
          </cell>
          <cell r="HX326" t="str">
            <v>mstag:constructionInProgress</v>
          </cell>
          <cell r="HY326">
            <v>6</v>
          </cell>
          <cell r="HZ326" t="str">
            <v>ISO4217:USD</v>
          </cell>
          <cell r="IA326" t="b">
            <v>0</v>
          </cell>
          <cell r="IB326" t="b">
            <v>0</v>
          </cell>
        </row>
        <row r="327">
          <cell r="E327" t="str">
            <v>Accumulated depreciation</v>
          </cell>
          <cell r="G327">
            <v>376.09100000000001</v>
          </cell>
          <cell r="H327">
            <v>445.21499999999997</v>
          </cell>
          <cell r="I327">
            <v>519.49599999999998</v>
          </cell>
          <cell r="J327">
            <v>604.33199999999999</v>
          </cell>
          <cell r="K327">
            <v>636.22699999999998</v>
          </cell>
          <cell r="L327">
            <v>727.61199999999997</v>
          </cell>
          <cell r="HX327" t="str">
            <v>mstag:accumulatedDepreciation</v>
          </cell>
          <cell r="HY327">
            <v>6</v>
          </cell>
          <cell r="HZ327" t="str">
            <v>ISO4217:USD</v>
          </cell>
          <cell r="IA327" t="b">
            <v>0</v>
          </cell>
          <cell r="IB327" t="b">
            <v>0</v>
          </cell>
        </row>
        <row r="328">
          <cell r="D328" t="str">
            <v>Goodwill</v>
          </cell>
          <cell r="G328">
            <v>0</v>
          </cell>
          <cell r="H328">
            <v>0</v>
          </cell>
          <cell r="I328">
            <v>1609.0630000000001</v>
          </cell>
          <cell r="J328">
            <v>1455.7779999999998</v>
          </cell>
          <cell r="K328">
            <v>1302.4929999999999</v>
          </cell>
          <cell r="L328">
            <v>1315.019</v>
          </cell>
          <cell r="M328">
            <v>1315.09</v>
          </cell>
          <cell r="HX328" t="str">
            <v>mstag:goodwill</v>
          </cell>
          <cell r="HY328">
            <v>6</v>
          </cell>
          <cell r="HZ328" t="str">
            <v>ISO4217:USD</v>
          </cell>
          <cell r="IA328" t="b">
            <v>0</v>
          </cell>
          <cell r="IB328" t="b">
            <v>0</v>
          </cell>
        </row>
        <row r="329">
          <cell r="E329" t="str">
            <v>Gross goodwill</v>
          </cell>
          <cell r="G329">
            <v>0</v>
          </cell>
          <cell r="H329">
            <v>0</v>
          </cell>
          <cell r="I329">
            <v>2299.2719999999999</v>
          </cell>
          <cell r="J329">
            <v>2299.2719999999999</v>
          </cell>
          <cell r="K329">
            <v>1302.4929999999999</v>
          </cell>
          <cell r="L329">
            <v>1315.019</v>
          </cell>
          <cell r="HX329" t="str">
            <v>mstag:grossGoodwill</v>
          </cell>
          <cell r="HY329">
            <v>6</v>
          </cell>
          <cell r="HZ329" t="str">
            <v>ISO4217:USD</v>
          </cell>
          <cell r="IA329" t="b">
            <v>0</v>
          </cell>
          <cell r="IB329" t="b">
            <v>0</v>
          </cell>
        </row>
        <row r="330">
          <cell r="E330" t="str">
            <v>Accumulated amortization of goodwill</v>
          </cell>
          <cell r="G330">
            <v>0</v>
          </cell>
          <cell r="H330">
            <v>0</v>
          </cell>
          <cell r="I330">
            <v>690.20899999999995</v>
          </cell>
          <cell r="J330">
            <v>843.49400000000003</v>
          </cell>
          <cell r="K330">
            <v>0</v>
          </cell>
          <cell r="L330">
            <v>0</v>
          </cell>
          <cell r="HX330" t="str">
            <v>mstag:accumulatedAmortizationOfGoodwill</v>
          </cell>
          <cell r="HY330">
            <v>6</v>
          </cell>
          <cell r="HZ330" t="str">
            <v>ISO4217:USD</v>
          </cell>
          <cell r="IA330" t="b">
            <v>0</v>
          </cell>
          <cell r="IB330" t="b">
            <v>0</v>
          </cell>
        </row>
        <row r="331">
          <cell r="D331" t="str">
            <v>Other intangible assets</v>
          </cell>
          <cell r="G331">
            <v>0</v>
          </cell>
          <cell r="H331">
            <v>65.033000000000001</v>
          </cell>
          <cell r="I331">
            <v>1453.268</v>
          </cell>
          <cell r="J331">
            <v>1280.3589999999999</v>
          </cell>
          <cell r="K331">
            <v>1113.299</v>
          </cell>
          <cell r="L331">
            <v>927.53800000000001</v>
          </cell>
          <cell r="M331">
            <v>810.81</v>
          </cell>
          <cell r="HX331" t="str">
            <v>mstag:otherIntangibleAssets</v>
          </cell>
          <cell r="HY331">
            <v>6</v>
          </cell>
          <cell r="HZ331" t="str">
            <v>ISO4217:USD</v>
          </cell>
          <cell r="IA331" t="b">
            <v>0</v>
          </cell>
          <cell r="IB331" t="b">
            <v>0</v>
          </cell>
        </row>
        <row r="332">
          <cell r="E332" t="str">
            <v>Other finite life intangible assets</v>
          </cell>
          <cell r="G332">
            <v>0</v>
          </cell>
          <cell r="H332">
            <v>65.033000000000001</v>
          </cell>
          <cell r="I332">
            <v>1453.268</v>
          </cell>
          <cell r="J332">
            <v>1280.3589999999999</v>
          </cell>
          <cell r="K332">
            <v>1113.299</v>
          </cell>
          <cell r="L332">
            <v>927.53800000000001</v>
          </cell>
          <cell r="HX332" t="str">
            <v>mstag:otherFiniteLifeIntangibleAssets</v>
          </cell>
          <cell r="HY332">
            <v>6</v>
          </cell>
          <cell r="HZ332" t="str">
            <v>ISO4217:USD</v>
          </cell>
          <cell r="IA332" t="b">
            <v>0</v>
          </cell>
          <cell r="IB332" t="b">
            <v>0</v>
          </cell>
        </row>
        <row r="333">
          <cell r="E333" t="str">
            <v>Other indefinite life intangible assets</v>
          </cell>
          <cell r="HX333" t="str">
            <v>mstag:otherIndefiniteLifeIntangibleAssets</v>
          </cell>
          <cell r="HY333">
            <v>6</v>
          </cell>
          <cell r="HZ333" t="str">
            <v>ISO4217:USD</v>
          </cell>
          <cell r="IA333" t="b">
            <v>0</v>
          </cell>
          <cell r="IB333" t="b">
            <v>0</v>
          </cell>
        </row>
        <row r="334">
          <cell r="D334" t="str">
            <v>Investments, nonoperating</v>
          </cell>
          <cell r="G334">
            <v>1042.0409999999999</v>
          </cell>
          <cell r="H334">
            <v>1323.432</v>
          </cell>
          <cell r="I334">
            <v>1563.16</v>
          </cell>
          <cell r="J334">
            <v>1851.3900000000003</v>
          </cell>
          <cell r="K334">
            <v>2469.6880000000001</v>
          </cell>
          <cell r="L334">
            <v>1393.7280000000001</v>
          </cell>
          <cell r="M334">
            <v>1139.6199999999999</v>
          </cell>
          <cell r="HX334" t="str">
            <v>mstag:investmentsNonOperating</v>
          </cell>
          <cell r="HY334">
            <v>6</v>
          </cell>
          <cell r="HZ334" t="str">
            <v>ISO4217:USD</v>
          </cell>
          <cell r="IA334" t="b">
            <v>0</v>
          </cell>
          <cell r="IB334" t="b">
            <v>0</v>
          </cell>
        </row>
        <row r="335">
          <cell r="E335" t="str">
            <v>Short-term investments</v>
          </cell>
          <cell r="G335">
            <v>588.85299999999995</v>
          </cell>
          <cell r="H335">
            <v>606.54399999999998</v>
          </cell>
          <cell r="I335">
            <v>405.00299999999999</v>
          </cell>
          <cell r="J335">
            <v>642.47500000000002</v>
          </cell>
          <cell r="K335">
            <v>952.875</v>
          </cell>
          <cell r="L335">
            <v>826.44200000000001</v>
          </cell>
          <cell r="HX335" t="str">
            <v>mstag:shortTermInvestments</v>
          </cell>
          <cell r="HY335">
            <v>6</v>
          </cell>
          <cell r="HZ335" t="str">
            <v>ISO4217:USD</v>
          </cell>
          <cell r="IA335" t="b">
            <v>0</v>
          </cell>
          <cell r="IB335" t="b">
            <v>0</v>
          </cell>
        </row>
        <row r="336">
          <cell r="E336" t="str">
            <v>Long-term investments, nonoperating</v>
          </cell>
          <cell r="G336">
            <v>453.18799999999999</v>
          </cell>
          <cell r="H336">
            <v>716.88800000000003</v>
          </cell>
          <cell r="I336">
            <v>1158.1570000000002</v>
          </cell>
          <cell r="J336">
            <v>1208.9150000000002</v>
          </cell>
          <cell r="K336">
            <v>1516.8130000000001</v>
          </cell>
          <cell r="L336">
            <v>567.28599999999994</v>
          </cell>
          <cell r="HX336" t="str">
            <v>mstag:longTermInvestmentsNonOperating</v>
          </cell>
          <cell r="HY336">
            <v>6</v>
          </cell>
          <cell r="HZ336" t="str">
            <v>ISO4217:USD</v>
          </cell>
          <cell r="IA336" t="b">
            <v>0</v>
          </cell>
          <cell r="IB336" t="b">
            <v>0</v>
          </cell>
        </row>
        <row r="337">
          <cell r="D337" t="str">
            <v>Investments under the equity method, operating</v>
          </cell>
          <cell r="G337" t="str">
            <v/>
          </cell>
          <cell r="H337" t="str">
            <v/>
          </cell>
          <cell r="I337" t="str">
            <v/>
          </cell>
          <cell r="J337" t="str">
            <v/>
          </cell>
          <cell r="K337" t="str">
            <v/>
          </cell>
          <cell r="L337" t="str">
            <v/>
          </cell>
          <cell r="M337" t="str">
            <v/>
          </cell>
          <cell r="HX337" t="str">
            <v>mstag:investmentsUnderTheEquityMethodOperating</v>
          </cell>
          <cell r="HY337">
            <v>6</v>
          </cell>
          <cell r="HZ337" t="str">
            <v>ISO4217:USD</v>
          </cell>
          <cell r="IA337" t="b">
            <v>0</v>
          </cell>
          <cell r="IB337" t="b">
            <v>0</v>
          </cell>
        </row>
        <row r="338">
          <cell r="E338" t="str">
            <v>Investments in subsidiaries</v>
          </cell>
          <cell r="HX338" t="str">
            <v>mstag:investmentsInSubsidiaries</v>
          </cell>
          <cell r="HY338">
            <v>6</v>
          </cell>
          <cell r="HZ338" t="str">
            <v>ISO4217:USD</v>
          </cell>
          <cell r="IA338" t="b">
            <v>0</v>
          </cell>
          <cell r="IB338" t="b">
            <v>0</v>
          </cell>
        </row>
        <row r="339">
          <cell r="E339" t="str">
            <v>Investments in associates</v>
          </cell>
          <cell r="HX339" t="str">
            <v>mstag:investmentsInAssociates</v>
          </cell>
          <cell r="HY339">
            <v>6</v>
          </cell>
          <cell r="HZ339" t="str">
            <v>ISO4217:USD</v>
          </cell>
          <cell r="IA339" t="b">
            <v>0</v>
          </cell>
          <cell r="IB339" t="b">
            <v>0</v>
          </cell>
        </row>
        <row r="340">
          <cell r="E340" t="str">
            <v>Investments in joint ventures</v>
          </cell>
          <cell r="HX340" t="str">
            <v>mstag:investmentsInJointVentures</v>
          </cell>
          <cell r="HY340">
            <v>6</v>
          </cell>
          <cell r="HZ340" t="str">
            <v>ISO4217:USD</v>
          </cell>
          <cell r="IA340" t="b">
            <v>0</v>
          </cell>
          <cell r="IB340" t="b">
            <v>0</v>
          </cell>
        </row>
        <row r="341">
          <cell r="D341" t="str">
            <v>Investments under the equity method, nonoperating</v>
          </cell>
          <cell r="HX341" t="str">
            <v>mstag:investmentsUnderTheEquityMethodNonOperating</v>
          </cell>
          <cell r="HY341">
            <v>6</v>
          </cell>
          <cell r="HZ341" t="str">
            <v>ISO4217:USD</v>
          </cell>
          <cell r="IA341" t="b">
            <v>0</v>
          </cell>
          <cell r="IB341" t="b">
            <v>0</v>
          </cell>
        </row>
        <row r="342">
          <cell r="D342" t="str">
            <v>Deferred tax assets</v>
          </cell>
          <cell r="G342">
            <v>0</v>
          </cell>
          <cell r="H342">
            <v>38.848999999999997</v>
          </cell>
          <cell r="I342">
            <v>81.921999999999997</v>
          </cell>
          <cell r="J342">
            <v>40.619</v>
          </cell>
          <cell r="K342">
            <v>139.56700000000001</v>
          </cell>
          <cell r="L342">
            <v>82.299000000000007</v>
          </cell>
          <cell r="M342">
            <v>121.88500000000001</v>
          </cell>
          <cell r="HX342" t="str">
            <v>mstag:deferredTaxAssets</v>
          </cell>
          <cell r="HY342">
            <v>6</v>
          </cell>
          <cell r="HZ342" t="str">
            <v>ISO4217:USD</v>
          </cell>
          <cell r="IA342" t="b">
            <v>0</v>
          </cell>
          <cell r="IB342" t="b">
            <v>0</v>
          </cell>
        </row>
        <row r="343">
          <cell r="E343" t="str">
            <v>Deferred tax assets, current</v>
          </cell>
          <cell r="G343">
            <v>0</v>
          </cell>
          <cell r="H343">
            <v>38.848999999999997</v>
          </cell>
          <cell r="I343">
            <v>81.921999999999997</v>
          </cell>
          <cell r="J343">
            <v>40.619</v>
          </cell>
          <cell r="K343">
            <v>139.56700000000001</v>
          </cell>
          <cell r="L343">
            <v>82.299000000000007</v>
          </cell>
          <cell r="HX343" t="str">
            <v>mstag:deferredTaxAssetsCurrent</v>
          </cell>
          <cell r="HY343">
            <v>6</v>
          </cell>
          <cell r="HZ343" t="str">
            <v>ISO4217:USD</v>
          </cell>
          <cell r="IA343" t="b">
            <v>0</v>
          </cell>
          <cell r="IB343" t="b">
            <v>0</v>
          </cell>
        </row>
        <row r="344">
          <cell r="E344" t="str">
            <v>Deferred tax assets, noncurrent</v>
          </cell>
          <cell r="HX344" t="str">
            <v>mstag:deferredTaxAssetsNonCurrent</v>
          </cell>
          <cell r="HY344">
            <v>6</v>
          </cell>
          <cell r="HZ344" t="str">
            <v>ISO4217:USD</v>
          </cell>
          <cell r="IA344" t="b">
            <v>0</v>
          </cell>
          <cell r="IB344" t="b">
            <v>0</v>
          </cell>
        </row>
        <row r="345">
          <cell r="D345" t="str">
            <v>Pension and other postretirement assets</v>
          </cell>
          <cell r="HX345" t="str">
            <v>mstag:pensionAndOtherPostRetirementAssets</v>
          </cell>
          <cell r="HY345">
            <v>6</v>
          </cell>
          <cell r="HZ345" t="str">
            <v>ISO4217:USD</v>
          </cell>
          <cell r="IA345" t="b">
            <v>0</v>
          </cell>
          <cell r="IB345" t="b">
            <v>0</v>
          </cell>
        </row>
        <row r="346">
          <cell r="D346" t="str">
            <v>Investment in own shares, asset</v>
          </cell>
          <cell r="G346" t="str">
            <v/>
          </cell>
          <cell r="H346" t="str">
            <v/>
          </cell>
          <cell r="I346" t="str">
            <v/>
          </cell>
          <cell r="J346" t="str">
            <v/>
          </cell>
          <cell r="K346" t="str">
            <v/>
          </cell>
          <cell r="L346" t="str">
            <v/>
          </cell>
          <cell r="M346" t="str">
            <v/>
          </cell>
          <cell r="HX346" t="str">
            <v>mstag:investmentInOwnSharesAsset</v>
          </cell>
          <cell r="HY346">
            <v>6</v>
          </cell>
          <cell r="HZ346" t="str">
            <v>ISO4217:USD</v>
          </cell>
          <cell r="IA346" t="b">
            <v>0</v>
          </cell>
          <cell r="IB346" t="b">
            <v>0</v>
          </cell>
        </row>
        <row r="347">
          <cell r="E347" t="str">
            <v>Investment in ESOP trusts</v>
          </cell>
          <cell r="HX347" t="str">
            <v>mstag:investmentInEsopTrusts</v>
          </cell>
          <cell r="HY347">
            <v>6</v>
          </cell>
          <cell r="HZ347" t="str">
            <v>ISO4217:USD</v>
          </cell>
          <cell r="IA347" t="b">
            <v>0</v>
          </cell>
          <cell r="IB347" t="b">
            <v>0</v>
          </cell>
        </row>
        <row r="348">
          <cell r="D348" t="str">
            <v>Other assets, operating</v>
          </cell>
          <cell r="G348">
            <v>180.47200000000001</v>
          </cell>
          <cell r="H348">
            <v>134.839</v>
          </cell>
          <cell r="I348">
            <v>262.35599999999999</v>
          </cell>
          <cell r="J348">
            <v>243.51399999999998</v>
          </cell>
          <cell r="K348">
            <v>180.42099999999999</v>
          </cell>
          <cell r="L348">
            <v>953.49500000000012</v>
          </cell>
          <cell r="M348" t="str">
            <v/>
          </cell>
          <cell r="HX348" t="str">
            <v>mstag:otherAssets</v>
          </cell>
          <cell r="HY348">
            <v>6</v>
          </cell>
          <cell r="HZ348" t="str">
            <v>ISO4217:USD</v>
          </cell>
          <cell r="IA348" t="b">
            <v>0</v>
          </cell>
          <cell r="IB348" t="b">
            <v>0</v>
          </cell>
        </row>
        <row r="349">
          <cell r="E349" t="str">
            <v>Other assets, operating, current</v>
          </cell>
          <cell r="G349">
            <v>0</v>
          </cell>
          <cell r="H349">
            <v>0</v>
          </cell>
          <cell r="I349">
            <v>56.6</v>
          </cell>
          <cell r="J349">
            <v>56.6</v>
          </cell>
          <cell r="K349">
            <v>79.167000000000002</v>
          </cell>
          <cell r="L349">
            <v>789.74800000000005</v>
          </cell>
          <cell r="HX349" t="str">
            <v>mstag:otherAssetsOperatingCurrent</v>
          </cell>
          <cell r="HY349">
            <v>6</v>
          </cell>
          <cell r="HZ349" t="str">
            <v>ISO4217:USD</v>
          </cell>
          <cell r="IA349" t="b">
            <v>0</v>
          </cell>
          <cell r="IB349" t="b">
            <v>0</v>
          </cell>
        </row>
        <row r="350">
          <cell r="E350" t="str">
            <v>Other assets, operating, noncurrent</v>
          </cell>
          <cell r="G350">
            <v>180.47200000000001</v>
          </cell>
          <cell r="H350">
            <v>134.839</v>
          </cell>
          <cell r="I350">
            <v>205.756</v>
          </cell>
          <cell r="J350">
            <v>186.91399999999999</v>
          </cell>
          <cell r="K350">
            <v>101.254</v>
          </cell>
          <cell r="L350">
            <v>163.74700000000001</v>
          </cell>
          <cell r="HX350" t="str">
            <v>mstag:otherAssetsOperatingNonCurrent</v>
          </cell>
          <cell r="HY350">
            <v>6</v>
          </cell>
          <cell r="HZ350" t="str">
            <v>ISO4217:USD</v>
          </cell>
          <cell r="IA350" t="b">
            <v>0</v>
          </cell>
          <cell r="IB350" t="b">
            <v>0</v>
          </cell>
        </row>
        <row r="351">
          <cell r="D351" t="str">
            <v>Other assets, nonoperating</v>
          </cell>
          <cell r="G351" t="str">
            <v/>
          </cell>
          <cell r="H351" t="str">
            <v/>
          </cell>
          <cell r="I351" t="str">
            <v/>
          </cell>
          <cell r="J351" t="str">
            <v/>
          </cell>
          <cell r="K351" t="str">
            <v/>
          </cell>
          <cell r="L351" t="str">
            <v/>
          </cell>
          <cell r="M351">
            <v>812.7</v>
          </cell>
          <cell r="HX351" t="str">
            <v>mstag:otherAssetsNonOperating</v>
          </cell>
          <cell r="HY351">
            <v>6</v>
          </cell>
          <cell r="HZ351" t="str">
            <v>ISO4217:USD</v>
          </cell>
          <cell r="IA351" t="b">
            <v>0</v>
          </cell>
          <cell r="IB351" t="b">
            <v>0</v>
          </cell>
        </row>
        <row r="352">
          <cell r="E352" t="str">
            <v>Other assets, nonoperating, current</v>
          </cell>
          <cell r="HX352" t="str">
            <v>mstag:otherAssetsNonOperatingCurrent</v>
          </cell>
          <cell r="HY352">
            <v>6</v>
          </cell>
          <cell r="HZ352" t="str">
            <v>ISO4217:USD</v>
          </cell>
          <cell r="IA352" t="b">
            <v>0</v>
          </cell>
          <cell r="IB352" t="b">
            <v>0</v>
          </cell>
        </row>
        <row r="353">
          <cell r="E353" t="str">
            <v>Other assets, nonoperating, noncurrent</v>
          </cell>
          <cell r="HX353" t="str">
            <v>mstag:otherAssetsNonOperatingNonCurrent</v>
          </cell>
          <cell r="HY353">
            <v>6</v>
          </cell>
          <cell r="HZ353" t="str">
            <v>ISO4217:USD</v>
          </cell>
          <cell r="IA353" t="b">
            <v>0</v>
          </cell>
          <cell r="IB353" t="b">
            <v>0</v>
          </cell>
        </row>
        <row r="354">
          <cell r="D354" t="str">
            <v>Assets of discontinued operations</v>
          </cell>
          <cell r="HX354" t="str">
            <v>mstag:assetsOfDiscontinuedOperations</v>
          </cell>
          <cell r="HY354">
            <v>6</v>
          </cell>
          <cell r="HZ354" t="str">
            <v>ISO4217:USD</v>
          </cell>
          <cell r="IA354" t="b">
            <v>0</v>
          </cell>
          <cell r="IB354" t="b">
            <v>0</v>
          </cell>
        </row>
        <row r="355">
          <cell r="C355" t="str">
            <v>Liabilities and equity</v>
          </cell>
          <cell r="M355">
            <v>8736.0156437000005</v>
          </cell>
          <cell r="HX355" t="str">
            <v>mstag:liabilitiesAndEquity</v>
          </cell>
          <cell r="HY355">
            <v>6</v>
          </cell>
          <cell r="HZ355" t="str">
            <v>ISO4217:USD</v>
          </cell>
          <cell r="IA355" t="b">
            <v>0</v>
          </cell>
          <cell r="IB355" t="b">
            <v>0</v>
          </cell>
        </row>
        <row r="356">
          <cell r="D356" t="str">
            <v>Trade and other payables</v>
          </cell>
          <cell r="G356">
            <v>48.991999999999997</v>
          </cell>
          <cell r="H356">
            <v>40.895000000000003</v>
          </cell>
          <cell r="I356">
            <v>33.122999999999998</v>
          </cell>
          <cell r="J356">
            <v>39.113999999999997</v>
          </cell>
          <cell r="K356">
            <v>33.347999999999999</v>
          </cell>
          <cell r="L356">
            <v>51.38</v>
          </cell>
          <cell r="M356">
            <v>59.7</v>
          </cell>
          <cell r="HX356" t="str">
            <v>mstag:tradeAndOtherPayables</v>
          </cell>
          <cell r="HY356">
            <v>6</v>
          </cell>
          <cell r="HZ356" t="str">
            <v>ISO4217:USD</v>
          </cell>
          <cell r="IA356" t="b">
            <v>0</v>
          </cell>
          <cell r="IB356" t="b">
            <v>0</v>
          </cell>
        </row>
        <row r="357">
          <cell r="E357" t="str">
            <v>Trade and other payables, current</v>
          </cell>
          <cell r="G357">
            <v>48.991999999999997</v>
          </cell>
          <cell r="H357">
            <v>40.895000000000003</v>
          </cell>
          <cell r="I357">
            <v>33.122999999999998</v>
          </cell>
          <cell r="J357">
            <v>39.113999999999997</v>
          </cell>
          <cell r="K357">
            <v>33.347999999999999</v>
          </cell>
          <cell r="L357">
            <v>51.38</v>
          </cell>
          <cell r="M357" t="str">
            <v/>
          </cell>
          <cell r="HX357" t="str">
            <v>mstag:tradeAndOtherPayablesCurrent</v>
          </cell>
          <cell r="HY357">
            <v>6</v>
          </cell>
          <cell r="HZ357" t="str">
            <v>ISO4217:USD</v>
          </cell>
          <cell r="IA357" t="b">
            <v>0</v>
          </cell>
          <cell r="IB357" t="b">
            <v>0</v>
          </cell>
        </row>
        <row r="358">
          <cell r="F358" t="str">
            <v>Trade payables, current</v>
          </cell>
          <cell r="G358">
            <v>48.991999999999997</v>
          </cell>
          <cell r="H358">
            <v>40.895000000000003</v>
          </cell>
          <cell r="I358">
            <v>33.122999999999998</v>
          </cell>
          <cell r="J358">
            <v>39.113999999999997</v>
          </cell>
          <cell r="K358">
            <v>33.347999999999999</v>
          </cell>
          <cell r="L358">
            <v>51.38</v>
          </cell>
          <cell r="HX358" t="str">
            <v>mstag:tradePayablesCurrent</v>
          </cell>
          <cell r="HY358">
            <v>6</v>
          </cell>
          <cell r="HZ358" t="str">
            <v>ISO4217:USD</v>
          </cell>
          <cell r="IA358" t="b">
            <v>0</v>
          </cell>
          <cell r="IB358" t="b">
            <v>0</v>
          </cell>
        </row>
        <row r="359">
          <cell r="F359" t="str">
            <v>Other payables, current</v>
          </cell>
          <cell r="HX359" t="str">
            <v>mstag:otherPayablesCurrent</v>
          </cell>
          <cell r="HY359">
            <v>6</v>
          </cell>
          <cell r="HZ359" t="str">
            <v>ISO4217:USD</v>
          </cell>
          <cell r="IA359" t="b">
            <v>0</v>
          </cell>
          <cell r="IB359" t="b">
            <v>0</v>
          </cell>
        </row>
        <row r="360">
          <cell r="E360" t="str">
            <v>Trade and other payables, noncurrent</v>
          </cell>
          <cell r="G360" t="str">
            <v/>
          </cell>
          <cell r="H360" t="str">
            <v/>
          </cell>
          <cell r="I360" t="str">
            <v/>
          </cell>
          <cell r="J360" t="str">
            <v/>
          </cell>
          <cell r="K360" t="str">
            <v/>
          </cell>
          <cell r="L360" t="str">
            <v/>
          </cell>
          <cell r="M360" t="str">
            <v/>
          </cell>
          <cell r="HX360" t="str">
            <v>mstag:tradeAndOtherPayablesNonCurrent</v>
          </cell>
          <cell r="HY360">
            <v>6</v>
          </cell>
          <cell r="HZ360" t="str">
            <v>ISO4217:USD</v>
          </cell>
          <cell r="IA360" t="b">
            <v>0</v>
          </cell>
          <cell r="IB360" t="b">
            <v>0</v>
          </cell>
        </row>
        <row r="361">
          <cell r="F361" t="str">
            <v>Trade payables, noncurrent</v>
          </cell>
          <cell r="HX361" t="str">
            <v>mstag:tradePayablesNonCurrent</v>
          </cell>
          <cell r="HY361">
            <v>6</v>
          </cell>
          <cell r="HZ361" t="str">
            <v>ISO4217:USD</v>
          </cell>
          <cell r="IA361" t="b">
            <v>0</v>
          </cell>
          <cell r="IB361" t="b">
            <v>0</v>
          </cell>
        </row>
        <row r="362">
          <cell r="F362" t="str">
            <v>Other payables, noncurrent</v>
          </cell>
          <cell r="HX362" t="str">
            <v>mstag:otherPayablesNonCurrent</v>
          </cell>
          <cell r="HY362">
            <v>6</v>
          </cell>
          <cell r="HZ362" t="str">
            <v>ISO4217:USD</v>
          </cell>
          <cell r="IA362" t="b">
            <v>0</v>
          </cell>
          <cell r="IB362" t="b">
            <v>0</v>
          </cell>
        </row>
        <row r="363">
          <cell r="D363" t="str">
            <v>Dividends payable</v>
          </cell>
          <cell r="HX363" t="str">
            <v>mstag:dividendsPayable</v>
          </cell>
          <cell r="HY363">
            <v>6</v>
          </cell>
          <cell r="HZ363" t="str">
            <v>ISO4217:USD</v>
          </cell>
          <cell r="IA363" t="b">
            <v>0</v>
          </cell>
          <cell r="IB363" t="b">
            <v>0</v>
          </cell>
        </row>
        <row r="364">
          <cell r="D364" t="str">
            <v>Short-term borrowings, up to 1 year</v>
          </cell>
          <cell r="G364">
            <v>0</v>
          </cell>
          <cell r="H364">
            <v>0</v>
          </cell>
          <cell r="I364">
            <v>0</v>
          </cell>
          <cell r="J364">
            <v>0</v>
          </cell>
          <cell r="K364">
            <v>149.69200000000001</v>
          </cell>
          <cell r="L364">
            <v>0</v>
          </cell>
          <cell r="HX364" t="str">
            <v>mstag:shortTermBorrowings</v>
          </cell>
          <cell r="HY364">
            <v>6</v>
          </cell>
          <cell r="HZ364" t="str">
            <v>ISO4217:USD</v>
          </cell>
          <cell r="IA364" t="b">
            <v>0</v>
          </cell>
          <cell r="IB364" t="b">
            <v>0</v>
          </cell>
        </row>
        <row r="365">
          <cell r="D365" t="str">
            <v>Other interest bearing liabilities</v>
          </cell>
          <cell r="G365" t="str">
            <v/>
          </cell>
          <cell r="H365" t="str">
            <v/>
          </cell>
          <cell r="I365" t="str">
            <v/>
          </cell>
          <cell r="J365" t="str">
            <v/>
          </cell>
          <cell r="K365" t="str">
            <v/>
          </cell>
          <cell r="L365" t="str">
            <v/>
          </cell>
          <cell r="M365" t="str">
            <v/>
          </cell>
          <cell r="HX365" t="str">
            <v>mstag:otherInterestBearingLiabilities</v>
          </cell>
          <cell r="HY365">
            <v>6</v>
          </cell>
          <cell r="HZ365" t="str">
            <v>ISO4217:USD</v>
          </cell>
          <cell r="IA365" t="b">
            <v>0</v>
          </cell>
          <cell r="IB365" t="b">
            <v>0</v>
          </cell>
        </row>
        <row r="366">
          <cell r="E366" t="str">
            <v>Asset retirement obligations</v>
          </cell>
          <cell r="HX366" t="str">
            <v>mstag:assetRetirementObligations</v>
          </cell>
          <cell r="HY366">
            <v>6</v>
          </cell>
          <cell r="HZ366" t="str">
            <v>ISO4217:USD</v>
          </cell>
          <cell r="IA366" t="b">
            <v>0</v>
          </cell>
          <cell r="IB366" t="b">
            <v>0</v>
          </cell>
        </row>
        <row r="367">
          <cell r="E367" t="str">
            <v>Decommissioning, restoration, and similar liabilities</v>
          </cell>
          <cell r="HX367" t="str">
            <v>mstag:decommissioningRestorationAndSimilarLiabilities</v>
          </cell>
          <cell r="HY367">
            <v>6</v>
          </cell>
          <cell r="HZ367" t="str">
            <v>ISO4217:USD</v>
          </cell>
          <cell r="IA367" t="b">
            <v>0</v>
          </cell>
          <cell r="IB367" t="b">
            <v>0</v>
          </cell>
        </row>
        <row r="368">
          <cell r="E368" t="str">
            <v>Environmental liabilities, interest bearing</v>
          </cell>
          <cell r="HX368" t="str">
            <v>mstag:environmentalLiabilitiesInterestBearing</v>
          </cell>
          <cell r="HY368">
            <v>6</v>
          </cell>
          <cell r="HZ368" t="str">
            <v>ISO4217:USD</v>
          </cell>
          <cell r="IA368" t="b">
            <v>0</v>
          </cell>
          <cell r="IB368" t="b">
            <v>0</v>
          </cell>
        </row>
        <row r="369">
          <cell r="E369" t="str">
            <v>Other interest bearing provisions</v>
          </cell>
          <cell r="HX369" t="str">
            <v>mstag:otherInterestBearingProvisions</v>
          </cell>
          <cell r="HY369">
            <v>6</v>
          </cell>
          <cell r="HZ369" t="str">
            <v>ISO4217:USD</v>
          </cell>
          <cell r="IA369" t="b">
            <v>0</v>
          </cell>
          <cell r="IB369" t="b">
            <v>0</v>
          </cell>
        </row>
        <row r="370">
          <cell r="D370" t="str">
            <v>Income tax payable</v>
          </cell>
          <cell r="G370">
            <v>40.292999999999999</v>
          </cell>
          <cell r="H370">
            <v>46.447000000000003</v>
          </cell>
          <cell r="I370">
            <v>0</v>
          </cell>
          <cell r="J370">
            <v>29.021999999999998</v>
          </cell>
          <cell r="K370">
            <v>64.227000000000004</v>
          </cell>
          <cell r="L370">
            <v>85.405000000000001</v>
          </cell>
          <cell r="M370" t="str">
            <v/>
          </cell>
          <cell r="HX370" t="str">
            <v>mstag:incomeTaxPayable</v>
          </cell>
          <cell r="HY370">
            <v>6</v>
          </cell>
          <cell r="HZ370" t="str">
            <v>ISO4217:USD</v>
          </cell>
          <cell r="IA370" t="b">
            <v>0</v>
          </cell>
          <cell r="IB370" t="b">
            <v>0</v>
          </cell>
        </row>
        <row r="371">
          <cell r="E371" t="str">
            <v>Income tax payable, operating</v>
          </cell>
          <cell r="G371">
            <v>40.292999999999999</v>
          </cell>
          <cell r="H371">
            <v>46.447000000000003</v>
          </cell>
          <cell r="I371">
            <v>0</v>
          </cell>
          <cell r="J371">
            <v>29.021999999999998</v>
          </cell>
          <cell r="K371">
            <v>64.227000000000004</v>
          </cell>
          <cell r="L371">
            <v>85.405000000000001</v>
          </cell>
          <cell r="HX371" t="str">
            <v>mstag:incomeTaxPayableOperating</v>
          </cell>
          <cell r="HY371">
            <v>6</v>
          </cell>
          <cell r="HZ371" t="str">
            <v>ISO4217:USD</v>
          </cell>
          <cell r="IA371" t="b">
            <v>0</v>
          </cell>
          <cell r="IB371" t="b">
            <v>0</v>
          </cell>
        </row>
        <row r="372">
          <cell r="E372" t="str">
            <v>Income tax payable, financing</v>
          </cell>
          <cell r="HX372" t="str">
            <v>mstag:incomeTaxPayableFinancing</v>
          </cell>
          <cell r="HY372">
            <v>6</v>
          </cell>
          <cell r="HZ372" t="str">
            <v>ISO4217:USD</v>
          </cell>
          <cell r="IA372" t="b">
            <v>0</v>
          </cell>
          <cell r="IB372" t="b">
            <v>0</v>
          </cell>
        </row>
        <row r="373">
          <cell r="E373" t="str">
            <v>Income tax payable, other</v>
          </cell>
          <cell r="HX373" t="str">
            <v>mstag:incomeTaxPayableOther</v>
          </cell>
          <cell r="HY373">
            <v>6</v>
          </cell>
          <cell r="HZ373" t="str">
            <v>ISO4217:USD</v>
          </cell>
          <cell r="IA373" t="b">
            <v>0</v>
          </cell>
          <cell r="IB373" t="b">
            <v>0</v>
          </cell>
        </row>
        <row r="374">
          <cell r="D374" t="str">
            <v>Accrued expenses</v>
          </cell>
          <cell r="G374">
            <v>129.167</v>
          </cell>
          <cell r="H374">
            <v>115.401</v>
          </cell>
          <cell r="I374">
            <v>346.31399999999996</v>
          </cell>
          <cell r="J374">
            <v>258.94800000000004</v>
          </cell>
          <cell r="K374">
            <v>274.63800000000003</v>
          </cell>
          <cell r="L374">
            <v>366.18299999999999</v>
          </cell>
          <cell r="M374">
            <v>765.85</v>
          </cell>
          <cell r="HX374" t="str">
            <v>mstag:accruedExpenses</v>
          </cell>
          <cell r="HY374">
            <v>6</v>
          </cell>
          <cell r="HZ374" t="str">
            <v>ISO4217:USD</v>
          </cell>
          <cell r="IA374" t="b">
            <v>0</v>
          </cell>
          <cell r="IB374" t="b">
            <v>0</v>
          </cell>
        </row>
        <row r="375">
          <cell r="E375" t="str">
            <v>Payroll and benefits-related liabilities</v>
          </cell>
          <cell r="G375">
            <v>44.624000000000002</v>
          </cell>
          <cell r="H375">
            <v>47.057000000000002</v>
          </cell>
          <cell r="I375">
            <v>52.005000000000003</v>
          </cell>
          <cell r="J375">
            <v>56.027999999999999</v>
          </cell>
          <cell r="K375">
            <v>63.103000000000002</v>
          </cell>
          <cell r="L375">
            <v>77.238</v>
          </cell>
          <cell r="HX375" t="str">
            <v>mstag:payrollAndBenefitsRelatedLiabilities</v>
          </cell>
          <cell r="HY375">
            <v>6</v>
          </cell>
          <cell r="HZ375" t="str">
            <v>ISO4217:USD</v>
          </cell>
          <cell r="IA375" t="b">
            <v>0</v>
          </cell>
          <cell r="IB375" t="b">
            <v>0</v>
          </cell>
        </row>
        <row r="376">
          <cell r="E376" t="str">
            <v>Accrued taxes, other than income tax</v>
          </cell>
          <cell r="HX376" t="str">
            <v>mstag:accruedTaxesOtherThanIncomeTax</v>
          </cell>
          <cell r="HY376">
            <v>6</v>
          </cell>
          <cell r="HZ376" t="str">
            <v>ISO4217:USD</v>
          </cell>
          <cell r="IA376" t="b">
            <v>0</v>
          </cell>
          <cell r="IB376" t="b">
            <v>0</v>
          </cell>
        </row>
        <row r="377">
          <cell r="E377" t="str">
            <v>Other accrued expenses</v>
          </cell>
          <cell r="G377">
            <v>84.543000000000006</v>
          </cell>
          <cell r="H377">
            <v>68.343999999999994</v>
          </cell>
          <cell r="I377">
            <v>294.30899999999997</v>
          </cell>
          <cell r="J377">
            <v>202.92000000000002</v>
          </cell>
          <cell r="K377">
            <v>211.53500000000003</v>
          </cell>
          <cell r="L377">
            <v>288.94499999999999</v>
          </cell>
          <cell r="HX377" t="str">
            <v>mstag:otherAccruedExpenses</v>
          </cell>
          <cell r="HY377">
            <v>6</v>
          </cell>
          <cell r="HZ377" t="str">
            <v>ISO4217:USD</v>
          </cell>
          <cell r="IA377" t="b">
            <v>0</v>
          </cell>
          <cell r="IB377" t="b">
            <v>0</v>
          </cell>
        </row>
        <row r="378">
          <cell r="D378" t="str">
            <v>Long-term debt, greater than 1 year</v>
          </cell>
          <cell r="G378">
            <v>150</v>
          </cell>
          <cell r="H378">
            <v>149.99</v>
          </cell>
          <cell r="I378">
            <v>149.708</v>
          </cell>
          <cell r="J378">
            <v>149.69200000000001</v>
          </cell>
          <cell r="K378">
            <v>0</v>
          </cell>
          <cell r="L378">
            <v>0</v>
          </cell>
          <cell r="M378">
            <v>412.25</v>
          </cell>
          <cell r="HX378" t="str">
            <v>mstag:longTermDebt</v>
          </cell>
          <cell r="HY378">
            <v>6</v>
          </cell>
          <cell r="HZ378" t="str">
            <v>ISO4217:USD</v>
          </cell>
          <cell r="IA378" t="b">
            <v>0</v>
          </cell>
          <cell r="IB378" t="b">
            <v>0</v>
          </cell>
        </row>
        <row r="379">
          <cell r="E379" t="str">
            <v>Senior debt</v>
          </cell>
          <cell r="HX379" t="str">
            <v>mstag:seniorDebtCi</v>
          </cell>
          <cell r="HY379">
            <v>6</v>
          </cell>
          <cell r="HZ379" t="str">
            <v>ISO4217:USD</v>
          </cell>
          <cell r="IA379" t="b">
            <v>0</v>
          </cell>
          <cell r="IB379" t="b">
            <v>0</v>
          </cell>
        </row>
        <row r="380">
          <cell r="E380" t="str">
            <v>Subordinated debt</v>
          </cell>
          <cell r="HX380" t="str">
            <v>mstag:subordinatedDebtBalSheetCi</v>
          </cell>
          <cell r="HY380">
            <v>6</v>
          </cell>
          <cell r="HZ380" t="str">
            <v>ISO4217:USD</v>
          </cell>
          <cell r="IA380" t="b">
            <v>0</v>
          </cell>
          <cell r="IB380" t="b">
            <v>0</v>
          </cell>
        </row>
        <row r="381">
          <cell r="E381" t="str">
            <v>Capital lease obligations</v>
          </cell>
          <cell r="HX381" t="str">
            <v>mstag:capitalLeaseObligationsCi</v>
          </cell>
          <cell r="HY381">
            <v>6</v>
          </cell>
          <cell r="HZ381" t="str">
            <v>ISO4217:USD</v>
          </cell>
          <cell r="IA381" t="b">
            <v>0</v>
          </cell>
          <cell r="IB381" t="b">
            <v>0</v>
          </cell>
        </row>
        <row r="382">
          <cell r="E382" t="str">
            <v>Other long-term debt</v>
          </cell>
          <cell r="G382">
            <v>150</v>
          </cell>
          <cell r="H382">
            <v>149.99</v>
          </cell>
          <cell r="I382">
            <v>149.708</v>
          </cell>
          <cell r="J382">
            <v>149.69200000000001</v>
          </cell>
          <cell r="K382">
            <v>0</v>
          </cell>
          <cell r="L382">
            <v>0</v>
          </cell>
          <cell r="HX382" t="str">
            <v>mstag:otherLongTermDebtCi</v>
          </cell>
          <cell r="HY382">
            <v>6</v>
          </cell>
          <cell r="HZ382" t="str">
            <v>ISO4217:USD</v>
          </cell>
          <cell r="IA382" t="b">
            <v>0</v>
          </cell>
          <cell r="IB382" t="b">
            <v>0</v>
          </cell>
        </row>
        <row r="383">
          <cell r="D383" t="str">
            <v>Provisions and reserves</v>
          </cell>
          <cell r="G383" t="str">
            <v/>
          </cell>
          <cell r="H383" t="str">
            <v/>
          </cell>
          <cell r="I383" t="str">
            <v/>
          </cell>
          <cell r="J383" t="str">
            <v/>
          </cell>
          <cell r="K383" t="str">
            <v/>
          </cell>
          <cell r="L383" t="str">
            <v/>
          </cell>
          <cell r="M383" t="str">
            <v/>
          </cell>
          <cell r="HX383" t="str">
            <v>mstag:provisionsAndReserves</v>
          </cell>
          <cell r="HY383">
            <v>6</v>
          </cell>
          <cell r="HZ383" t="str">
            <v>ISO4217:USD</v>
          </cell>
          <cell r="IA383" t="b">
            <v>0</v>
          </cell>
          <cell r="IB383" t="b">
            <v>0</v>
          </cell>
        </row>
        <row r="384">
          <cell r="E384" t="str">
            <v>Warranty provision</v>
          </cell>
          <cell r="HX384" t="str">
            <v>mstag:warrantyProvision</v>
          </cell>
          <cell r="HY384">
            <v>6</v>
          </cell>
          <cell r="HZ384" t="str">
            <v>ISO4217:USD</v>
          </cell>
          <cell r="IA384" t="b">
            <v>0</v>
          </cell>
          <cell r="IB384" t="b">
            <v>0</v>
          </cell>
        </row>
        <row r="385">
          <cell r="E385" t="str">
            <v>Restructuring provision</v>
          </cell>
          <cell r="HX385" t="str">
            <v>mstag:restructuringProvision</v>
          </cell>
          <cell r="HY385">
            <v>6</v>
          </cell>
          <cell r="HZ385" t="str">
            <v>ISO4217:USD</v>
          </cell>
          <cell r="IA385" t="b">
            <v>0</v>
          </cell>
          <cell r="IB385" t="b">
            <v>0</v>
          </cell>
        </row>
        <row r="386">
          <cell r="E386" t="str">
            <v>Legal proceedings provision</v>
          </cell>
          <cell r="HX386" t="str">
            <v>mstag:legalProceedingsProvision</v>
          </cell>
          <cell r="HY386">
            <v>6</v>
          </cell>
          <cell r="HZ386" t="str">
            <v>ISO4217:USD</v>
          </cell>
          <cell r="IA386" t="b">
            <v>0</v>
          </cell>
          <cell r="IB386" t="b">
            <v>0</v>
          </cell>
        </row>
        <row r="387">
          <cell r="E387" t="str">
            <v>Onerous contracts provision</v>
          </cell>
          <cell r="HX387" t="str">
            <v>mstag:onerousContractsProvision</v>
          </cell>
          <cell r="HY387">
            <v>6</v>
          </cell>
          <cell r="HZ387" t="str">
            <v>ISO4217:USD</v>
          </cell>
          <cell r="IA387" t="b">
            <v>0</v>
          </cell>
          <cell r="IB387" t="b">
            <v>0</v>
          </cell>
        </row>
        <row r="388">
          <cell r="E388" t="str">
            <v>Environmental liability</v>
          </cell>
          <cell r="HX388" t="str">
            <v>mstag:environmentalLiability</v>
          </cell>
          <cell r="HY388">
            <v>6</v>
          </cell>
          <cell r="HZ388" t="str">
            <v>ISO4217:USD</v>
          </cell>
          <cell r="IA388" t="b">
            <v>0</v>
          </cell>
          <cell r="IB388" t="b">
            <v>0</v>
          </cell>
        </row>
        <row r="389">
          <cell r="E389" t="str">
            <v>Asset retirement obligation</v>
          </cell>
          <cell r="HX389" t="str">
            <v>mstag:assetRetirementObligation</v>
          </cell>
          <cell r="HY389">
            <v>6</v>
          </cell>
          <cell r="HZ389" t="str">
            <v>ISO4217:USD</v>
          </cell>
          <cell r="IA389" t="b">
            <v>0</v>
          </cell>
          <cell r="IB389" t="b">
            <v>0</v>
          </cell>
        </row>
        <row r="390">
          <cell r="E390" t="str">
            <v>Other provisions</v>
          </cell>
          <cell r="HX390" t="str">
            <v>mstag:otherProvisions</v>
          </cell>
          <cell r="HY390">
            <v>6</v>
          </cell>
          <cell r="HZ390" t="str">
            <v>ISO4217:USD</v>
          </cell>
          <cell r="IA390" t="b">
            <v>0</v>
          </cell>
          <cell r="IB390" t="b">
            <v>0</v>
          </cell>
        </row>
        <row r="391">
          <cell r="D391" t="str">
            <v>Deferred tax liabilities</v>
          </cell>
          <cell r="G391">
            <v>0</v>
          </cell>
          <cell r="H391">
            <v>43.781999999999996</v>
          </cell>
          <cell r="I391">
            <v>626.46600000000001</v>
          </cell>
          <cell r="J391">
            <v>349.84800000000001</v>
          </cell>
          <cell r="K391">
            <v>447.80900000000003</v>
          </cell>
          <cell r="L391">
            <v>148.31399999999999</v>
          </cell>
          <cell r="M391">
            <v>26.055999999999997</v>
          </cell>
          <cell r="HX391" t="str">
            <v>mstag:deferredTaxLiabilities</v>
          </cell>
          <cell r="HY391">
            <v>6</v>
          </cell>
          <cell r="HZ391" t="str">
            <v>ISO4217:USD</v>
          </cell>
          <cell r="IA391" t="b">
            <v>0</v>
          </cell>
          <cell r="IB391" t="b">
            <v>0</v>
          </cell>
        </row>
        <row r="392">
          <cell r="E392" t="str">
            <v>Deferred tax liabilities, current</v>
          </cell>
          <cell r="HX392" t="str">
            <v>mstag:deferredTaxLiabilitiesCurrent</v>
          </cell>
          <cell r="HY392">
            <v>6</v>
          </cell>
          <cell r="HZ392" t="str">
            <v>ISO4217:USD</v>
          </cell>
          <cell r="IA392" t="b">
            <v>0</v>
          </cell>
          <cell r="IB392" t="b">
            <v>0</v>
          </cell>
        </row>
        <row r="393">
          <cell r="E393" t="str">
            <v>Deferred tax liabilities, noncurrent</v>
          </cell>
          <cell r="G393">
            <v>0</v>
          </cell>
          <cell r="H393">
            <v>43.781999999999996</v>
          </cell>
          <cell r="I393">
            <v>626.46600000000001</v>
          </cell>
          <cell r="J393">
            <v>349.84800000000001</v>
          </cell>
          <cell r="K393">
            <v>447.80900000000003</v>
          </cell>
          <cell r="L393">
            <v>148.31399999999999</v>
          </cell>
          <cell r="HX393" t="str">
            <v>mstag:deferredTaxLiabilitiesNonCurrent</v>
          </cell>
          <cell r="HY393">
            <v>6</v>
          </cell>
          <cell r="HZ393" t="str">
            <v>ISO4217:USD</v>
          </cell>
          <cell r="IA393" t="b">
            <v>0</v>
          </cell>
          <cell r="IB393" t="b">
            <v>0</v>
          </cell>
        </row>
        <row r="394">
          <cell r="D394" t="str">
            <v>Deferred revenue</v>
          </cell>
          <cell r="G394">
            <v>0</v>
          </cell>
          <cell r="H394">
            <v>0</v>
          </cell>
          <cell r="I394">
            <v>4.9719999999999995</v>
          </cell>
          <cell r="J394">
            <v>103.03299999999999</v>
          </cell>
          <cell r="K394">
            <v>87.575999999999993</v>
          </cell>
          <cell r="L394">
            <v>89.576999999999998</v>
          </cell>
          <cell r="M394">
            <v>328.68</v>
          </cell>
          <cell r="HX394" t="str">
            <v>mstag:deferredRevenue</v>
          </cell>
          <cell r="HY394">
            <v>6</v>
          </cell>
          <cell r="HZ394" t="str">
            <v>ISO4217:USD</v>
          </cell>
          <cell r="IA394" t="b">
            <v>0</v>
          </cell>
          <cell r="IB394" t="b">
            <v>0</v>
          </cell>
        </row>
        <row r="395">
          <cell r="E395" t="str">
            <v>Deferred revenue, current</v>
          </cell>
          <cell r="G395">
            <v>0</v>
          </cell>
          <cell r="H395">
            <v>0</v>
          </cell>
          <cell r="I395">
            <v>2</v>
          </cell>
          <cell r="J395">
            <v>15.433</v>
          </cell>
          <cell r="K395">
            <v>19.542999999999999</v>
          </cell>
          <cell r="L395">
            <v>20.044</v>
          </cell>
          <cell r="HX395" t="str">
            <v>mstag:deferredRevenueCurrent</v>
          </cell>
          <cell r="HY395">
            <v>6</v>
          </cell>
          <cell r="HZ395" t="str">
            <v>ISO4217:USD</v>
          </cell>
          <cell r="IA395" t="b">
            <v>0</v>
          </cell>
          <cell r="IB395" t="b">
            <v>0</v>
          </cell>
        </row>
        <row r="396">
          <cell r="E396" t="str">
            <v>Deferred revenue, noncurrent</v>
          </cell>
          <cell r="G396">
            <v>0</v>
          </cell>
          <cell r="H396">
            <v>0</v>
          </cell>
          <cell r="I396">
            <v>2.972</v>
          </cell>
          <cell r="J396">
            <v>87.6</v>
          </cell>
          <cell r="K396">
            <v>68.033000000000001</v>
          </cell>
          <cell r="L396">
            <v>69.533000000000001</v>
          </cell>
          <cell r="HX396" t="str">
            <v>mstag:deferredRevenueNonCurrent</v>
          </cell>
          <cell r="HY396">
            <v>6</v>
          </cell>
          <cell r="HZ396" t="str">
            <v>ISO4217:USD</v>
          </cell>
          <cell r="IA396" t="b">
            <v>0</v>
          </cell>
          <cell r="IB396" t="b">
            <v>0</v>
          </cell>
        </row>
        <row r="397">
          <cell r="D397" t="str">
            <v>Pension and other postretirement obligations</v>
          </cell>
          <cell r="HX397" t="str">
            <v>mstag:pensionAndOtherPostRetirementObligations</v>
          </cell>
          <cell r="HY397">
            <v>6</v>
          </cell>
          <cell r="HZ397" t="str">
            <v>ISO4217:USD</v>
          </cell>
          <cell r="IA397" t="b">
            <v>0</v>
          </cell>
          <cell r="IB397" t="b">
            <v>0</v>
          </cell>
        </row>
        <row r="398">
          <cell r="D398" t="str">
            <v>Deferred compensation</v>
          </cell>
          <cell r="HX398" t="str">
            <v>mstag:deferredCompensation</v>
          </cell>
          <cell r="HY398">
            <v>6</v>
          </cell>
          <cell r="HZ398" t="str">
            <v>ISO4217:USD</v>
          </cell>
          <cell r="IA398" t="b">
            <v>0</v>
          </cell>
          <cell r="IB398" t="b">
            <v>0</v>
          </cell>
        </row>
        <row r="399">
          <cell r="D399" t="str">
            <v>Other liabilities, operating</v>
          </cell>
          <cell r="G399">
            <v>107.93499999999999</v>
          </cell>
          <cell r="H399">
            <v>115.042</v>
          </cell>
          <cell r="I399">
            <v>104.34200000000001</v>
          </cell>
          <cell r="J399">
            <v>112.56399999999999</v>
          </cell>
          <cell r="K399">
            <v>169.78</v>
          </cell>
          <cell r="L399">
            <v>678.37599999999998</v>
          </cell>
          <cell r="M399" t="str">
            <v/>
          </cell>
          <cell r="HX399" t="str">
            <v>mstag:otherLiabilitiesOperating</v>
          </cell>
          <cell r="HY399">
            <v>6</v>
          </cell>
          <cell r="HZ399" t="str">
            <v>ISO4217:USD</v>
          </cell>
          <cell r="IA399" t="b">
            <v>0</v>
          </cell>
          <cell r="IB399" t="b">
            <v>0</v>
          </cell>
        </row>
        <row r="400">
          <cell r="E400" t="str">
            <v>Other liabilities, operating, current</v>
          </cell>
          <cell r="G400">
            <v>71.10499999999999</v>
          </cell>
          <cell r="H400">
            <v>88.584000000000003</v>
          </cell>
          <cell r="I400">
            <v>95.979000000000013</v>
          </cell>
          <cell r="J400">
            <v>110.77499999999999</v>
          </cell>
          <cell r="K400">
            <v>122.349</v>
          </cell>
          <cell r="L400">
            <v>123.648</v>
          </cell>
          <cell r="HX400" t="str">
            <v>mstag:otherLiabilitiesOperatingCurrent</v>
          </cell>
          <cell r="HY400">
            <v>6</v>
          </cell>
          <cell r="HZ400" t="str">
            <v>ISO4217:USD</v>
          </cell>
          <cell r="IA400" t="b">
            <v>0</v>
          </cell>
          <cell r="IB400" t="b">
            <v>0</v>
          </cell>
        </row>
        <row r="401">
          <cell r="E401" t="str">
            <v>Other liabilities, operating, noncurrent</v>
          </cell>
          <cell r="G401">
            <v>36.83</v>
          </cell>
          <cell r="H401">
            <v>26.457999999999998</v>
          </cell>
          <cell r="I401">
            <v>8.3629999999999995</v>
          </cell>
          <cell r="J401">
            <v>1.7889999999999999</v>
          </cell>
          <cell r="K401">
            <v>47.430999999999997</v>
          </cell>
          <cell r="L401">
            <v>554.72799999999995</v>
          </cell>
          <cell r="HX401" t="str">
            <v>mstag:otherLiabilitiesOperatingNonCurrent</v>
          </cell>
          <cell r="HY401">
            <v>6</v>
          </cell>
          <cell r="HZ401" t="str">
            <v>ISO4217:USD</v>
          </cell>
          <cell r="IA401" t="b">
            <v>0</v>
          </cell>
          <cell r="IB401" t="b">
            <v>0</v>
          </cell>
        </row>
        <row r="402">
          <cell r="D402" t="str">
            <v>Other liabilities, nonoperating</v>
          </cell>
          <cell r="G402">
            <v>0</v>
          </cell>
          <cell r="H402">
            <v>0</v>
          </cell>
          <cell r="I402">
            <v>0</v>
          </cell>
          <cell r="J402">
            <v>0</v>
          </cell>
          <cell r="K402">
            <v>0</v>
          </cell>
          <cell r="L402">
            <v>0</v>
          </cell>
          <cell r="M402">
            <v>623.29</v>
          </cell>
          <cell r="HX402" t="str">
            <v>mstag:otherLiabilitiesNonOperating</v>
          </cell>
          <cell r="HY402">
            <v>6</v>
          </cell>
          <cell r="HZ402" t="str">
            <v>ISO4217:USD</v>
          </cell>
          <cell r="IA402" t="b">
            <v>0</v>
          </cell>
          <cell r="IB402" t="b">
            <v>0</v>
          </cell>
        </row>
        <row r="403">
          <cell r="E403" t="str">
            <v>Other liabilities, nonoperating, current</v>
          </cell>
          <cell r="G403">
            <v>0</v>
          </cell>
          <cell r="H403">
            <v>0</v>
          </cell>
          <cell r="I403">
            <v>0</v>
          </cell>
          <cell r="J403">
            <v>0</v>
          </cell>
          <cell r="K403">
            <v>0</v>
          </cell>
          <cell r="L403">
            <v>0</v>
          </cell>
          <cell r="HX403" t="str">
            <v>mstag:otherLiabilitiesNonOperatingCurrent</v>
          </cell>
          <cell r="HY403">
            <v>6</v>
          </cell>
          <cell r="HZ403" t="str">
            <v>ISO4217:USD</v>
          </cell>
          <cell r="IA403" t="b">
            <v>0</v>
          </cell>
          <cell r="IB403" t="b">
            <v>0</v>
          </cell>
        </row>
        <row r="404">
          <cell r="E404" t="str">
            <v>Other liabilities, nonoperating, noncurrent</v>
          </cell>
          <cell r="HX404" t="str">
            <v>mstag:otherLiabilitiesNonOperatingNonCurrent</v>
          </cell>
          <cell r="HY404">
            <v>6</v>
          </cell>
          <cell r="HZ404" t="str">
            <v>ISO4217:USD</v>
          </cell>
          <cell r="IA404" t="b">
            <v>0</v>
          </cell>
          <cell r="IB404" t="b">
            <v>0</v>
          </cell>
        </row>
        <row r="405">
          <cell r="D405" t="str">
            <v>Liabilities of discontinued operations</v>
          </cell>
          <cell r="HX405" t="str">
            <v>mstag:liabilitiesOfDiscontinuedOperations</v>
          </cell>
          <cell r="HY405">
            <v>6</v>
          </cell>
          <cell r="HZ405" t="str">
            <v>ISO4217:USD</v>
          </cell>
          <cell r="IA405" t="b">
            <v>0</v>
          </cell>
          <cell r="IB405" t="b">
            <v>0</v>
          </cell>
        </row>
        <row r="406">
          <cell r="D406" t="str">
            <v>Minority interests in shareholders' equity</v>
          </cell>
          <cell r="HX406" t="str">
            <v>mstag:minorityInterestsInShareholdersEquity</v>
          </cell>
          <cell r="HY406">
            <v>6</v>
          </cell>
          <cell r="HZ406" t="str">
            <v>ISO4217:USD</v>
          </cell>
          <cell r="IA406" t="b">
            <v>0</v>
          </cell>
          <cell r="IB406" t="b">
            <v>0</v>
          </cell>
        </row>
        <row r="407">
          <cell r="D407" t="str">
            <v>Preferred equity</v>
          </cell>
          <cell r="HX407" t="str">
            <v>mstag:preferredEquity</v>
          </cell>
          <cell r="HY407">
            <v>6</v>
          </cell>
          <cell r="HZ407" t="str">
            <v>ISO4217:USD</v>
          </cell>
          <cell r="IA407" t="b">
            <v>0</v>
          </cell>
          <cell r="IB407" t="b">
            <v>0</v>
          </cell>
        </row>
        <row r="408">
          <cell r="D408" t="str">
            <v>Common equity</v>
          </cell>
          <cell r="F408">
            <v>1801.059</v>
          </cell>
          <cell r="G408">
            <v>2031.2250000000001</v>
          </cell>
          <cell r="H408">
            <v>2343.8449999999998</v>
          </cell>
          <cell r="I408">
            <v>5269.8569999999991</v>
          </cell>
          <cell r="J408">
            <v>5674.2030000000004</v>
          </cell>
          <cell r="K408">
            <v>5919.8189999999995</v>
          </cell>
          <cell r="L408">
            <v>5338.884</v>
          </cell>
          <cell r="M408">
            <v>6520.1896436999996</v>
          </cell>
          <cell r="HX408" t="str">
            <v>mstag:commonEquity</v>
          </cell>
          <cell r="HY408">
            <v>6</v>
          </cell>
          <cell r="HZ408" t="str">
            <v>ISO4217:USD</v>
          </cell>
          <cell r="IA408" t="b">
            <v>0</v>
          </cell>
          <cell r="IB408" t="b">
            <v>0</v>
          </cell>
        </row>
        <row r="409">
          <cell r="E409" t="str">
            <v>Total share capital</v>
          </cell>
          <cell r="G409">
            <v>1466.252</v>
          </cell>
          <cell r="H409">
            <v>1591.5319999999999</v>
          </cell>
          <cell r="I409">
            <v>6255.4699999999993</v>
          </cell>
          <cell r="J409">
            <v>6661.9380000000001</v>
          </cell>
          <cell r="K409">
            <v>6805.3969999999999</v>
          </cell>
          <cell r="L409">
            <v>6660.6080000000002</v>
          </cell>
          <cell r="M409">
            <v>7380.7550000000001</v>
          </cell>
          <cell r="HX409" t="str">
            <v>mstag:totalShareCapital</v>
          </cell>
          <cell r="HY409">
            <v>6</v>
          </cell>
          <cell r="HZ409" t="str">
            <v>ISO4217:USD</v>
          </cell>
          <cell r="IA409" t="b">
            <v>0</v>
          </cell>
          <cell r="IB409" t="b">
            <v>0</v>
          </cell>
        </row>
        <row r="410">
          <cell r="F410" t="str">
            <v>Common stock</v>
          </cell>
          <cell r="G410">
            <v>2.484</v>
          </cell>
          <cell r="H410">
            <v>2.5419999999999998</v>
          </cell>
          <cell r="I410">
            <v>10.324</v>
          </cell>
          <cell r="J410">
            <v>10.51</v>
          </cell>
          <cell r="K410">
            <v>10.566000000000001</v>
          </cell>
          <cell r="L410">
            <v>10.256</v>
          </cell>
          <cell r="M410">
            <v>10.494999999999999</v>
          </cell>
          <cell r="HX410" t="str">
            <v>mstag:commonStock</v>
          </cell>
          <cell r="HY410">
            <v>6</v>
          </cell>
          <cell r="HZ410" t="str">
            <v>ISO4217:USD</v>
          </cell>
          <cell r="IA410" t="b">
            <v>0</v>
          </cell>
          <cell r="IB410" t="b">
            <v>0</v>
          </cell>
        </row>
        <row r="411">
          <cell r="F411" t="str">
            <v>Additional paid in capital</v>
          </cell>
          <cell r="G411">
            <v>1463.768</v>
          </cell>
          <cell r="H411">
            <v>1588.99</v>
          </cell>
          <cell r="I411">
            <v>6245.1459999999997</v>
          </cell>
          <cell r="J411">
            <v>6651.4279999999999</v>
          </cell>
          <cell r="K411">
            <v>6794.8310000000001</v>
          </cell>
          <cell r="L411">
            <v>6650.3519999999999</v>
          </cell>
          <cell r="M411">
            <v>7370.26</v>
          </cell>
          <cell r="HX411" t="str">
            <v>mstag:additionalPaidInCapital</v>
          </cell>
          <cell r="HY411">
            <v>6</v>
          </cell>
          <cell r="HZ411" t="str">
            <v>ISO4217:USD</v>
          </cell>
          <cell r="IA411" t="b">
            <v>0</v>
          </cell>
          <cell r="IB411" t="b">
            <v>0</v>
          </cell>
        </row>
        <row r="412">
          <cell r="E412" t="str">
            <v>Retained earnings</v>
          </cell>
          <cell r="G412">
            <v>511.14100000000002</v>
          </cell>
          <cell r="H412">
            <v>693.05</v>
          </cell>
          <cell r="I412">
            <v>-1245.1120000000001</v>
          </cell>
          <cell r="J412">
            <v>-1319.3530000000001</v>
          </cell>
          <cell r="K412">
            <v>-1197.3</v>
          </cell>
          <cell r="L412">
            <v>-1590.366</v>
          </cell>
          <cell r="M412">
            <v>-1157.4679999999998</v>
          </cell>
          <cell r="HX412" t="str">
            <v>mstag:retainedEarnings</v>
          </cell>
          <cell r="HY412">
            <v>6</v>
          </cell>
          <cell r="HZ412" t="str">
            <v>ISO4217:USD</v>
          </cell>
          <cell r="IA412" t="b">
            <v>0</v>
          </cell>
          <cell r="IB412" t="b">
            <v>0</v>
          </cell>
        </row>
        <row r="413">
          <cell r="E413" t="str">
            <v>Accumulated other comprehensive income (loss) and reserves</v>
          </cell>
          <cell r="G413">
            <v>53.832000000000001</v>
          </cell>
          <cell r="H413">
            <v>59.262999999999998</v>
          </cell>
          <cell r="I413">
            <v>259.49900000000002</v>
          </cell>
          <cell r="J413">
            <v>331.61800000000005</v>
          </cell>
          <cell r="K413">
            <v>311.72199999999998</v>
          </cell>
          <cell r="L413">
            <v>268.642</v>
          </cell>
          <cell r="M413">
            <v>296.9026437</v>
          </cell>
          <cell r="HX413" t="str">
            <v>mstag:accumulatedOtherComprehensiveIncomeLossAndReserves</v>
          </cell>
          <cell r="HY413">
            <v>6</v>
          </cell>
          <cell r="HZ413" t="str">
            <v>ISO4217:USD</v>
          </cell>
          <cell r="IA413" t="b">
            <v>0</v>
          </cell>
          <cell r="IB413" t="b">
            <v>0</v>
          </cell>
        </row>
        <row r="414">
          <cell r="F414" t="str">
            <v>Cumulative translation adjustment</v>
          </cell>
          <cell r="HX414" t="str">
            <v>mstag:cumulativeTranslationAdjustment</v>
          </cell>
          <cell r="HY414">
            <v>6</v>
          </cell>
          <cell r="HZ414" t="str">
            <v>ISO4217:USD</v>
          </cell>
          <cell r="IA414" t="b">
            <v>0</v>
          </cell>
          <cell r="IB414" t="b">
            <v>0</v>
          </cell>
        </row>
        <row r="415">
          <cell r="F415" t="str">
            <v>Unrealized gains and losses on securities and other financial instruments</v>
          </cell>
          <cell r="G415">
            <v>53.832000000000001</v>
          </cell>
          <cell r="H415">
            <v>59.262999999999998</v>
          </cell>
          <cell r="I415">
            <v>259.49900000000002</v>
          </cell>
          <cell r="J415">
            <v>72.119</v>
          </cell>
          <cell r="K415">
            <v>303.89999999999998</v>
          </cell>
          <cell r="L415">
            <v>265.10000000000002</v>
          </cell>
          <cell r="HX415" t="str">
            <v>mstag:unrealizedGainsAndLossesOnSecuritiesAndOtherFinancialInstruments</v>
          </cell>
          <cell r="HY415">
            <v>6</v>
          </cell>
          <cell r="HZ415" t="str">
            <v>ISO4217:USD</v>
          </cell>
          <cell r="IA415" t="b">
            <v>0</v>
          </cell>
          <cell r="IB415" t="b">
            <v>0</v>
          </cell>
        </row>
        <row r="416">
          <cell r="F416" t="str">
            <v>Minimum pension liability</v>
          </cell>
          <cell r="HX416" t="str">
            <v>mstag:minimumPensionLiability</v>
          </cell>
          <cell r="HY416">
            <v>6</v>
          </cell>
          <cell r="HZ416" t="str">
            <v>ISO4217:USD</v>
          </cell>
          <cell r="IA416" t="b">
            <v>0</v>
          </cell>
          <cell r="IB416" t="b">
            <v>0</v>
          </cell>
        </row>
        <row r="417">
          <cell r="F417" t="str">
            <v>Cash flow hedges</v>
          </cell>
          <cell r="G417">
            <v>0</v>
          </cell>
          <cell r="H417">
            <v>0</v>
          </cell>
          <cell r="I417">
            <v>0</v>
          </cell>
          <cell r="J417">
            <v>0</v>
          </cell>
          <cell r="K417">
            <v>7.8220000000000001</v>
          </cell>
          <cell r="L417">
            <v>3.5419999999999998</v>
          </cell>
          <cell r="HX417" t="str">
            <v>mstag:cashFlowHedges</v>
          </cell>
          <cell r="HY417">
            <v>6</v>
          </cell>
          <cell r="HZ417" t="str">
            <v>ISO4217:USD</v>
          </cell>
          <cell r="IA417" t="b">
            <v>0</v>
          </cell>
          <cell r="IB417" t="b">
            <v>0</v>
          </cell>
        </row>
        <row r="418">
          <cell r="F418" t="str">
            <v>Other accumulated OCI and reserves</v>
          </cell>
          <cell r="G418">
            <v>0</v>
          </cell>
          <cell r="H418">
            <v>0</v>
          </cell>
          <cell r="I418">
            <v>0</v>
          </cell>
          <cell r="J418">
            <v>259.49900000000002</v>
          </cell>
          <cell r="K418">
            <v>0</v>
          </cell>
          <cell r="L418">
            <v>0</v>
          </cell>
          <cell r="HX418" t="str">
            <v>mstag:otherAccumulatedOciAndReserves</v>
          </cell>
          <cell r="HY418">
            <v>6</v>
          </cell>
          <cell r="HZ418" t="str">
            <v>ISO4217:USD</v>
          </cell>
          <cell r="IA418" t="b">
            <v>0</v>
          </cell>
          <cell r="IB418" t="b">
            <v>0</v>
          </cell>
        </row>
        <row r="419">
          <cell r="F419" t="str">
            <v>Revaluation reserves</v>
          </cell>
          <cell r="HX419" t="str">
            <v>mstag:revaluationReserves</v>
          </cell>
          <cell r="HY419">
            <v>6</v>
          </cell>
          <cell r="HZ419" t="str">
            <v>ISO4217:USD</v>
          </cell>
          <cell r="IA419" t="b">
            <v>0</v>
          </cell>
          <cell r="IB419" t="b">
            <v>0</v>
          </cell>
        </row>
        <row r="420">
          <cell r="F420" t="str">
            <v>Unearned compensation reserve</v>
          </cell>
          <cell r="HX420" t="str">
            <v>mstag:unearnedCompensationReserve</v>
          </cell>
          <cell r="HY420">
            <v>6</v>
          </cell>
          <cell r="HZ420" t="str">
            <v>ISO4217:USD</v>
          </cell>
          <cell r="IA420" t="b">
            <v>0</v>
          </cell>
          <cell r="IB420" t="b">
            <v>0</v>
          </cell>
        </row>
        <row r="421">
          <cell r="E421" t="str">
            <v>Treasury stock and investment in own shares</v>
          </cell>
          <cell r="HX421" t="str">
            <v>mstag:treasuryStockAndInvestmentInOwnShares</v>
          </cell>
          <cell r="HY421">
            <v>6</v>
          </cell>
          <cell r="HZ421" t="str">
            <v>ISO4217:USD</v>
          </cell>
          <cell r="IA421" t="b">
            <v>0</v>
          </cell>
          <cell r="IB421" t="b">
            <v>0</v>
          </cell>
        </row>
        <row r="422">
          <cell r="E422" t="str">
            <v>Warrants and rights outstanding, equity</v>
          </cell>
          <cell r="HX422" t="str">
            <v>mstag:warrantsAndRightsOutstandingEquity</v>
          </cell>
          <cell r="HY422">
            <v>6</v>
          </cell>
          <cell r="HZ422" t="str">
            <v>ISO4217:USD</v>
          </cell>
          <cell r="IA422" t="b">
            <v>0</v>
          </cell>
          <cell r="IB422" t="b">
            <v>0</v>
          </cell>
        </row>
        <row r="423">
          <cell r="E423" t="str">
            <v>Other equity items</v>
          </cell>
          <cell r="HX423" t="str">
            <v>mstag:otherEquityItems</v>
          </cell>
          <cell r="HY423">
            <v>6</v>
          </cell>
          <cell r="HZ423" t="str">
            <v>ISO4217:USD</v>
          </cell>
          <cell r="IA423" t="b">
            <v>0</v>
          </cell>
          <cell r="IB423" t="b">
            <v>0</v>
          </cell>
        </row>
        <row r="424">
          <cell r="B424" t="str">
            <v>Cash flow</v>
          </cell>
          <cell r="HY424">
            <v>0</v>
          </cell>
          <cell r="HZ424" t="str">
            <v>ms_eqr_gcim_String:ms_eqr_gcim_string</v>
          </cell>
          <cell r="IA424" t="b">
            <v>0</v>
          </cell>
          <cell r="IB424" t="b">
            <v>0</v>
          </cell>
        </row>
        <row r="425">
          <cell r="C425" t="str">
            <v>Net income, reported, cash flow statement</v>
          </cell>
          <cell r="G425">
            <v>129.04400000000001</v>
          </cell>
          <cell r="H425">
            <v>181.90899999999999</v>
          </cell>
          <cell r="I425">
            <v>-1157.4760000000001</v>
          </cell>
          <cell r="J425">
            <v>-74.241</v>
          </cell>
          <cell r="K425">
            <v>150.23599999999999</v>
          </cell>
          <cell r="L425">
            <v>63.786999999999999</v>
          </cell>
          <cell r="M425">
            <v>562.45584265857804</v>
          </cell>
          <cell r="HX425" t="str">
            <v>mstag:netIncomeReported</v>
          </cell>
          <cell r="HY425">
            <v>6</v>
          </cell>
          <cell r="HZ425" t="str">
            <v>ISO4217:USD</v>
          </cell>
          <cell r="IA425" t="b">
            <v>0</v>
          </cell>
          <cell r="IB425" t="b">
            <v>0</v>
          </cell>
        </row>
        <row r="426">
          <cell r="C426" t="str">
            <v>Depreciation, cash flow statement</v>
          </cell>
          <cell r="G426">
            <v>65.533000000000001</v>
          </cell>
          <cell r="H426">
            <v>78.100999999999999</v>
          </cell>
          <cell r="I426">
            <v>90.282000000000011</v>
          </cell>
          <cell r="J426">
            <v>88.80400000000003</v>
          </cell>
          <cell r="K426">
            <v>96.290999999999997</v>
          </cell>
          <cell r="L426">
            <v>104.55499999999998</v>
          </cell>
          <cell r="M426">
            <v>125</v>
          </cell>
          <cell r="HX426" t="str">
            <v>mstag:depreciation</v>
          </cell>
          <cell r="HY426">
            <v>6</v>
          </cell>
          <cell r="HZ426" t="str">
            <v>ISO4217:USD</v>
          </cell>
          <cell r="IA426" t="b">
            <v>0</v>
          </cell>
          <cell r="IB426" t="b">
            <v>0</v>
          </cell>
        </row>
        <row r="427">
          <cell r="C427" t="str">
            <v>Amortization of goodwill, cash flow statement</v>
          </cell>
          <cell r="G427">
            <v>0</v>
          </cell>
          <cell r="H427">
            <v>0</v>
          </cell>
          <cell r="I427">
            <v>76.599999999999994</v>
          </cell>
          <cell r="J427">
            <v>211</v>
          </cell>
          <cell r="K427">
            <v>153.30000000000001</v>
          </cell>
          <cell r="L427">
            <v>0</v>
          </cell>
          <cell r="HX427" t="str">
            <v>mstag:amortizationOfGoodwillCashFlowStatement</v>
          </cell>
          <cell r="HY427">
            <v>6</v>
          </cell>
          <cell r="HZ427" t="str">
            <v>ISO4217:USD</v>
          </cell>
          <cell r="IA427" t="b">
            <v>0</v>
          </cell>
          <cell r="IB427" t="b">
            <v>0</v>
          </cell>
        </row>
        <row r="428">
          <cell r="C428" t="str">
            <v>Amortization of intangibles assumed to have indefinite life, cash flow statement</v>
          </cell>
          <cell r="G428">
            <v>0</v>
          </cell>
          <cell r="H428">
            <v>0</v>
          </cell>
          <cell r="I428">
            <v>113.8</v>
          </cell>
          <cell r="J428">
            <v>158</v>
          </cell>
          <cell r="K428">
            <v>169.8</v>
          </cell>
          <cell r="L428">
            <v>162.19999999999999</v>
          </cell>
          <cell r="M428">
            <v>170.4</v>
          </cell>
          <cell r="HX428" t="str">
            <v>mstag:amortizationOfIntangiblesAssumedToHaveIndefiniteLife</v>
          </cell>
          <cell r="HY428">
            <v>6</v>
          </cell>
          <cell r="HZ428" t="str">
            <v>ISO4217:USD</v>
          </cell>
          <cell r="IA428" t="b">
            <v>0</v>
          </cell>
          <cell r="IB428" t="b">
            <v>0</v>
          </cell>
        </row>
        <row r="429">
          <cell r="C429" t="str">
            <v>Amortization of other intangibles, cash flow statement</v>
          </cell>
          <cell r="G429">
            <v>0</v>
          </cell>
          <cell r="H429">
            <v>0</v>
          </cell>
          <cell r="I429">
            <v>0</v>
          </cell>
          <cell r="J429">
            <v>5.2</v>
          </cell>
          <cell r="K429">
            <v>8.6999999999999993</v>
          </cell>
          <cell r="L429">
            <v>8.1999999999999993</v>
          </cell>
          <cell r="M429" t="str">
            <v/>
          </cell>
          <cell r="HX429" t="str">
            <v>mstag:amortizationOfOtherIntangibles</v>
          </cell>
          <cell r="HY429">
            <v>6</v>
          </cell>
          <cell r="HZ429" t="str">
            <v>ISO4217:USD</v>
          </cell>
          <cell r="IA429" t="b">
            <v>0</v>
          </cell>
          <cell r="IB429" t="b">
            <v>0</v>
          </cell>
        </row>
        <row r="430">
          <cell r="D430" t="str">
            <v>Amortization of taxable other intangibles, cash flow statement</v>
          </cell>
          <cell r="HX430" t="str">
            <v>mstag:amortizationOfTaxableOtherIntangiblesCashFlowStatement</v>
          </cell>
          <cell r="HY430">
            <v>6</v>
          </cell>
          <cell r="HZ430" t="str">
            <v>ISO4217:USD</v>
          </cell>
          <cell r="IA430" t="b">
            <v>0</v>
          </cell>
          <cell r="IB430" t="b">
            <v>0</v>
          </cell>
        </row>
        <row r="431">
          <cell r="D431" t="str">
            <v>Amortization of nontaxable other intangibles, cash flow statement</v>
          </cell>
          <cell r="HX431" t="str">
            <v>mstag:amortizationOfNonTaxableOtherIntangiblesCashFlowStatement</v>
          </cell>
          <cell r="HY431">
            <v>6</v>
          </cell>
          <cell r="HZ431" t="str">
            <v>ISO4217:USD</v>
          </cell>
          <cell r="IA431" t="b">
            <v>0</v>
          </cell>
          <cell r="IB431" t="b">
            <v>0</v>
          </cell>
        </row>
        <row r="432">
          <cell r="C432" t="str">
            <v>Restructuring costs, recurring, cash flow statement</v>
          </cell>
          <cell r="HX432" t="str">
            <v>mstag:restructuringCostsRecurringCashFlowStatement</v>
          </cell>
          <cell r="HY432">
            <v>6</v>
          </cell>
          <cell r="HZ432" t="str">
            <v>ISO4217:USD</v>
          </cell>
          <cell r="IA432" t="b">
            <v>0</v>
          </cell>
          <cell r="IB432" t="b">
            <v>0</v>
          </cell>
        </row>
        <row r="433">
          <cell r="C433" t="str">
            <v>Restructuring costs, one time, cash flow statement</v>
          </cell>
          <cell r="HX433" t="str">
            <v>mstag:restructuringCostsOneTimeCashFlowStatement</v>
          </cell>
          <cell r="HY433">
            <v>6</v>
          </cell>
          <cell r="HZ433" t="str">
            <v>ISO4217:USD</v>
          </cell>
          <cell r="IA433" t="b">
            <v>0</v>
          </cell>
          <cell r="IB433" t="b">
            <v>0</v>
          </cell>
        </row>
        <row r="434">
          <cell r="C434" t="str">
            <v>Legal provision, recurring, cash flow statement</v>
          </cell>
          <cell r="HX434" t="str">
            <v>mstag:legalProvisionRecurringCashFlowStatement</v>
          </cell>
          <cell r="HY434">
            <v>6</v>
          </cell>
          <cell r="HZ434" t="str">
            <v>ISO4217:USD</v>
          </cell>
          <cell r="IA434" t="b">
            <v>0</v>
          </cell>
          <cell r="IB434" t="b">
            <v>0</v>
          </cell>
        </row>
        <row r="435">
          <cell r="C435" t="str">
            <v>Legal provision, one time, cash flow statement</v>
          </cell>
          <cell r="HX435" t="str">
            <v>mstag:legalProvisionOneTimeCashFlowStatement</v>
          </cell>
          <cell r="HY435">
            <v>6</v>
          </cell>
          <cell r="HZ435" t="str">
            <v>ISO4217:USD</v>
          </cell>
          <cell r="IA435" t="b">
            <v>0</v>
          </cell>
          <cell r="IB435" t="b">
            <v>0</v>
          </cell>
        </row>
        <row r="436">
          <cell r="C436" t="str">
            <v>Environmental provision, recurring, cash flow statement</v>
          </cell>
          <cell r="HX436" t="str">
            <v>mstag:environmentalProvisionRecurringCashFlowStatement</v>
          </cell>
          <cell r="HY436">
            <v>6</v>
          </cell>
          <cell r="HZ436" t="str">
            <v>ISO4217:USD</v>
          </cell>
          <cell r="IA436" t="b">
            <v>0</v>
          </cell>
          <cell r="IB436" t="b">
            <v>0</v>
          </cell>
        </row>
        <row r="437">
          <cell r="C437" t="str">
            <v>Environmental provision, one time, cash flow statement</v>
          </cell>
          <cell r="HX437" t="str">
            <v>mstag:environmentalProvisionOneTimeCashFlowStatement</v>
          </cell>
          <cell r="HY437">
            <v>6</v>
          </cell>
          <cell r="HZ437" t="str">
            <v>ISO4217:USD</v>
          </cell>
          <cell r="IA437" t="b">
            <v>0</v>
          </cell>
          <cell r="IB437" t="b">
            <v>0</v>
          </cell>
        </row>
        <row r="438">
          <cell r="C438" t="str">
            <v>Other provisions, recurring, cash flow statement</v>
          </cell>
          <cell r="HX438" t="str">
            <v>mstag:otherProvisionsRecurringCashFlowStatement</v>
          </cell>
          <cell r="HY438">
            <v>6</v>
          </cell>
          <cell r="HZ438" t="str">
            <v>ISO4217:USD</v>
          </cell>
          <cell r="IA438" t="b">
            <v>0</v>
          </cell>
          <cell r="IB438" t="b">
            <v>0</v>
          </cell>
        </row>
        <row r="439">
          <cell r="C439" t="str">
            <v>Other provisions, one time, cash flow statement</v>
          </cell>
          <cell r="HX439" t="str">
            <v>mstag:otherProvisionsOneTimeCashFlowStatement</v>
          </cell>
          <cell r="HY439">
            <v>6</v>
          </cell>
          <cell r="HZ439" t="str">
            <v>ISO4217:USD</v>
          </cell>
          <cell r="IA439" t="b">
            <v>0</v>
          </cell>
          <cell r="IB439" t="b">
            <v>0</v>
          </cell>
        </row>
        <row r="440">
          <cell r="C440" t="str">
            <v>Goodwill impairment, cash flow statement</v>
          </cell>
          <cell r="HX440" t="str">
            <v>mstag:goodwillImpairmentCashFlowStatement</v>
          </cell>
          <cell r="HY440">
            <v>6</v>
          </cell>
          <cell r="HZ440" t="str">
            <v>ISO4217:USD</v>
          </cell>
          <cell r="IA440" t="b">
            <v>0</v>
          </cell>
          <cell r="IB440" t="b">
            <v>0</v>
          </cell>
        </row>
        <row r="441">
          <cell r="C441" t="str">
            <v>Indefinite life intangible impairment, cash flow statement</v>
          </cell>
          <cell r="HX441" t="str">
            <v>mstag:indefiniteLifeIntangibleImpairmentCashFlowStatement</v>
          </cell>
          <cell r="HY441">
            <v>6</v>
          </cell>
          <cell r="HZ441" t="str">
            <v>ISO4217:USD</v>
          </cell>
          <cell r="IA441" t="b">
            <v>0</v>
          </cell>
          <cell r="IB441" t="b">
            <v>0</v>
          </cell>
        </row>
        <row r="442">
          <cell r="C442" t="str">
            <v>Asset impairment, nongoodwill, one time, cash flow statement</v>
          </cell>
          <cell r="G442">
            <v>0</v>
          </cell>
          <cell r="H442">
            <v>0</v>
          </cell>
          <cell r="I442">
            <v>0</v>
          </cell>
          <cell r="J442">
            <v>0</v>
          </cell>
          <cell r="K442">
            <v>0</v>
          </cell>
          <cell r="L442">
            <v>0</v>
          </cell>
          <cell r="M442">
            <v>3.8</v>
          </cell>
          <cell r="HX442" t="str">
            <v>mstag:assetImpairmentNonGoodwillOneTime</v>
          </cell>
          <cell r="HY442">
            <v>6</v>
          </cell>
          <cell r="HZ442" t="str">
            <v>ISO4217:USD</v>
          </cell>
          <cell r="IA442" t="b">
            <v>0</v>
          </cell>
          <cell r="IB442" t="b">
            <v>0</v>
          </cell>
        </row>
        <row r="443">
          <cell r="C443" t="str">
            <v>Gains (losses) from sale of PPE and intangibles, recurring, cash flow statement</v>
          </cell>
          <cell r="G443">
            <v>-0.318</v>
          </cell>
          <cell r="H443">
            <v>-1.0149999999999999</v>
          </cell>
          <cell r="I443">
            <v>-0.88600000000000001</v>
          </cell>
          <cell r="J443">
            <v>-1.123</v>
          </cell>
          <cell r="K443">
            <v>-4.2110000000000003</v>
          </cell>
          <cell r="L443">
            <v>-15.882999999999999</v>
          </cell>
          <cell r="M443">
            <v>-10.76</v>
          </cell>
          <cell r="HX443" t="str">
            <v>mstag:gainsLossesFromSaleOfOperatingAssetsRecurring</v>
          </cell>
          <cell r="HY443">
            <v>6</v>
          </cell>
          <cell r="HZ443" t="str">
            <v>ISO4217:USD</v>
          </cell>
          <cell r="IA443" t="b">
            <v>0</v>
          </cell>
          <cell r="IB443" t="b">
            <v>0</v>
          </cell>
        </row>
        <row r="444">
          <cell r="C444" t="str">
            <v>Gains (losses) from sale of PPE and intangibles, one time, cash flow statement</v>
          </cell>
          <cell r="G444">
            <v>0</v>
          </cell>
          <cell r="H444">
            <v>0</v>
          </cell>
          <cell r="I444">
            <v>0</v>
          </cell>
          <cell r="J444">
            <v>0</v>
          </cell>
          <cell r="K444">
            <v>0</v>
          </cell>
          <cell r="L444">
            <v>0</v>
          </cell>
          <cell r="M444">
            <v>20</v>
          </cell>
          <cell r="HX444" t="str">
            <v>mstag:gainsLossesFromSaleOfOperatingAssetsOneTime</v>
          </cell>
          <cell r="HY444">
            <v>6</v>
          </cell>
          <cell r="HZ444" t="str">
            <v>ISO4217:USD</v>
          </cell>
          <cell r="IA444" t="b">
            <v>0</v>
          </cell>
          <cell r="IB444" t="b">
            <v>0</v>
          </cell>
        </row>
        <row r="445">
          <cell r="C445" t="str">
            <v>Bonus paid to directors and corporate auditors (Japan)</v>
          </cell>
          <cell r="HX445" t="str">
            <v>mstag:bonusPaidToDirectorsAndCorporateAuditorsJapan</v>
          </cell>
          <cell r="HY445">
            <v>6</v>
          </cell>
          <cell r="HZ445" t="str">
            <v>ISO4217:USD</v>
          </cell>
          <cell r="IA445" t="b">
            <v>0</v>
          </cell>
          <cell r="IB445" t="b">
            <v>0</v>
          </cell>
        </row>
        <row r="446">
          <cell r="C446" t="str">
            <v>Bonus to directors and supervisors, cash flow statement (Taiwan)</v>
          </cell>
          <cell r="HX446" t="str">
            <v>mstag:bonusToDirectorsAndSupervisorsTaiwanCashFlow</v>
          </cell>
          <cell r="HY446">
            <v>6</v>
          </cell>
          <cell r="HZ446" t="str">
            <v>ISO4217:USD</v>
          </cell>
          <cell r="IA446" t="b">
            <v>0</v>
          </cell>
          <cell r="IB446" t="b">
            <v>0</v>
          </cell>
        </row>
        <row r="447">
          <cell r="C447" t="str">
            <v>Employee cash bonus, cash flow statement (Taiwan)</v>
          </cell>
          <cell r="HX447" t="str">
            <v>mstag:employeeCashBonusTaiwanCashFlow</v>
          </cell>
          <cell r="HY447">
            <v>6</v>
          </cell>
          <cell r="HZ447" t="str">
            <v>ISO4217:USD</v>
          </cell>
          <cell r="IA447" t="b">
            <v>0</v>
          </cell>
          <cell r="IB447" t="b">
            <v>0</v>
          </cell>
        </row>
        <row r="448">
          <cell r="C448" t="str">
            <v>Acquired in-process R and D, cash flow statement</v>
          </cell>
          <cell r="G448">
            <v>0</v>
          </cell>
          <cell r="H448">
            <v>0</v>
          </cell>
          <cell r="I448">
            <v>752.5</v>
          </cell>
          <cell r="J448">
            <v>0</v>
          </cell>
          <cell r="K448">
            <v>0</v>
          </cell>
          <cell r="L448">
            <v>0</v>
          </cell>
          <cell r="M448">
            <v>0</v>
          </cell>
          <cell r="HX448" t="str">
            <v>mstag:acquiredInProcessRAndD</v>
          </cell>
          <cell r="HY448">
            <v>6</v>
          </cell>
          <cell r="HZ448" t="str">
            <v>ISO4217:USD</v>
          </cell>
          <cell r="IA448" t="b">
            <v>0</v>
          </cell>
          <cell r="IB448" t="b">
            <v>0</v>
          </cell>
        </row>
        <row r="449">
          <cell r="C449" t="str">
            <v>Capital expenditures</v>
          </cell>
          <cell r="G449">
            <v>154.90199999999999</v>
          </cell>
          <cell r="H449">
            <v>88.087999999999994</v>
          </cell>
          <cell r="I449">
            <v>95.007999999999996</v>
          </cell>
          <cell r="J449">
            <v>112.681</v>
          </cell>
          <cell r="K449">
            <v>213.351</v>
          </cell>
          <cell r="L449">
            <v>322.83199999999999</v>
          </cell>
          <cell r="M449">
            <v>321.95</v>
          </cell>
          <cell r="HX449" t="str">
            <v>mstag:capitalExpenditures</v>
          </cell>
          <cell r="HY449">
            <v>6</v>
          </cell>
          <cell r="HZ449" t="str">
            <v>ISO4217:USD</v>
          </cell>
          <cell r="IA449" t="b">
            <v>0</v>
          </cell>
          <cell r="IB449" t="b">
            <v>0</v>
          </cell>
        </row>
        <row r="450">
          <cell r="D450" t="str">
            <v>Capital expenditures, sustaining</v>
          </cell>
          <cell r="G450">
            <v>154.90199999999999</v>
          </cell>
          <cell r="H450">
            <v>88.087999999999994</v>
          </cell>
          <cell r="I450">
            <v>95.007999999999996</v>
          </cell>
          <cell r="J450">
            <v>112.681</v>
          </cell>
          <cell r="K450">
            <v>213.351</v>
          </cell>
          <cell r="L450">
            <v>322.83199999999999</v>
          </cell>
          <cell r="HX450" t="str">
            <v>mstag:capitalExpendituresMaintenance</v>
          </cell>
          <cell r="HY450">
            <v>6</v>
          </cell>
          <cell r="HZ450" t="str">
            <v>ISO4217:USD</v>
          </cell>
          <cell r="IA450" t="b">
            <v>0</v>
          </cell>
          <cell r="IB450" t="b">
            <v>0</v>
          </cell>
        </row>
        <row r="451">
          <cell r="D451" t="str">
            <v>Capital expenditures, growth</v>
          </cell>
          <cell r="HX451" t="str">
            <v>mstag:capitalExpendituresGrowth</v>
          </cell>
          <cell r="HY451">
            <v>6</v>
          </cell>
          <cell r="HZ451" t="str">
            <v>ISO4217:USD</v>
          </cell>
          <cell r="IA451" t="b">
            <v>0</v>
          </cell>
          <cell r="IB451" t="b">
            <v>0</v>
          </cell>
        </row>
        <row r="452">
          <cell r="C452" t="str">
            <v>Capital expenditures, related to lessor financing</v>
          </cell>
          <cell r="HX452" t="str">
            <v>mstag:capitalExpendituresRelatedToLessorFinancing</v>
          </cell>
          <cell r="HY452">
            <v>6</v>
          </cell>
          <cell r="HZ452" t="str">
            <v>ISO4217:USD</v>
          </cell>
          <cell r="IA452" t="b">
            <v>0</v>
          </cell>
          <cell r="IB452" t="b">
            <v>0</v>
          </cell>
        </row>
        <row r="453">
          <cell r="C453" t="str">
            <v>Unrealized foreign currency exchange gain (loss), cash flow statement</v>
          </cell>
          <cell r="HX453" t="str">
            <v>mstag:unrealizedForeignCurrencyExchangeGainLossCashFlowStatement</v>
          </cell>
          <cell r="HY453">
            <v>6</v>
          </cell>
          <cell r="HZ453" t="str">
            <v>ISO4217:USD</v>
          </cell>
          <cell r="IA453" t="b">
            <v>0</v>
          </cell>
          <cell r="IB453" t="b">
            <v>0</v>
          </cell>
        </row>
        <row r="454">
          <cell r="C454" t="str">
            <v>Proceeds from sale of PPE and intangible assets</v>
          </cell>
          <cell r="HX454" t="str">
            <v>mstag:proceedsFromSaleOfPpeAndIntangibleAssets</v>
          </cell>
          <cell r="HY454">
            <v>6</v>
          </cell>
          <cell r="HZ454" t="str">
            <v>ISO4217:USD</v>
          </cell>
          <cell r="IA454" t="b">
            <v>0</v>
          </cell>
          <cell r="IB454" t="b">
            <v>0</v>
          </cell>
        </row>
        <row r="455">
          <cell r="C455" t="str">
            <v>Amortization of discount (premium) on debt</v>
          </cell>
          <cell r="HX455" t="str">
            <v>mstag:amortizationOfDiscountPremiumOnDebtCashFlowStatement</v>
          </cell>
          <cell r="HY455">
            <v>6</v>
          </cell>
          <cell r="HZ455" t="str">
            <v>ISO4217:USD</v>
          </cell>
          <cell r="IA455" t="b">
            <v>0</v>
          </cell>
          <cell r="IB455" t="b">
            <v>0</v>
          </cell>
        </row>
        <row r="456">
          <cell r="C456" t="str">
            <v>Net pension and OPEB expense, cash flow statement</v>
          </cell>
          <cell r="HX456" t="str">
            <v>mstag:netPensionAndOpebExpenseCashFlowStatement</v>
          </cell>
          <cell r="HY456">
            <v>6</v>
          </cell>
          <cell r="HZ456" t="str">
            <v>ISO4217:USD</v>
          </cell>
          <cell r="IA456" t="b">
            <v>0</v>
          </cell>
          <cell r="IB456" t="b">
            <v>0</v>
          </cell>
        </row>
        <row r="457">
          <cell r="C457" t="str">
            <v>Net disposals (acquisitions)</v>
          </cell>
          <cell r="G457" t="str">
            <v/>
          </cell>
          <cell r="H457" t="str">
            <v/>
          </cell>
          <cell r="I457" t="str">
            <v/>
          </cell>
          <cell r="J457" t="str">
            <v/>
          </cell>
          <cell r="K457" t="str">
            <v/>
          </cell>
          <cell r="L457" t="str">
            <v/>
          </cell>
          <cell r="M457" t="str">
            <v/>
          </cell>
          <cell r="HX457" t="str">
            <v>mstag:netDisposalsAcquisitions</v>
          </cell>
          <cell r="HY457">
            <v>6</v>
          </cell>
          <cell r="HZ457" t="str">
            <v>ISO4217:USD</v>
          </cell>
          <cell r="IA457" t="b">
            <v>0</v>
          </cell>
          <cell r="IB457" t="b">
            <v>0</v>
          </cell>
        </row>
        <row r="458">
          <cell r="D458" t="str">
            <v>Capital expenditures reflected in cost of acquisitions</v>
          </cell>
          <cell r="G458" t="str">
            <v/>
          </cell>
          <cell r="H458" t="str">
            <v/>
          </cell>
          <cell r="I458" t="str">
            <v/>
          </cell>
          <cell r="J458" t="str">
            <v/>
          </cell>
          <cell r="K458" t="str">
            <v/>
          </cell>
          <cell r="L458" t="str">
            <v/>
          </cell>
          <cell r="M458" t="str">
            <v/>
          </cell>
          <cell r="HX458" t="str">
            <v>mstag:capitalExpendituresReflectedInCostOfAcquisitions</v>
          </cell>
          <cell r="HY458">
            <v>6</v>
          </cell>
          <cell r="HZ458" t="str">
            <v>ISO4217:USD</v>
          </cell>
          <cell r="IA458" t="b">
            <v>0</v>
          </cell>
          <cell r="IB458" t="b">
            <v>0</v>
          </cell>
        </row>
        <row r="459">
          <cell r="E459" t="str">
            <v>Capital expenditures reflected in cost of acquisitions, sustaining</v>
          </cell>
          <cell r="HX459" t="str">
            <v>mstag:capitalExpendituresReflectedInCostOfAcquisitionsMaintenance</v>
          </cell>
          <cell r="HY459">
            <v>6</v>
          </cell>
          <cell r="HZ459" t="str">
            <v>ISO4217:USD</v>
          </cell>
          <cell r="IA459" t="b">
            <v>0</v>
          </cell>
          <cell r="IB459" t="b">
            <v>0</v>
          </cell>
        </row>
        <row r="460">
          <cell r="E460" t="str">
            <v>Capital expenditures reflected in cost of acquisitions, growth</v>
          </cell>
          <cell r="HX460" t="str">
            <v>mstag:capitalExpendituresReflectedInCostOfAcquisitionsGrowth</v>
          </cell>
          <cell r="HY460">
            <v>6</v>
          </cell>
          <cell r="HZ460" t="str">
            <v>ISO4217:USD</v>
          </cell>
          <cell r="IA460" t="b">
            <v>0</v>
          </cell>
          <cell r="IB460" t="b">
            <v>0</v>
          </cell>
        </row>
        <row r="461">
          <cell r="D461" t="str">
            <v>Investment in intangible assets reflected in cost of acquisitions</v>
          </cell>
          <cell r="G461" t="str">
            <v/>
          </cell>
          <cell r="H461" t="str">
            <v/>
          </cell>
          <cell r="I461" t="str">
            <v/>
          </cell>
          <cell r="J461" t="str">
            <v/>
          </cell>
          <cell r="K461" t="str">
            <v/>
          </cell>
          <cell r="L461" t="str">
            <v/>
          </cell>
          <cell r="M461" t="str">
            <v/>
          </cell>
          <cell r="HX461" t="str">
            <v>mstag:investmentInIntangibleAssetsReflectedInCostOfAcquisitions</v>
          </cell>
          <cell r="HY461">
            <v>6</v>
          </cell>
          <cell r="HZ461" t="str">
            <v>ISO4217:USD</v>
          </cell>
          <cell r="IA461" t="b">
            <v>0</v>
          </cell>
          <cell r="IB461" t="b">
            <v>0</v>
          </cell>
        </row>
        <row r="462">
          <cell r="E462" t="str">
            <v>Investment in intangible assets reflected in cost of acquisitions, sustaining</v>
          </cell>
          <cell r="HX462" t="str">
            <v>mstag:investmentInIntangibleAssetsReflectedInCostOfAcquisitionsMaintenance</v>
          </cell>
          <cell r="HY462">
            <v>6</v>
          </cell>
          <cell r="HZ462" t="str">
            <v>ISO4217:USD</v>
          </cell>
          <cell r="IA462" t="b">
            <v>0</v>
          </cell>
          <cell r="IB462" t="b">
            <v>0</v>
          </cell>
        </row>
        <row r="463">
          <cell r="E463" t="str">
            <v>Investment in intangible assets reflected in cost of acquisitions, growth</v>
          </cell>
          <cell r="HX463" t="str">
            <v>mstag:investmentInIntangibleAssetsReflectedInCostOfAcquisitionsGrowth</v>
          </cell>
          <cell r="HY463">
            <v>6</v>
          </cell>
          <cell r="HZ463" t="str">
            <v>ISO4217:USD</v>
          </cell>
          <cell r="IA463" t="b">
            <v>0</v>
          </cell>
          <cell r="IB463" t="b">
            <v>0</v>
          </cell>
        </row>
        <row r="464">
          <cell r="D464" t="str">
            <v>Premium (goodwill) on acquisitions</v>
          </cell>
          <cell r="G464" t="str">
            <v/>
          </cell>
          <cell r="H464" t="str">
            <v/>
          </cell>
          <cell r="I464" t="str">
            <v/>
          </cell>
          <cell r="J464" t="str">
            <v/>
          </cell>
          <cell r="K464" t="str">
            <v/>
          </cell>
          <cell r="L464" t="str">
            <v/>
          </cell>
          <cell r="M464" t="str">
            <v/>
          </cell>
          <cell r="HX464" t="str">
            <v>mstag:premiumGoodwillOnAcquisions</v>
          </cell>
          <cell r="HY464">
            <v>6</v>
          </cell>
          <cell r="HZ464" t="str">
            <v>ISO4217:USD</v>
          </cell>
          <cell r="IA464" t="b">
            <v>0</v>
          </cell>
          <cell r="IB464" t="b">
            <v>0</v>
          </cell>
        </row>
        <row r="465">
          <cell r="E465" t="str">
            <v>Premium (goodwill) on acquisitions, sustaining</v>
          </cell>
          <cell r="HX465" t="str">
            <v>mstag:premiumGoodwillOnAcquisitionsSustaining</v>
          </cell>
          <cell r="HY465">
            <v>6</v>
          </cell>
          <cell r="HZ465" t="str">
            <v>ISO4217:USD</v>
          </cell>
          <cell r="IA465" t="b">
            <v>0</v>
          </cell>
          <cell r="IB465" t="b">
            <v>0</v>
          </cell>
        </row>
        <row r="466">
          <cell r="E466" t="str">
            <v>Premium (goodwill) on acquisitions, growth</v>
          </cell>
          <cell r="HX466" t="str">
            <v>mstag:premiumGoodwillOnAcquisitionsGrowth</v>
          </cell>
          <cell r="HY466">
            <v>6</v>
          </cell>
          <cell r="HZ466" t="str">
            <v>ISO4217:USD</v>
          </cell>
          <cell r="IA466" t="b">
            <v>0</v>
          </cell>
          <cell r="IB466" t="b">
            <v>0</v>
          </cell>
        </row>
        <row r="467">
          <cell r="D467" t="str">
            <v>Other assets (liabilities) acquired included in ending balance sheet totals</v>
          </cell>
          <cell r="HX467" t="str">
            <v>mstag:otherAssetsLiabilitiesIncludedInEndingBalanceSheetTotals</v>
          </cell>
          <cell r="HY467">
            <v>6</v>
          </cell>
          <cell r="HZ467" t="str">
            <v>ISO4217:USD</v>
          </cell>
          <cell r="IA467" t="b">
            <v>0</v>
          </cell>
          <cell r="IB467" t="b">
            <v>0</v>
          </cell>
        </row>
        <row r="468">
          <cell r="D468" t="str">
            <v>Acquired in-process R and D, acquisitions</v>
          </cell>
          <cell r="HX468" t="str">
            <v>mstag:acquiredInProcessRAndDAcquisitions</v>
          </cell>
          <cell r="HY468">
            <v>6</v>
          </cell>
          <cell r="HZ468" t="str">
            <v>ISO4217:USD</v>
          </cell>
          <cell r="IA468" t="b">
            <v>0</v>
          </cell>
          <cell r="IB468" t="b">
            <v>0</v>
          </cell>
        </row>
        <row r="469">
          <cell r="D469" t="str">
            <v>Principal debt acquired</v>
          </cell>
          <cell r="HX469" t="str">
            <v>mstag:principalDebtAcquired</v>
          </cell>
          <cell r="HY469">
            <v>6</v>
          </cell>
          <cell r="HZ469" t="str">
            <v>ISO4217:USD</v>
          </cell>
          <cell r="IA469" t="b">
            <v>0</v>
          </cell>
          <cell r="IB469" t="b">
            <v>0</v>
          </cell>
        </row>
        <row r="470">
          <cell r="D470" t="str">
            <v>Equity issued on acquisition</v>
          </cell>
          <cell r="HX470" t="str">
            <v>mstag:equityIssuedOnAcquisition</v>
          </cell>
          <cell r="HY470">
            <v>6</v>
          </cell>
          <cell r="HZ470" t="str">
            <v>ISO4217:USD</v>
          </cell>
          <cell r="IA470" t="b">
            <v>0</v>
          </cell>
          <cell r="IB470" t="b">
            <v>0</v>
          </cell>
        </row>
        <row r="471">
          <cell r="C471" t="str">
            <v>Investment in intangible assets</v>
          </cell>
          <cell r="G471" t="str">
            <v/>
          </cell>
          <cell r="H471" t="str">
            <v/>
          </cell>
          <cell r="I471" t="str">
            <v/>
          </cell>
          <cell r="J471" t="str">
            <v/>
          </cell>
          <cell r="K471" t="str">
            <v/>
          </cell>
          <cell r="L471" t="str">
            <v/>
          </cell>
          <cell r="M471" t="str">
            <v/>
          </cell>
          <cell r="HX471" t="str">
            <v>mstag:investmentInIntangibleAssets</v>
          </cell>
          <cell r="HY471">
            <v>6</v>
          </cell>
          <cell r="HZ471" t="str">
            <v>ISO4217:USD</v>
          </cell>
          <cell r="IA471" t="b">
            <v>0</v>
          </cell>
          <cell r="IB471" t="b">
            <v>0</v>
          </cell>
        </row>
        <row r="472">
          <cell r="D472" t="str">
            <v>Investment in indefinite life intangibles</v>
          </cell>
          <cell r="G472" t="str">
            <v/>
          </cell>
          <cell r="H472" t="str">
            <v/>
          </cell>
          <cell r="I472" t="str">
            <v/>
          </cell>
          <cell r="J472" t="str">
            <v/>
          </cell>
          <cell r="K472" t="str">
            <v/>
          </cell>
          <cell r="L472" t="str">
            <v/>
          </cell>
          <cell r="M472" t="str">
            <v/>
          </cell>
          <cell r="HX472" t="str">
            <v>mstag:investmentInIndefiniteLifeIntangibles</v>
          </cell>
          <cell r="HY472">
            <v>6</v>
          </cell>
          <cell r="HZ472" t="str">
            <v>ISO4217:USD</v>
          </cell>
          <cell r="IA472" t="b">
            <v>0</v>
          </cell>
          <cell r="IB472" t="b">
            <v>0</v>
          </cell>
        </row>
        <row r="473">
          <cell r="E473" t="str">
            <v>Investment in indefinite life intangibles, sustaining</v>
          </cell>
          <cell r="HX473" t="str">
            <v>mstag:investmentInIndefiniteLifeIntangiblesMaintenance</v>
          </cell>
          <cell r="HY473">
            <v>6</v>
          </cell>
          <cell r="HZ473" t="str">
            <v>ISO4217:USD</v>
          </cell>
          <cell r="IA473" t="b">
            <v>0</v>
          </cell>
          <cell r="IB473" t="b">
            <v>0</v>
          </cell>
        </row>
        <row r="474">
          <cell r="E474" t="str">
            <v>Investment in indefinite life intangibles, growth</v>
          </cell>
          <cell r="HX474" t="str">
            <v>mstag:investmentInIndefiniteLifeIntangiblesGrowth</v>
          </cell>
          <cell r="HY474">
            <v>6</v>
          </cell>
          <cell r="HZ474" t="str">
            <v>ISO4217:USD</v>
          </cell>
          <cell r="IA474" t="b">
            <v>0</v>
          </cell>
          <cell r="IB474" t="b">
            <v>0</v>
          </cell>
        </row>
        <row r="475">
          <cell r="D475" t="str">
            <v>Investment in definite life intangibles</v>
          </cell>
          <cell r="G475" t="str">
            <v/>
          </cell>
          <cell r="H475" t="str">
            <v/>
          </cell>
          <cell r="I475" t="str">
            <v/>
          </cell>
          <cell r="J475" t="str">
            <v/>
          </cell>
          <cell r="K475" t="str">
            <v/>
          </cell>
          <cell r="L475" t="str">
            <v/>
          </cell>
          <cell r="M475" t="str">
            <v/>
          </cell>
          <cell r="HX475" t="str">
            <v>mstag:investmentInDefiniteLifeIntangibles</v>
          </cell>
          <cell r="HY475">
            <v>6</v>
          </cell>
          <cell r="HZ475" t="str">
            <v>ISO4217:USD</v>
          </cell>
          <cell r="IA475" t="b">
            <v>0</v>
          </cell>
          <cell r="IB475" t="b">
            <v>0</v>
          </cell>
        </row>
        <row r="476">
          <cell r="E476" t="str">
            <v>Investment in definite life intangibles, sustaining</v>
          </cell>
          <cell r="HX476" t="str">
            <v>mstag:investmentInDefiniteLifeIntangiblesMaintenance</v>
          </cell>
          <cell r="HY476">
            <v>6</v>
          </cell>
          <cell r="HZ476" t="str">
            <v>ISO4217:USD</v>
          </cell>
          <cell r="IA476" t="b">
            <v>0</v>
          </cell>
          <cell r="IB476" t="b">
            <v>0</v>
          </cell>
        </row>
        <row r="477">
          <cell r="E477" t="str">
            <v>Investment in definite life intangibles, growth</v>
          </cell>
          <cell r="HX477" t="str">
            <v>mstag:investmentInDefiniteLifeIntangiblesGrowth</v>
          </cell>
          <cell r="HY477">
            <v>6</v>
          </cell>
          <cell r="HZ477" t="str">
            <v>ISO4217:USD</v>
          </cell>
          <cell r="IA477" t="b">
            <v>0</v>
          </cell>
          <cell r="IB477" t="b">
            <v>0</v>
          </cell>
        </row>
        <row r="478">
          <cell r="C478" t="str">
            <v>Income (loss) from investments under the equity method, operating, cash flow statement</v>
          </cell>
          <cell r="HX478" t="str">
            <v>mstag:incomeLossFromInvestmentsAccountedForUnderTheEquityMethodOperating</v>
          </cell>
          <cell r="HY478">
            <v>6</v>
          </cell>
          <cell r="HZ478" t="str">
            <v>ISO4217:USD</v>
          </cell>
          <cell r="IA478" t="b">
            <v>0</v>
          </cell>
          <cell r="IB478" t="b">
            <v>0</v>
          </cell>
        </row>
        <row r="479">
          <cell r="C479" t="str">
            <v>Income (loss) from investments under the equity method, nonoperating, cash flow statement</v>
          </cell>
          <cell r="HX479" t="str">
            <v>mstag:incomeLossFromInvestmentsAccountedForUnderTheEquityMethodNonOperating</v>
          </cell>
          <cell r="HY479">
            <v>6</v>
          </cell>
          <cell r="HZ479" t="str">
            <v>ISO4217:USD</v>
          </cell>
          <cell r="IA479" t="b">
            <v>0</v>
          </cell>
          <cell r="IB479" t="b">
            <v>0</v>
          </cell>
        </row>
        <row r="480">
          <cell r="C480" t="str">
            <v>Dividends from investments under the equity method, operating, cash flow statement</v>
          </cell>
          <cell r="HX480" t="str">
            <v>mstag:dividendsFromInvestmentsAccountedForUnderTheEquityMethodOperating</v>
          </cell>
          <cell r="HY480">
            <v>6</v>
          </cell>
          <cell r="HZ480" t="str">
            <v>ISO4217:USD</v>
          </cell>
          <cell r="IA480" t="b">
            <v>0</v>
          </cell>
          <cell r="IB480" t="b">
            <v>0</v>
          </cell>
        </row>
        <row r="481">
          <cell r="C481" t="str">
            <v>Dividends from investments under the equity method, nonoperating, cash flow statement</v>
          </cell>
          <cell r="HX481" t="str">
            <v>mstag:dividendsFromInvestmentsAccountedForUnderTheEquityMethodNonOperating</v>
          </cell>
          <cell r="HY481">
            <v>6</v>
          </cell>
          <cell r="HZ481" t="str">
            <v>ISO4217:USD</v>
          </cell>
          <cell r="IA481" t="b">
            <v>0</v>
          </cell>
          <cell r="IB481" t="b">
            <v>0</v>
          </cell>
        </row>
        <row r="482">
          <cell r="C482" t="str">
            <v>Net increase in deferred tax liabilities (assets)</v>
          </cell>
          <cell r="G482">
            <v>19.66</v>
          </cell>
          <cell r="H482">
            <v>29.792000000000002</v>
          </cell>
          <cell r="I482">
            <v>-144.29500000000002</v>
          </cell>
          <cell r="J482">
            <v>-196.78200000000001</v>
          </cell>
          <cell r="K482">
            <v>29.356999999999999</v>
          </cell>
          <cell r="L482">
            <v>-196.64400000000001</v>
          </cell>
          <cell r="M482">
            <v>-149</v>
          </cell>
          <cell r="HX482" t="str">
            <v>mstag:deferredTax</v>
          </cell>
          <cell r="HY482">
            <v>6</v>
          </cell>
          <cell r="HZ482" t="str">
            <v>ISO4217:USD</v>
          </cell>
          <cell r="IA482" t="b">
            <v>0</v>
          </cell>
          <cell r="IB482" t="b">
            <v>0</v>
          </cell>
        </row>
        <row r="483">
          <cell r="D483" t="str">
            <v>Net decrease in deferred tax asset from exercise of ESOs in the period</v>
          </cell>
          <cell r="HX483" t="str">
            <v>mstag:netDecreaseInDeferredTaxAssetFromExerciseOfEsosInThePeriod</v>
          </cell>
          <cell r="HY483">
            <v>6</v>
          </cell>
          <cell r="HZ483" t="str">
            <v>ISO4217:USD</v>
          </cell>
          <cell r="IA483" t="b">
            <v>0</v>
          </cell>
          <cell r="IB483" t="b">
            <v>0</v>
          </cell>
        </row>
        <row r="484">
          <cell r="C484" t="str">
            <v>Net increase in income tax payable (receivable)</v>
          </cell>
          <cell r="HX484" t="str">
            <v>mstag:netIncreaseInIncomeTaxPayableReceivable</v>
          </cell>
          <cell r="HY484">
            <v>6</v>
          </cell>
          <cell r="HZ484" t="str">
            <v>ISO4217:USD</v>
          </cell>
          <cell r="IA484" t="b">
            <v>0</v>
          </cell>
          <cell r="IB484" t="b">
            <v>0</v>
          </cell>
        </row>
        <row r="485">
          <cell r="D485" t="str">
            <v>Net decrease in income tax payable due to tax benefit from exercise of ESOs</v>
          </cell>
          <cell r="HX485" t="str">
            <v>mstag:netDecreaseInIncomeTaxPayableDueToTaxBenefitFromExerciseOfEsos</v>
          </cell>
          <cell r="HY485">
            <v>6</v>
          </cell>
          <cell r="HZ485" t="str">
            <v>ISO4217:USD</v>
          </cell>
          <cell r="IA485" t="b">
            <v>0</v>
          </cell>
          <cell r="IB485" t="b">
            <v>0</v>
          </cell>
        </row>
        <row r="486">
          <cell r="C486" t="str">
            <v>Stock-based compensation charge, pretax</v>
          </cell>
          <cell r="HX486" t="str">
            <v>mstag:stockBasedCompensationChargePreTax</v>
          </cell>
          <cell r="HY486">
            <v>6</v>
          </cell>
          <cell r="HZ486" t="str">
            <v>ISO4217:USD</v>
          </cell>
          <cell r="IA486" t="b">
            <v>0</v>
          </cell>
          <cell r="IB486" t="b">
            <v>0</v>
          </cell>
        </row>
        <row r="487">
          <cell r="C487" t="str">
            <v>Tax benefit from exercise of ESOs</v>
          </cell>
          <cell r="G487">
            <v>0</v>
          </cell>
          <cell r="H487">
            <v>0</v>
          </cell>
          <cell r="I487">
            <v>119.15300000000001</v>
          </cell>
          <cell r="J487">
            <v>0</v>
          </cell>
          <cell r="K487">
            <v>0</v>
          </cell>
          <cell r="L487">
            <v>0</v>
          </cell>
          <cell r="M487">
            <v>0</v>
          </cell>
          <cell r="HX487" t="str">
            <v>mstag:taxBenefitFromExerciseOfEsosCashFlowStatement</v>
          </cell>
          <cell r="HY487">
            <v>6</v>
          </cell>
          <cell r="HZ487" t="str">
            <v>ISO4217:USD</v>
          </cell>
          <cell r="IA487" t="b">
            <v>0</v>
          </cell>
          <cell r="IB487" t="b">
            <v>0</v>
          </cell>
        </row>
        <row r="488">
          <cell r="C488" t="str">
            <v>Net decrease in other assets, operating</v>
          </cell>
          <cell r="G488">
            <v>-61.529000000000003</v>
          </cell>
          <cell r="H488">
            <v>-17.151</v>
          </cell>
          <cell r="I488">
            <v>-23.551000000000002</v>
          </cell>
          <cell r="J488">
            <v>-55.603999999999999</v>
          </cell>
          <cell r="K488">
            <v>-10.105</v>
          </cell>
          <cell r="L488">
            <v>12.875</v>
          </cell>
          <cell r="M488">
            <v>-1110.23</v>
          </cell>
          <cell r="HX488" t="str">
            <v>mstag:netDecreaseInOtherAssets</v>
          </cell>
          <cell r="HY488">
            <v>6</v>
          </cell>
          <cell r="HZ488" t="str">
            <v>ISO4217:USD</v>
          </cell>
          <cell r="IA488" t="b">
            <v>0</v>
          </cell>
          <cell r="IB488" t="b">
            <v>0</v>
          </cell>
        </row>
        <row r="489">
          <cell r="C489" t="str">
            <v>Net decrease in trade receivables</v>
          </cell>
          <cell r="G489">
            <v>11.194000000000001</v>
          </cell>
          <cell r="H489">
            <v>33.767000000000003</v>
          </cell>
          <cell r="I489">
            <v>-70.994</v>
          </cell>
          <cell r="J489">
            <v>-103.863</v>
          </cell>
          <cell r="K489">
            <v>-59.512</v>
          </cell>
          <cell r="L489">
            <v>-107.483</v>
          </cell>
          <cell r="M489">
            <v>-146.1</v>
          </cell>
          <cell r="HX489" t="str">
            <v>mstag:netDecreaseInTradeReceivables</v>
          </cell>
          <cell r="HY489">
            <v>6</v>
          </cell>
          <cell r="HZ489" t="str">
            <v>ISO4217:USD</v>
          </cell>
          <cell r="IA489" t="b">
            <v>0</v>
          </cell>
          <cell r="IB489" t="b">
            <v>0</v>
          </cell>
        </row>
        <row r="490">
          <cell r="C490" t="str">
            <v>Net decrease in finance lease receivables</v>
          </cell>
          <cell r="HX490" t="str">
            <v>mstag:netDecreaseInFinanceLeaseReceivables</v>
          </cell>
          <cell r="HY490">
            <v>6</v>
          </cell>
          <cell r="HZ490" t="str">
            <v>ISO4217:USD</v>
          </cell>
          <cell r="IA490" t="b">
            <v>0</v>
          </cell>
          <cell r="IB490" t="b">
            <v>0</v>
          </cell>
        </row>
        <row r="491">
          <cell r="C491" t="str">
            <v>Net decrease in unbilled receivables</v>
          </cell>
          <cell r="HX491" t="str">
            <v>mstag:netDecreaseInUnbilledReceivables</v>
          </cell>
          <cell r="HY491">
            <v>6</v>
          </cell>
          <cell r="HZ491" t="str">
            <v>ISO4217:USD</v>
          </cell>
          <cell r="IA491" t="b">
            <v>0</v>
          </cell>
          <cell r="IB491" t="b">
            <v>0</v>
          </cell>
        </row>
        <row r="492">
          <cell r="C492" t="str">
            <v>Net decrease in other receivables</v>
          </cell>
          <cell r="HX492" t="str">
            <v>mstag:netDecreaseInOtherReceivables</v>
          </cell>
          <cell r="HY492">
            <v>6</v>
          </cell>
          <cell r="HZ492" t="str">
            <v>ISO4217:USD</v>
          </cell>
          <cell r="IA492" t="b">
            <v>0</v>
          </cell>
          <cell r="IB492" t="b">
            <v>0</v>
          </cell>
        </row>
        <row r="493">
          <cell r="C493" t="str">
            <v>Net decrease in prepaid expenses</v>
          </cell>
          <cell r="HX493" t="str">
            <v>mstag:netDecreaseInPrepaidExpenses</v>
          </cell>
          <cell r="HY493">
            <v>6</v>
          </cell>
          <cell r="HZ493" t="str">
            <v>ISO4217:USD</v>
          </cell>
          <cell r="IA493" t="b">
            <v>0</v>
          </cell>
          <cell r="IB493" t="b">
            <v>0</v>
          </cell>
        </row>
        <row r="494">
          <cell r="C494" t="str">
            <v>Net decrease in inventories</v>
          </cell>
          <cell r="G494">
            <v>-24.082999999999998</v>
          </cell>
          <cell r="H494">
            <v>-32.6</v>
          </cell>
          <cell r="I494">
            <v>59.561</v>
          </cell>
          <cell r="J494">
            <v>9.4149999999999991</v>
          </cell>
          <cell r="K494">
            <v>-91.116</v>
          </cell>
          <cell r="L494">
            <v>-36.595999999999997</v>
          </cell>
          <cell r="M494">
            <v>-93.26</v>
          </cell>
          <cell r="HX494" t="str">
            <v>mstag:netDecreaseInInventories</v>
          </cell>
          <cell r="HY494">
            <v>6</v>
          </cell>
          <cell r="HZ494" t="str">
            <v>ISO4217:USD</v>
          </cell>
          <cell r="IA494" t="b">
            <v>0</v>
          </cell>
          <cell r="IB494" t="b">
            <v>0</v>
          </cell>
        </row>
        <row r="495">
          <cell r="C495" t="str">
            <v>Net increase in trade and other payables</v>
          </cell>
          <cell r="G495">
            <v>32.896999999999998</v>
          </cell>
          <cell r="H495">
            <v>15.936999999999999</v>
          </cell>
          <cell r="I495">
            <v>166.41199999999998</v>
          </cell>
          <cell r="J495">
            <v>239.38800000000001</v>
          </cell>
          <cell r="K495">
            <v>124.774</v>
          </cell>
          <cell r="L495">
            <v>148.68100000000001</v>
          </cell>
          <cell r="M495">
            <v>463.6</v>
          </cell>
          <cell r="HX495" t="str">
            <v>mstag:netIncreaseInTradeAndOtherPayables</v>
          </cell>
          <cell r="HY495">
            <v>6</v>
          </cell>
          <cell r="HZ495" t="str">
            <v>ISO4217:USD</v>
          </cell>
          <cell r="IA495" t="b">
            <v>0</v>
          </cell>
          <cell r="IB495" t="b">
            <v>0</v>
          </cell>
        </row>
        <row r="496">
          <cell r="C496" t="str">
            <v>Net increase in deferred revenue</v>
          </cell>
          <cell r="G496">
            <v>0</v>
          </cell>
          <cell r="H496">
            <v>0</v>
          </cell>
          <cell r="I496">
            <v>0</v>
          </cell>
          <cell r="J496">
            <v>0</v>
          </cell>
          <cell r="K496">
            <v>-15.457000000000001</v>
          </cell>
          <cell r="L496">
            <v>2.0009999999999999</v>
          </cell>
          <cell r="M496">
            <v>239.14500000000001</v>
          </cell>
          <cell r="HX496" t="str">
            <v>mstag:netIncreaseInDeferredRevenue</v>
          </cell>
          <cell r="HY496">
            <v>6</v>
          </cell>
          <cell r="HZ496" t="str">
            <v>ISO4217:USD</v>
          </cell>
          <cell r="IA496" t="b">
            <v>0</v>
          </cell>
          <cell r="IB496" t="b">
            <v>0</v>
          </cell>
        </row>
        <row r="497">
          <cell r="C497" t="str">
            <v>Net increase in accrued expenses</v>
          </cell>
          <cell r="HX497" t="str">
            <v>mstag:netIncreaseInAccruedExpenses</v>
          </cell>
          <cell r="HY497">
            <v>6</v>
          </cell>
          <cell r="HZ497" t="str">
            <v>ISO4217:USD</v>
          </cell>
          <cell r="IA497" t="b">
            <v>0</v>
          </cell>
          <cell r="IB497" t="b">
            <v>0</v>
          </cell>
        </row>
        <row r="498">
          <cell r="C498" t="str">
            <v>Net increase in deferred compensation</v>
          </cell>
          <cell r="HX498" t="str">
            <v>mstag:netIncreaseInDeferredCompensation</v>
          </cell>
          <cell r="HY498">
            <v>6</v>
          </cell>
          <cell r="HZ498" t="str">
            <v>ISO4217:USD</v>
          </cell>
          <cell r="IA498" t="b">
            <v>0</v>
          </cell>
          <cell r="IB498" t="b">
            <v>0</v>
          </cell>
        </row>
        <row r="499">
          <cell r="C499" t="str">
            <v>Proceeds from issuance and cash used to repay short term borrowings</v>
          </cell>
          <cell r="G499">
            <v>0</v>
          </cell>
          <cell r="H499">
            <v>0</v>
          </cell>
          <cell r="I499">
            <v>0</v>
          </cell>
          <cell r="J499">
            <v>0</v>
          </cell>
          <cell r="K499">
            <v>0</v>
          </cell>
          <cell r="L499">
            <v>-149.69200000000001</v>
          </cell>
          <cell r="M499">
            <v>0</v>
          </cell>
          <cell r="HX499" t="str">
            <v>mstag:proceedsFromIssuanceAndCashUsedToRepayShortTermBorrowings</v>
          </cell>
          <cell r="HY499">
            <v>6</v>
          </cell>
          <cell r="HZ499" t="str">
            <v>ISO4217:USD</v>
          </cell>
          <cell r="IA499" t="b">
            <v>0</v>
          </cell>
          <cell r="IB499" t="b">
            <v>0</v>
          </cell>
        </row>
        <row r="500">
          <cell r="C500" t="str">
            <v>Proceeds from issuance and cash used to repay long term debt</v>
          </cell>
          <cell r="HX500" t="str">
            <v>mstag:proceedsFromIssuanceAndCashUsedToRepayLongTermDebt</v>
          </cell>
          <cell r="HY500">
            <v>6</v>
          </cell>
          <cell r="HZ500" t="str">
            <v>ISO4217:USD</v>
          </cell>
          <cell r="IA500" t="b">
            <v>0</v>
          </cell>
          <cell r="IB500" t="b">
            <v>0</v>
          </cell>
        </row>
        <row r="501">
          <cell r="C501" t="str">
            <v>Net increase in other liabilities, operating</v>
          </cell>
          <cell r="G501">
            <v>0</v>
          </cell>
          <cell r="H501">
            <v>0</v>
          </cell>
          <cell r="I501">
            <v>0</v>
          </cell>
          <cell r="J501">
            <v>0</v>
          </cell>
          <cell r="K501">
            <v>0</v>
          </cell>
          <cell r="L501">
            <v>552.18499999999995</v>
          </cell>
          <cell r="HX501" t="str">
            <v>mstag:netIncreaseInOtherLiabilitiesOperating</v>
          </cell>
          <cell r="HY501">
            <v>6</v>
          </cell>
          <cell r="HZ501" t="str">
            <v>ISO4217:USD</v>
          </cell>
          <cell r="IA501" t="b">
            <v>0</v>
          </cell>
          <cell r="IB501" t="b">
            <v>0</v>
          </cell>
        </row>
        <row r="502">
          <cell r="C502" t="str">
            <v>Net increase in minority interests in shareholders' equity</v>
          </cell>
          <cell r="HX502" t="str">
            <v>mstag:netIncreaseInMinorityInterestsInShareholdersEquity</v>
          </cell>
          <cell r="HY502">
            <v>6</v>
          </cell>
          <cell r="HZ502" t="str">
            <v>ISO4217:USD</v>
          </cell>
          <cell r="IA502" t="b">
            <v>0</v>
          </cell>
          <cell r="IB502" t="b">
            <v>0</v>
          </cell>
        </row>
        <row r="503">
          <cell r="C503" t="str">
            <v>Net issuance of preferred stock</v>
          </cell>
          <cell r="G503" t="str">
            <v/>
          </cell>
          <cell r="H503" t="str">
            <v/>
          </cell>
          <cell r="I503" t="str">
            <v/>
          </cell>
          <cell r="J503" t="str">
            <v/>
          </cell>
          <cell r="K503" t="str">
            <v/>
          </cell>
          <cell r="L503" t="str">
            <v/>
          </cell>
          <cell r="M503" t="str">
            <v/>
          </cell>
          <cell r="HX503" t="str">
            <v>mstag:netIssuanceOfPreferredStock</v>
          </cell>
          <cell r="HY503">
            <v>6</v>
          </cell>
          <cell r="HZ503" t="str">
            <v>ISO4217:USD</v>
          </cell>
          <cell r="IA503" t="b">
            <v>0</v>
          </cell>
          <cell r="IB503" t="b">
            <v>0</v>
          </cell>
        </row>
        <row r="504">
          <cell r="D504" t="str">
            <v>Issuances of preferred stock</v>
          </cell>
          <cell r="HX504" t="str">
            <v>mstag:issuancesOfPreferredStock</v>
          </cell>
          <cell r="HY504">
            <v>6</v>
          </cell>
          <cell r="HZ504" t="str">
            <v>ISO4217:USD</v>
          </cell>
          <cell r="IA504" t="b">
            <v>0</v>
          </cell>
          <cell r="IB504" t="b">
            <v>0</v>
          </cell>
        </row>
        <row r="505">
          <cell r="D505" t="str">
            <v>Redemptions, retirements and repurchases of preferred stock</v>
          </cell>
          <cell r="HX505" t="str">
            <v>mstag:redemptionsRetirementsAndRepurchasesOfPreferredStock</v>
          </cell>
          <cell r="HY505">
            <v>6</v>
          </cell>
          <cell r="HZ505" t="str">
            <v>ISO4217:USD</v>
          </cell>
          <cell r="IA505" t="b">
            <v>0</v>
          </cell>
          <cell r="IB505" t="b">
            <v>0</v>
          </cell>
        </row>
        <row r="506">
          <cell r="C506" t="str">
            <v>Proceeds from issuance/(funds used to repurchase) common stock</v>
          </cell>
          <cell r="G506">
            <v>87.259</v>
          </cell>
          <cell r="H506">
            <v>107.938</v>
          </cell>
          <cell r="I506">
            <v>160.203</v>
          </cell>
          <cell r="J506">
            <v>180.37899999999999</v>
          </cell>
          <cell r="K506">
            <v>67.162000000000006</v>
          </cell>
          <cell r="L506">
            <v>-618.58799999999997</v>
          </cell>
          <cell r="M506">
            <v>325.52</v>
          </cell>
          <cell r="HX506" t="str">
            <v>mstag:proceedsFromIssuanceFundsUsedToRepurchaseCommonStock</v>
          </cell>
          <cell r="HY506">
            <v>6</v>
          </cell>
          <cell r="HZ506" t="str">
            <v>ISO4217:USD</v>
          </cell>
          <cell r="IA506" t="b">
            <v>0</v>
          </cell>
          <cell r="IB506" t="b">
            <v>0</v>
          </cell>
        </row>
        <row r="507">
          <cell r="D507" t="str">
            <v>Proceeds from issuance of common stock</v>
          </cell>
          <cell r="G507">
            <v>87.259</v>
          </cell>
          <cell r="H507">
            <v>107.938</v>
          </cell>
          <cell r="I507">
            <v>160.203</v>
          </cell>
          <cell r="J507">
            <v>180.37899999999999</v>
          </cell>
          <cell r="K507">
            <v>106.866</v>
          </cell>
          <cell r="L507">
            <v>74.164000000000001</v>
          </cell>
          <cell r="HX507" t="str">
            <v>mstag:proceedsFromIssuanceOfCommonStock</v>
          </cell>
          <cell r="HY507">
            <v>6</v>
          </cell>
          <cell r="HZ507" t="str">
            <v>ISO4217:USD</v>
          </cell>
          <cell r="IA507" t="b">
            <v>0</v>
          </cell>
          <cell r="IB507" t="b">
            <v>0</v>
          </cell>
        </row>
        <row r="508">
          <cell r="D508" t="str">
            <v>Funds used to repurchase common stock</v>
          </cell>
          <cell r="G508">
            <v>0</v>
          </cell>
          <cell r="H508">
            <v>0</v>
          </cell>
          <cell r="I508">
            <v>0</v>
          </cell>
          <cell r="J508">
            <v>0</v>
          </cell>
          <cell r="K508">
            <v>39.704000000000001</v>
          </cell>
          <cell r="L508">
            <v>692.75199999999995</v>
          </cell>
          <cell r="HX508" t="str">
            <v>mstag:fundsUsedToRepurchaseCommonStock</v>
          </cell>
          <cell r="HY508">
            <v>6</v>
          </cell>
          <cell r="HZ508" t="str">
            <v>ISO4217:USD</v>
          </cell>
          <cell r="IA508" t="b">
            <v>0</v>
          </cell>
          <cell r="IB508" t="b">
            <v>0</v>
          </cell>
        </row>
        <row r="509">
          <cell r="C509" t="str">
            <v>Cash dividends paid</v>
          </cell>
          <cell r="HX509" t="str">
            <v>mstag:cashDividendsPaid</v>
          </cell>
          <cell r="HY509">
            <v>6</v>
          </cell>
          <cell r="HZ509" t="str">
            <v>ISO4217:USD</v>
          </cell>
          <cell r="IA509" t="b">
            <v>0</v>
          </cell>
          <cell r="IB509" t="b">
            <v>0</v>
          </cell>
        </row>
        <row r="510">
          <cell r="C510" t="str">
            <v>Net decrease in notes receivable</v>
          </cell>
          <cell r="HX510" t="str">
            <v>mstag:netDecreaseInNotesReceivable</v>
          </cell>
          <cell r="HY510">
            <v>6</v>
          </cell>
          <cell r="HZ510" t="str">
            <v>ISO4217:USD</v>
          </cell>
          <cell r="IA510" t="b">
            <v>0</v>
          </cell>
          <cell r="IB510" t="b">
            <v>0</v>
          </cell>
        </row>
        <row r="511">
          <cell r="C511" t="str">
            <v>Net decrease in other assets, nonoperating</v>
          </cell>
          <cell r="HX511" t="str">
            <v>mstag:netDecreaseInOtherAssetsNonOperating</v>
          </cell>
          <cell r="HY511">
            <v>6</v>
          </cell>
          <cell r="HZ511" t="str">
            <v>ISO4217:USD</v>
          </cell>
          <cell r="IA511" t="b">
            <v>0</v>
          </cell>
          <cell r="IB511" t="b">
            <v>0</v>
          </cell>
        </row>
        <row r="512">
          <cell r="C512" t="str">
            <v>Net increase in dividends payable</v>
          </cell>
          <cell r="HX512" t="str">
            <v>mstag:netIncreaseInDividendsPayable</v>
          </cell>
          <cell r="HY512">
            <v>6</v>
          </cell>
          <cell r="HZ512" t="str">
            <v>ISO4217:USD</v>
          </cell>
          <cell r="IA512" t="b">
            <v>0</v>
          </cell>
          <cell r="IB512" t="b">
            <v>0</v>
          </cell>
        </row>
        <row r="513">
          <cell r="C513" t="str">
            <v>Net increase in other liabilities, nonoperating</v>
          </cell>
          <cell r="G513">
            <v>0</v>
          </cell>
          <cell r="H513">
            <v>0</v>
          </cell>
          <cell r="I513">
            <v>0</v>
          </cell>
          <cell r="J513">
            <v>0</v>
          </cell>
          <cell r="K513">
            <v>0</v>
          </cell>
          <cell r="L513">
            <v>0</v>
          </cell>
          <cell r="M513">
            <v>56.1</v>
          </cell>
          <cell r="HX513" t="str">
            <v>mstag:netIncreaseInOtherLiabilitiesNonOperating</v>
          </cell>
          <cell r="HY513">
            <v>6</v>
          </cell>
          <cell r="HZ513" t="str">
            <v>ISO4217:USD</v>
          </cell>
          <cell r="IA513" t="b">
            <v>0</v>
          </cell>
          <cell r="IB513" t="b">
            <v>0</v>
          </cell>
        </row>
        <row r="514">
          <cell r="C514" t="str">
            <v>Contribution to pension and other post retirement plan assets</v>
          </cell>
          <cell r="HX514" t="str">
            <v>mstag:contributionToPensionAndOtherPostRetirementPlanAssets</v>
          </cell>
          <cell r="HY514">
            <v>6</v>
          </cell>
          <cell r="HZ514" t="str">
            <v>ISO4217:USD</v>
          </cell>
          <cell r="IA514" t="b">
            <v>0</v>
          </cell>
          <cell r="IB514" t="b">
            <v>0</v>
          </cell>
        </row>
        <row r="515">
          <cell r="C515" t="str">
            <v>Net increase in securitized assets, cash flow statement</v>
          </cell>
          <cell r="HX515" t="str">
            <v>mstag:netIncreaseInSecuritizedAssetsCashFlowStatement</v>
          </cell>
          <cell r="HY515">
            <v>6</v>
          </cell>
          <cell r="HZ515" t="str">
            <v>ISO4217:USD</v>
          </cell>
          <cell r="IA515" t="b">
            <v>0</v>
          </cell>
          <cell r="IB515" t="b">
            <v>0</v>
          </cell>
        </row>
        <row r="516">
          <cell r="C516" t="str">
            <v>Net decrease in investments, nonoperating</v>
          </cell>
          <cell r="G516">
            <v>-68.186000000000035</v>
          </cell>
          <cell r="H516">
            <v>-273.92699999999996</v>
          </cell>
          <cell r="I516">
            <v>8.4469999999999459</v>
          </cell>
          <cell r="J516">
            <v>-136.43600000000004</v>
          </cell>
          <cell r="K516">
            <v>-576.10900000000004</v>
          </cell>
          <cell r="L516">
            <v>174.39500000000021</v>
          </cell>
          <cell r="HX516" t="str">
            <v>mstag:netDecreaseInInvestmentsNonOperating</v>
          </cell>
          <cell r="HY516">
            <v>6</v>
          </cell>
          <cell r="HZ516" t="str">
            <v>ISO4217:USD</v>
          </cell>
          <cell r="IA516" t="b">
            <v>0</v>
          </cell>
          <cell r="IB516" t="b">
            <v>0</v>
          </cell>
        </row>
        <row r="517">
          <cell r="C517" t="str">
            <v>Net cash flow from discontinued operations</v>
          </cell>
          <cell r="HX517" t="str">
            <v>mstag:netCashFlowFromDiscontinuedOperations</v>
          </cell>
          <cell r="HY517">
            <v>6</v>
          </cell>
          <cell r="HZ517" t="str">
            <v>ISO4217:USD</v>
          </cell>
          <cell r="IA517" t="b">
            <v>0</v>
          </cell>
          <cell r="IB517" t="b">
            <v>0</v>
          </cell>
        </row>
        <row r="518">
          <cell r="C518" t="str">
            <v>Other cash flow</v>
          </cell>
          <cell r="G518">
            <v>0</v>
          </cell>
          <cell r="H518">
            <v>0</v>
          </cell>
          <cell r="I518">
            <v>0</v>
          </cell>
          <cell r="J518">
            <v>0</v>
          </cell>
          <cell r="K518">
            <v>5.6379999999999999</v>
          </cell>
          <cell r="L518">
            <v>0</v>
          </cell>
          <cell r="M518">
            <v>47.655000000000001</v>
          </cell>
          <cell r="HX518" t="str">
            <v>mstag:otherCashFlow</v>
          </cell>
          <cell r="HY518">
            <v>6</v>
          </cell>
          <cell r="HZ518" t="str">
            <v>ISO4217:USD</v>
          </cell>
          <cell r="IA518" t="b">
            <v>0</v>
          </cell>
          <cell r="IB518" t="b">
            <v>0</v>
          </cell>
        </row>
        <row r="519">
          <cell r="C519" t="str">
            <v>Effect of foreign exchange rates on cash</v>
          </cell>
          <cell r="HX519" t="str">
            <v>mstag:effectOfForeignExchangeRatesOnCash</v>
          </cell>
          <cell r="HY519">
            <v>6</v>
          </cell>
          <cell r="HZ519" t="str">
            <v>ISO4217:USD</v>
          </cell>
          <cell r="IA519" t="b">
            <v>0</v>
          </cell>
          <cell r="IB519" t="b">
            <v>0</v>
          </cell>
        </row>
        <row r="520">
          <cell r="B520" t="str">
            <v>Changes in shareholders equity</v>
          </cell>
          <cell r="HY520">
            <v>0</v>
          </cell>
          <cell r="HZ520" t="str">
            <v>ms_eqr_gcim_String:ms_eqr_gcim_string</v>
          </cell>
          <cell r="IA520" t="b">
            <v>0</v>
          </cell>
          <cell r="IB520" t="b">
            <v>0</v>
          </cell>
        </row>
        <row r="521">
          <cell r="C521" t="str">
            <v>Common dividends</v>
          </cell>
          <cell r="G521">
            <v>0</v>
          </cell>
          <cell r="H521">
            <v>0</v>
          </cell>
          <cell r="I521">
            <v>0</v>
          </cell>
          <cell r="J521">
            <v>0</v>
          </cell>
          <cell r="K521">
            <v>0</v>
          </cell>
          <cell r="L521">
            <v>0</v>
          </cell>
          <cell r="M521">
            <v>0</v>
          </cell>
          <cell r="HX521" t="str">
            <v>mstag:commonDividends</v>
          </cell>
          <cell r="HY521">
            <v>6</v>
          </cell>
          <cell r="HZ521" t="str">
            <v>ISO4217:USD</v>
          </cell>
          <cell r="IA521" t="b">
            <v>0</v>
          </cell>
          <cell r="IB521" t="b">
            <v>0</v>
          </cell>
        </row>
        <row r="522">
          <cell r="C522" t="str">
            <v>Common dividends attributable to current-period earnings</v>
          </cell>
          <cell r="HX522" t="str">
            <v>mstag:commonDividendsAttributableToCurrentPeriodEarnings</v>
          </cell>
          <cell r="HY522">
            <v>6</v>
          </cell>
          <cell r="HZ522" t="str">
            <v>ISO4217:USD</v>
          </cell>
          <cell r="IA522" t="b">
            <v>0</v>
          </cell>
          <cell r="IB522" t="b">
            <v>0</v>
          </cell>
        </row>
        <row r="523">
          <cell r="C523" t="str">
            <v>Net issuance (repurchase) of common stock</v>
          </cell>
          <cell r="G523">
            <v>101.239</v>
          </cell>
          <cell r="H523">
            <v>125.28</v>
          </cell>
          <cell r="I523">
            <v>3883.2519999999995</v>
          </cell>
          <cell r="J523">
            <v>406.46800000000002</v>
          </cell>
          <cell r="K523">
            <v>115.27599999999998</v>
          </cell>
          <cell r="L523">
            <v>-601.64199999999994</v>
          </cell>
          <cell r="M523">
            <v>590.29999999999995</v>
          </cell>
          <cell r="HX523" t="str">
            <v>mstag:netIssuanceRepurchaseOfCommonStock</v>
          </cell>
          <cell r="HY523">
            <v>6</v>
          </cell>
          <cell r="HZ523" t="str">
            <v>ISO4217:USD</v>
          </cell>
          <cell r="IA523" t="b">
            <v>0</v>
          </cell>
          <cell r="IB523" t="b">
            <v>0</v>
          </cell>
        </row>
        <row r="524">
          <cell r="D524" t="str">
            <v>Issuance of common stock</v>
          </cell>
          <cell r="G524">
            <v>101.239</v>
          </cell>
          <cell r="H524">
            <v>125.28</v>
          </cell>
          <cell r="I524">
            <v>3883.2519999999995</v>
          </cell>
          <cell r="J524">
            <v>406.46800000000002</v>
          </cell>
          <cell r="K524">
            <v>154.97999999999999</v>
          </cell>
          <cell r="L524">
            <v>91.11</v>
          </cell>
          <cell r="M524" t="str">
            <v/>
          </cell>
          <cell r="HX524" t="str">
            <v>mstag:issuanceOfCommonStock</v>
          </cell>
          <cell r="HY524">
            <v>6</v>
          </cell>
          <cell r="HZ524" t="str">
            <v>ISO4217:USD</v>
          </cell>
          <cell r="IA524" t="b">
            <v>0</v>
          </cell>
          <cell r="IB524" t="b">
            <v>0</v>
          </cell>
        </row>
        <row r="525">
          <cell r="E525" t="str">
            <v>Share issuance related to employee stock purchase and option plans</v>
          </cell>
          <cell r="G525">
            <v>87.259</v>
          </cell>
          <cell r="H525">
            <v>107.94800000000001</v>
          </cell>
          <cell r="I525">
            <v>160.54500000000002</v>
          </cell>
          <cell r="J525">
            <v>180.39500000000001</v>
          </cell>
          <cell r="K525">
            <v>106.866</v>
          </cell>
          <cell r="L525">
            <v>74.164000000000001</v>
          </cell>
          <cell r="HX525" t="str">
            <v>mstag:shareIssuanceRelatedToEmployeeStockPurchaseAndOptionPlans</v>
          </cell>
          <cell r="HY525">
            <v>6</v>
          </cell>
          <cell r="HZ525" t="str">
            <v>ISO4217:USD</v>
          </cell>
          <cell r="IA525" t="b">
            <v>0</v>
          </cell>
          <cell r="IB525" t="b">
            <v>0</v>
          </cell>
        </row>
        <row r="526">
          <cell r="E526" t="str">
            <v>Other share issuance</v>
          </cell>
          <cell r="HX526" t="str">
            <v>mstag:otherShareIssuance</v>
          </cell>
          <cell r="HY526">
            <v>6</v>
          </cell>
          <cell r="HZ526" t="str">
            <v>ISO4217:USD</v>
          </cell>
          <cell r="IA526" t="b">
            <v>0</v>
          </cell>
          <cell r="IB526" t="b">
            <v>0</v>
          </cell>
        </row>
        <row r="527">
          <cell r="E527" t="str">
            <v>Amortization of deferred compensation expense</v>
          </cell>
          <cell r="HX527" t="str">
            <v>mstag:amortizationOfDeferredCompensationExpense</v>
          </cell>
          <cell r="HY527">
            <v>6</v>
          </cell>
          <cell r="HZ527" t="str">
            <v>ISO4217:USD</v>
          </cell>
          <cell r="IA527" t="b">
            <v>0</v>
          </cell>
          <cell r="IB527" t="b">
            <v>0</v>
          </cell>
        </row>
        <row r="528">
          <cell r="E528" t="str">
            <v>Tax benefit from exercise of employee stock options</v>
          </cell>
          <cell r="G528">
            <v>13.98</v>
          </cell>
          <cell r="H528">
            <v>17.332000000000001</v>
          </cell>
          <cell r="I528">
            <v>82.987000000000009</v>
          </cell>
          <cell r="J528">
            <v>226.07300000000001</v>
          </cell>
          <cell r="K528">
            <v>48.113999999999997</v>
          </cell>
          <cell r="L528">
            <v>16.946000000000002</v>
          </cell>
          <cell r="HX528" t="str">
            <v>mstag:taxBenefitFromExerciseOfEsos</v>
          </cell>
          <cell r="HY528">
            <v>6</v>
          </cell>
          <cell r="HZ528" t="str">
            <v>ISO4217:USD</v>
          </cell>
          <cell r="IA528" t="b">
            <v>0</v>
          </cell>
          <cell r="IB528" t="b">
            <v>0</v>
          </cell>
        </row>
        <row r="529">
          <cell r="E529" t="str">
            <v>Other changes in share capital</v>
          </cell>
          <cell r="G529">
            <v>0</v>
          </cell>
          <cell r="H529">
            <v>0</v>
          </cell>
          <cell r="I529">
            <v>3639.7199999999993</v>
          </cell>
          <cell r="J529">
            <v>0</v>
          </cell>
          <cell r="K529">
            <v>0</v>
          </cell>
          <cell r="L529">
            <v>0</v>
          </cell>
          <cell r="HX529" t="str">
            <v>mstag:otherChangesInShareCapital</v>
          </cell>
          <cell r="HY529">
            <v>6</v>
          </cell>
          <cell r="HZ529" t="str">
            <v>ISO4217:USD</v>
          </cell>
          <cell r="IA529" t="b">
            <v>0</v>
          </cell>
          <cell r="IB529" t="b">
            <v>0</v>
          </cell>
        </row>
        <row r="530">
          <cell r="D530" t="str">
            <v>Repurchase of common stock</v>
          </cell>
          <cell r="G530">
            <v>0</v>
          </cell>
          <cell r="H530">
            <v>0</v>
          </cell>
          <cell r="I530">
            <v>0</v>
          </cell>
          <cell r="J530">
            <v>0</v>
          </cell>
          <cell r="K530">
            <v>39.704000000000001</v>
          </cell>
          <cell r="L530">
            <v>692.75199999999995</v>
          </cell>
          <cell r="HX530" t="str">
            <v>mstag:repurchaseOfCommonStock</v>
          </cell>
          <cell r="HY530">
            <v>6</v>
          </cell>
          <cell r="HZ530" t="str">
            <v>ISO4217:USD</v>
          </cell>
          <cell r="IA530" t="b">
            <v>0</v>
          </cell>
          <cell r="IB530" t="b">
            <v>0</v>
          </cell>
        </row>
        <row r="531">
          <cell r="C531" t="str">
            <v>Bonus to directors and corporate auditors (Japan)</v>
          </cell>
          <cell r="HX531" t="str">
            <v>mstag:bonusToDirectorsAndCorporateAuditorsJapan</v>
          </cell>
          <cell r="HY531">
            <v>6</v>
          </cell>
          <cell r="HZ531" t="str">
            <v>ISO4217:USD</v>
          </cell>
          <cell r="IA531" t="b">
            <v>0</v>
          </cell>
          <cell r="IB531" t="b">
            <v>0</v>
          </cell>
        </row>
        <row r="532">
          <cell r="C532" t="str">
            <v>Bonus to directors and supervisors (Taiwan)</v>
          </cell>
          <cell r="HX532" t="str">
            <v>mstag:bonusToDirectorsAndSupervisorsTaiwan</v>
          </cell>
          <cell r="HY532">
            <v>6</v>
          </cell>
          <cell r="HZ532" t="str">
            <v>ISO4217:USD</v>
          </cell>
          <cell r="IA532" t="b">
            <v>0</v>
          </cell>
          <cell r="IB532" t="b">
            <v>0</v>
          </cell>
        </row>
        <row r="533">
          <cell r="C533" t="str">
            <v>Employee cash bonus (Taiwan)</v>
          </cell>
          <cell r="HX533" t="str">
            <v>mstag:employeeCashBonusTaiwan</v>
          </cell>
          <cell r="HY533">
            <v>6</v>
          </cell>
          <cell r="HZ533" t="str">
            <v>ISO4217:USD</v>
          </cell>
          <cell r="IA533" t="b">
            <v>0</v>
          </cell>
          <cell r="IB533" t="b">
            <v>0</v>
          </cell>
        </row>
        <row r="534">
          <cell r="C534" t="str">
            <v>Employee stock bonus (Taiwan)</v>
          </cell>
          <cell r="HX534" t="str">
            <v>mstag:employeeStockBonusTaiwan</v>
          </cell>
          <cell r="HY534">
            <v>6</v>
          </cell>
          <cell r="HZ534" t="str">
            <v>ISO4217:USD</v>
          </cell>
          <cell r="IA534" t="b">
            <v>0</v>
          </cell>
          <cell r="IB534" t="b">
            <v>0</v>
          </cell>
        </row>
        <row r="535">
          <cell r="C535" t="str">
            <v>Change in accumulated other comprehensive income (loss) or other reserves</v>
          </cell>
          <cell r="G535">
            <v>-0.11700000000000001</v>
          </cell>
          <cell r="H535">
            <v>5.431</v>
          </cell>
          <cell r="I535">
            <v>200.23600000000002</v>
          </cell>
          <cell r="J535">
            <v>72.119</v>
          </cell>
          <cell r="K535">
            <v>-19.896000000000001</v>
          </cell>
          <cell r="L535">
            <v>-43.08</v>
          </cell>
          <cell r="M535">
            <v>28.549801041422199</v>
          </cell>
          <cell r="HX535" t="str">
            <v>mstag:changeInAccumulatedOtherComprehensiveIncomeLossOrOtherReserves</v>
          </cell>
          <cell r="HY535">
            <v>6</v>
          </cell>
          <cell r="HZ535" t="str">
            <v>ISO4217:USD</v>
          </cell>
          <cell r="IA535" t="b">
            <v>0</v>
          </cell>
          <cell r="IB535" t="b">
            <v>0</v>
          </cell>
        </row>
        <row r="536">
          <cell r="D536" t="str">
            <v>Change in unrealized gains (losses) on AFS securities</v>
          </cell>
          <cell r="G536">
            <v>-0.11700000000000001</v>
          </cell>
          <cell r="H536">
            <v>5.431</v>
          </cell>
          <cell r="I536">
            <v>220.57300000000001</v>
          </cell>
          <cell r="J536">
            <v>72.119</v>
          </cell>
          <cell r="K536">
            <v>-27.741</v>
          </cell>
          <cell r="L536">
            <v>-38.777999999999999</v>
          </cell>
          <cell r="HX536" t="str">
            <v>mstag:changeInUnrealizedGainsLossesOnAfsSecurities</v>
          </cell>
          <cell r="HY536">
            <v>6</v>
          </cell>
          <cell r="HZ536" t="str">
            <v>ISO4217:USD</v>
          </cell>
          <cell r="IA536" t="b">
            <v>0</v>
          </cell>
          <cell r="IB536" t="b">
            <v>0</v>
          </cell>
        </row>
        <row r="537">
          <cell r="D537" t="str">
            <v>Change in foreign currency translation</v>
          </cell>
          <cell r="HX537" t="str">
            <v>mstag:changeInForeignCurrencyTranslation</v>
          </cell>
          <cell r="HY537">
            <v>6</v>
          </cell>
          <cell r="HZ537" t="str">
            <v>ISO4217:USD</v>
          </cell>
          <cell r="IA537" t="b">
            <v>0</v>
          </cell>
          <cell r="IB537" t="b">
            <v>0</v>
          </cell>
        </row>
        <row r="538">
          <cell r="D538" t="str">
            <v>Change in minimum pension liability</v>
          </cell>
          <cell r="HX538" t="str">
            <v>mstag:changeInMinimumPensionLiability</v>
          </cell>
          <cell r="HY538">
            <v>6</v>
          </cell>
          <cell r="HZ538" t="str">
            <v>ISO4217:USD</v>
          </cell>
          <cell r="IA538" t="b">
            <v>0</v>
          </cell>
          <cell r="IB538" t="b">
            <v>0</v>
          </cell>
        </row>
        <row r="539">
          <cell r="D539" t="str">
            <v>Change in cash flow hedges</v>
          </cell>
          <cell r="G539">
            <v>0</v>
          </cell>
          <cell r="H539">
            <v>0</v>
          </cell>
          <cell r="I539">
            <v>0</v>
          </cell>
          <cell r="J539">
            <v>0</v>
          </cell>
          <cell r="K539">
            <v>7.8449999999999998</v>
          </cell>
          <cell r="L539">
            <v>-4.3019999999999996</v>
          </cell>
          <cell r="HX539" t="str">
            <v>mstag:changeInCashFlowHedges</v>
          </cell>
          <cell r="HY539">
            <v>6</v>
          </cell>
          <cell r="HZ539" t="str">
            <v>ISO4217:USD</v>
          </cell>
          <cell r="IA539" t="b">
            <v>0</v>
          </cell>
          <cell r="IB539" t="b">
            <v>0</v>
          </cell>
        </row>
        <row r="540">
          <cell r="D540" t="str">
            <v>Other change in accumulated other comprehensive income (loss)</v>
          </cell>
          <cell r="G540">
            <v>0</v>
          </cell>
          <cell r="H540">
            <v>0</v>
          </cell>
          <cell r="I540">
            <v>-20.337</v>
          </cell>
          <cell r="J540">
            <v>0</v>
          </cell>
          <cell r="K540">
            <v>0</v>
          </cell>
          <cell r="L540">
            <v>0</v>
          </cell>
          <cell r="HX540" t="str">
            <v>mstag:otherChangeInAccumulatedOtherComprehensiveIncomeLoss</v>
          </cell>
          <cell r="HY540">
            <v>6</v>
          </cell>
          <cell r="HZ540" t="str">
            <v>ISO4217:USD</v>
          </cell>
          <cell r="IA540" t="b">
            <v>0</v>
          </cell>
          <cell r="IB540" t="b">
            <v>0</v>
          </cell>
        </row>
        <row r="541">
          <cell r="D541" t="str">
            <v>Change in revaluation reserves</v>
          </cell>
          <cell r="HX541" t="str">
            <v>mstag:changeInRevaluationReserves</v>
          </cell>
          <cell r="HY541">
            <v>6</v>
          </cell>
          <cell r="HZ541" t="str">
            <v>ISO4217:USD</v>
          </cell>
          <cell r="IA541" t="b">
            <v>0</v>
          </cell>
          <cell r="IB541" t="b">
            <v>0</v>
          </cell>
        </row>
        <row r="542">
          <cell r="D542" t="str">
            <v>Change in unearned compensation reserve</v>
          </cell>
          <cell r="HX542" t="str">
            <v>mstag:changeInUnearnedCompensationReserve</v>
          </cell>
          <cell r="HY542">
            <v>6</v>
          </cell>
          <cell r="HZ542" t="str">
            <v>ISO4217:USD</v>
          </cell>
          <cell r="IA542" t="b">
            <v>0</v>
          </cell>
          <cell r="IB542" t="b">
            <v>0</v>
          </cell>
        </row>
        <row r="543">
          <cell r="B543" t="str">
            <v>Operating metrics</v>
          </cell>
          <cell r="HY543">
            <v>0</v>
          </cell>
          <cell r="HZ543" t="str">
            <v>ms_eqr_gcim_String:ms_eqr_gcim_string</v>
          </cell>
          <cell r="IA543" t="b">
            <v>0</v>
          </cell>
          <cell r="IB543" t="b">
            <v>0</v>
          </cell>
        </row>
        <row r="544">
          <cell r="C544" t="str">
            <v>Cumulative unrecognized gain (loss) on other investments, gross of tax, operating</v>
          </cell>
          <cell r="HX544" t="str">
            <v>mstag:cumulativeUnrealizedGainLossOnOtherInvestmentsGrossOfTaxOperating</v>
          </cell>
          <cell r="HY544">
            <v>6</v>
          </cell>
          <cell r="HZ544" t="str">
            <v>ISO4217:USD</v>
          </cell>
          <cell r="IA544" t="b">
            <v>0</v>
          </cell>
          <cell r="IB544" t="b">
            <v>0</v>
          </cell>
        </row>
        <row r="545">
          <cell r="C545" t="str">
            <v>Cumulative unrecognized gain (loss) on other investments, gross of tax, nonoperating</v>
          </cell>
          <cell r="HX545" t="str">
            <v>mstag:cumulativeUnrealizedGainLossOnOtherInvestmentsGrossOfTaxNonOperating</v>
          </cell>
          <cell r="HY545">
            <v>6</v>
          </cell>
          <cell r="HZ545" t="str">
            <v>ISO4217:USD</v>
          </cell>
          <cell r="IA545" t="b">
            <v>0</v>
          </cell>
          <cell r="IB545" t="b">
            <v>0</v>
          </cell>
        </row>
        <row r="546">
          <cell r="C546" t="str">
            <v>Current period unrecognized gain (loss) on other investments, gross of tax, operating</v>
          </cell>
          <cell r="G546" t="str">
            <v/>
          </cell>
          <cell r="H546" t="str">
            <v/>
          </cell>
          <cell r="I546" t="str">
            <v/>
          </cell>
          <cell r="J546" t="str">
            <v/>
          </cell>
          <cell r="K546" t="str">
            <v/>
          </cell>
          <cell r="L546" t="str">
            <v/>
          </cell>
          <cell r="M546" t="str">
            <v/>
          </cell>
          <cell r="HX546" t="str">
            <v>mstag:unrealizedGainLossOnOtherInvestmentsGrossOfTaxOperating</v>
          </cell>
          <cell r="HY546">
            <v>6</v>
          </cell>
          <cell r="HZ546" t="str">
            <v>ISO4217:USD</v>
          </cell>
          <cell r="IA546" t="b">
            <v>0</v>
          </cell>
          <cell r="IB546" t="b">
            <v>0</v>
          </cell>
        </row>
        <row r="547">
          <cell r="D547" t="str">
            <v>Current period unrecognized gain (loss) on other investments, gross of tax, operating, recurring</v>
          </cell>
          <cell r="HX547" t="str">
            <v>mstag:currentPeriodUnrecognizedGainLossOnOtherInvestmentsGrossOfTaxOperatingRecurring</v>
          </cell>
          <cell r="HY547">
            <v>6</v>
          </cell>
          <cell r="HZ547" t="str">
            <v>ISO4217:USD</v>
          </cell>
          <cell r="IA547" t="b">
            <v>0</v>
          </cell>
          <cell r="IB547" t="b">
            <v>0</v>
          </cell>
        </row>
        <row r="548">
          <cell r="D548" t="str">
            <v>Current period unrecognized gain (loss) on other investments, gross of tax, operating, one time</v>
          </cell>
          <cell r="HX548" t="str">
            <v>mstag:currentPeriodUnrecognizedGainLossOnOtherInvestmentsGrossOfTaxOperatingOneTime</v>
          </cell>
          <cell r="HY548">
            <v>6</v>
          </cell>
          <cell r="HZ548" t="str">
            <v>ISO4217:USD</v>
          </cell>
          <cell r="IA548" t="b">
            <v>0</v>
          </cell>
          <cell r="IB548" t="b">
            <v>0</v>
          </cell>
        </row>
        <row r="549">
          <cell r="C549" t="str">
            <v>Current period unrecognized gain (loss) on other investments, gross of tax, nonoperating</v>
          </cell>
          <cell r="G549" t="str">
            <v/>
          </cell>
          <cell r="H549" t="str">
            <v/>
          </cell>
          <cell r="I549" t="str">
            <v/>
          </cell>
          <cell r="J549" t="str">
            <v/>
          </cell>
          <cell r="K549" t="str">
            <v/>
          </cell>
          <cell r="L549" t="str">
            <v/>
          </cell>
          <cell r="M549" t="str">
            <v/>
          </cell>
          <cell r="HX549" t="str">
            <v>mstag:unrealizedGainLossOnOtherInvestmentsGrossOfTaxNonOperating</v>
          </cell>
          <cell r="HY549">
            <v>6</v>
          </cell>
          <cell r="HZ549" t="str">
            <v>ISO4217:USD</v>
          </cell>
          <cell r="IA549" t="b">
            <v>0</v>
          </cell>
          <cell r="IB549" t="b">
            <v>0</v>
          </cell>
        </row>
        <row r="550">
          <cell r="D550" t="str">
            <v>Current period unrecognized gain (loss) on other investments, gross of tax, nonoperating, recurring</v>
          </cell>
          <cell r="HX550" t="str">
            <v>mstag:currentPeriodUnrecognizedGainLossOnOtherInvestmentsGrossOfTaxNonOperatingRecurring</v>
          </cell>
          <cell r="HY550">
            <v>6</v>
          </cell>
          <cell r="HZ550" t="str">
            <v>ISO4217:USD</v>
          </cell>
          <cell r="IA550" t="b">
            <v>0</v>
          </cell>
          <cell r="IB550" t="b">
            <v>0</v>
          </cell>
        </row>
        <row r="551">
          <cell r="D551" t="str">
            <v>Current period unrecognized gain (loss) on other investments, gross of tax, nonoperating, one time</v>
          </cell>
          <cell r="HX551" t="str">
            <v>mstag:currentPeriodUnrecognizedGainLossOnOtherInvestmentsGrossOfTaxNonOperatingOneTime</v>
          </cell>
          <cell r="HY551">
            <v>6</v>
          </cell>
          <cell r="HZ551" t="str">
            <v>ISO4217:USD</v>
          </cell>
          <cell r="IA551" t="b">
            <v>0</v>
          </cell>
          <cell r="IB551" t="b">
            <v>0</v>
          </cell>
        </row>
        <row r="552">
          <cell r="C552" t="str">
            <v>Distribution metrics</v>
          </cell>
          <cell r="HY552">
            <v>0</v>
          </cell>
          <cell r="HZ552" t="str">
            <v>ms_eqr_gcim_String:ms_eqr_gcim_string</v>
          </cell>
          <cell r="IA552" t="b">
            <v>0</v>
          </cell>
          <cell r="IB552" t="b">
            <v>0</v>
          </cell>
        </row>
        <row r="553">
          <cell r="D553" t="str">
            <v>Number of gas customers, average</v>
          </cell>
          <cell r="HX553" t="str">
            <v>mstag:numberOfGasCustomersAverage</v>
          </cell>
          <cell r="HY553">
            <v>6</v>
          </cell>
          <cell r="HZ553" t="str">
            <v>ms_eqr_gcim_Decimal:ms_eqr_gcim_decimal</v>
          </cell>
          <cell r="IA553" t="b">
            <v>0</v>
          </cell>
          <cell r="IB553" t="b">
            <v>0</v>
          </cell>
        </row>
        <row r="554">
          <cell r="D554" t="str">
            <v>Number of gas customers, end of period</v>
          </cell>
          <cell r="HX554" t="str">
            <v>mstag:numberOfGasCustomersEndOfPeriod</v>
          </cell>
          <cell r="HY554">
            <v>6</v>
          </cell>
          <cell r="HZ554" t="str">
            <v>ms_eqr_gcim_Decimal:ms_eqr_gcim_decimal</v>
          </cell>
          <cell r="IA554" t="b">
            <v>0</v>
          </cell>
          <cell r="IB554" t="b">
            <v>0</v>
          </cell>
        </row>
        <row r="555">
          <cell r="C555" t="str">
            <v>Heating degree days</v>
          </cell>
          <cell r="HX555" t="str">
            <v>mstag:heatingDegreeDays</v>
          </cell>
          <cell r="HY555">
            <v>6</v>
          </cell>
          <cell r="HZ555" t="str">
            <v>ms_eqr_gcim_Decimal:ms_eqr_gcim_decimal</v>
          </cell>
          <cell r="IA555" t="b">
            <v>0</v>
          </cell>
          <cell r="IB555" t="b">
            <v>0</v>
          </cell>
        </row>
        <row r="556">
          <cell r="C556" t="str">
            <v>Revenue concentration metrics</v>
          </cell>
          <cell r="HY556">
            <v>0</v>
          </cell>
          <cell r="HZ556" t="str">
            <v>ms_eqr_gcim_String:ms_eqr_gcim_string</v>
          </cell>
          <cell r="IA556" t="b">
            <v>0</v>
          </cell>
          <cell r="IB556" t="b">
            <v>0</v>
          </cell>
        </row>
        <row r="557">
          <cell r="D557" t="str">
            <v>Top 3 drugs as percent of total sales</v>
          </cell>
          <cell r="G557">
            <v>0.39169088733116775</v>
          </cell>
          <cell r="H557">
            <v>0.56714962385065482</v>
          </cell>
          <cell r="I557">
            <v>0.66307381387739395</v>
          </cell>
          <cell r="J557">
            <v>0.74051474614722679</v>
          </cell>
          <cell r="K557">
            <v>0.81215216019278214</v>
          </cell>
          <cell r="L557">
            <v>0.85288408208541333</v>
          </cell>
          <cell r="HX557" t="str">
            <v>mstag:top3DrugsAsPercentOfTotalSales</v>
          </cell>
          <cell r="HY557">
            <v>0</v>
          </cell>
          <cell r="HZ557" t="str">
            <v>ms_eqr_gcim_Decimal:ms_eqr_gcim_decimal</v>
          </cell>
          <cell r="IA557" t="b">
            <v>0</v>
          </cell>
          <cell r="IB557" t="b">
            <v>0</v>
          </cell>
        </row>
        <row r="558">
          <cell r="D558" t="str">
            <v>Top 10 drugs as percent of total sales</v>
          </cell>
          <cell r="HX558" t="str">
            <v>mstag:top10DrugsAsPercentOfTotalSales</v>
          </cell>
          <cell r="HY558">
            <v>0</v>
          </cell>
          <cell r="HZ558" t="str">
            <v>ms_eqr_gcim_Decimal:ms_eqr_gcim_decimal</v>
          </cell>
          <cell r="IA558" t="b">
            <v>0</v>
          </cell>
          <cell r="IB558" t="b">
            <v>0</v>
          </cell>
        </row>
        <row r="559">
          <cell r="D559" t="str">
            <v>Generic products as percent of total sales</v>
          </cell>
          <cell r="HX559" t="str">
            <v>mstag:genericProductsAsPercentOfTotalSales</v>
          </cell>
          <cell r="HY559">
            <v>0</v>
          </cell>
          <cell r="HZ559" t="str">
            <v>ms_eqr_gcim_Decimal:ms_eqr_gcim_decimal</v>
          </cell>
          <cell r="IA559" t="b">
            <v>0</v>
          </cell>
          <cell r="IB559" t="b">
            <v>0</v>
          </cell>
        </row>
        <row r="560">
          <cell r="D560" t="str">
            <v>Nongeneric (patented) products as percent of total sales</v>
          </cell>
          <cell r="HX560" t="str">
            <v>mstag:nonGenericPatentedProductsAsPercentOfTotalSales</v>
          </cell>
          <cell r="HY560">
            <v>0</v>
          </cell>
          <cell r="HZ560" t="str">
            <v>ms_eqr_gcim_Decimal:ms_eqr_gcim_decimal</v>
          </cell>
          <cell r="IA560" t="b">
            <v>0</v>
          </cell>
          <cell r="IB560" t="b">
            <v>0</v>
          </cell>
        </row>
        <row r="561">
          <cell r="D561" t="str">
            <v>Hospital products as percent of total sales</v>
          </cell>
          <cell r="HX561" t="str">
            <v>mstag:hospitalProductsAsPercentOfTotalSales</v>
          </cell>
          <cell r="HY561">
            <v>0</v>
          </cell>
          <cell r="HZ561" t="str">
            <v>ms_eqr_gcim_Decimal:ms_eqr_gcim_decimal</v>
          </cell>
          <cell r="IA561" t="b">
            <v>0</v>
          </cell>
          <cell r="IB561" t="b">
            <v>0</v>
          </cell>
        </row>
        <row r="562">
          <cell r="D562" t="str">
            <v>Primary care products as percent of total sales</v>
          </cell>
          <cell r="HX562" t="str">
            <v>mstag:primaryCareProductsAsPercentOfTotalSales</v>
          </cell>
          <cell r="HY562">
            <v>0</v>
          </cell>
          <cell r="HZ562" t="str">
            <v>ms_eqr_gcim_Decimal:ms_eqr_gcim_decimal</v>
          </cell>
          <cell r="IA562" t="b">
            <v>0</v>
          </cell>
          <cell r="IB562" t="b">
            <v>0</v>
          </cell>
        </row>
        <row r="563">
          <cell r="D563" t="str">
            <v>Pills/tablets/capsules as percent of total sales</v>
          </cell>
          <cell r="HX563" t="str">
            <v>mstag:pillstabletscapsulesAsPercentOfTotalSales</v>
          </cell>
          <cell r="HY563">
            <v>0</v>
          </cell>
          <cell r="HZ563" t="str">
            <v>ms_eqr_gcim_Decimal:ms_eqr_gcim_decimal</v>
          </cell>
          <cell r="IA563" t="b">
            <v>0</v>
          </cell>
          <cell r="IB563" t="b">
            <v>0</v>
          </cell>
        </row>
        <row r="564">
          <cell r="D564" t="str">
            <v>Biological products as percent of total sales</v>
          </cell>
          <cell r="HX564" t="str">
            <v>mstag:biologicalProductsAsPercentOfTotalSales</v>
          </cell>
          <cell r="HY564">
            <v>0</v>
          </cell>
          <cell r="HZ564" t="str">
            <v>ms_eqr_gcim_Decimal:ms_eqr_gcim_decimal</v>
          </cell>
          <cell r="IA564" t="b">
            <v>0</v>
          </cell>
          <cell r="IB564" t="b">
            <v>0</v>
          </cell>
        </row>
        <row r="565">
          <cell r="D565" t="str">
            <v>Chemical products as percent of total sales</v>
          </cell>
          <cell r="HX565" t="str">
            <v>mstag:chemicalProductsAsPercentOfTotalSales</v>
          </cell>
          <cell r="HY565">
            <v>0</v>
          </cell>
          <cell r="HZ565" t="str">
            <v>ms_eqr_gcim_Decimal:ms_eqr_gcim_decimal</v>
          </cell>
          <cell r="IA565" t="b">
            <v>0</v>
          </cell>
          <cell r="IB565" t="b">
            <v>0</v>
          </cell>
        </row>
        <row r="566">
          <cell r="D566" t="str">
            <v>Other products as a percent of total sales</v>
          </cell>
          <cell r="HX566" t="str">
            <v>mstag:otherProductsAsAPercentOfTotalSales</v>
          </cell>
          <cell r="HY566">
            <v>0</v>
          </cell>
          <cell r="HZ566" t="str">
            <v>ms_eqr_gcim_Decimal:ms_eqr_gcim_decimal</v>
          </cell>
          <cell r="IA566" t="b">
            <v>0</v>
          </cell>
          <cell r="IB566" t="b">
            <v>0</v>
          </cell>
        </row>
        <row r="567">
          <cell r="C567" t="str">
            <v>Pipeline segmentation</v>
          </cell>
          <cell r="HY567">
            <v>0</v>
          </cell>
          <cell r="HZ567" t="str">
            <v>ms_eqr_gcim_String:ms_eqr_gcim_string</v>
          </cell>
          <cell r="IA567" t="b">
            <v>0</v>
          </cell>
          <cell r="IB567" t="b">
            <v>0</v>
          </cell>
        </row>
        <row r="568">
          <cell r="D568" t="str">
            <v>Total number of drugs in Phase 1 trials</v>
          </cell>
          <cell r="G568">
            <v>2</v>
          </cell>
          <cell r="H568">
            <v>1</v>
          </cell>
          <cell r="I568">
            <v>1</v>
          </cell>
          <cell r="J568">
            <v>4</v>
          </cell>
          <cell r="K568">
            <v>1</v>
          </cell>
          <cell r="L568">
            <v>0</v>
          </cell>
          <cell r="HX568" t="str">
            <v>mstag:totalNumberOfDrugsInPhase1Trials</v>
          </cell>
          <cell r="HY568">
            <v>0</v>
          </cell>
          <cell r="HZ568" t="str">
            <v>ms_eqr_gcim_Decimal:ms_eqr_gcim_decimal</v>
          </cell>
          <cell r="IA568" t="b">
            <v>0</v>
          </cell>
          <cell r="IB568" t="b">
            <v>0</v>
          </cell>
        </row>
        <row r="569">
          <cell r="D569" t="str">
            <v>Total number of drugs in Phase 2 trials</v>
          </cell>
          <cell r="G569">
            <v>5</v>
          </cell>
          <cell r="H569">
            <v>7</v>
          </cell>
          <cell r="I569">
            <v>5</v>
          </cell>
          <cell r="J569">
            <v>4</v>
          </cell>
          <cell r="K569">
            <v>3</v>
          </cell>
          <cell r="L569">
            <v>2</v>
          </cell>
          <cell r="HX569" t="str">
            <v>mstag:totalNumberOfDrugsInPhase2Trials</v>
          </cell>
          <cell r="HY569">
            <v>0</v>
          </cell>
          <cell r="HZ569" t="str">
            <v>ms_eqr_gcim_Decimal:ms_eqr_gcim_decimal</v>
          </cell>
          <cell r="IA569" t="b">
            <v>0</v>
          </cell>
          <cell r="IB569" t="b">
            <v>0</v>
          </cell>
        </row>
        <row r="570">
          <cell r="D570" t="str">
            <v>Total number of drugs in Phase 3 trials</v>
          </cell>
          <cell r="G570">
            <v>9</v>
          </cell>
          <cell r="H570">
            <v>7</v>
          </cell>
          <cell r="I570">
            <v>5</v>
          </cell>
          <cell r="J570">
            <v>8</v>
          </cell>
          <cell r="K570">
            <v>6</v>
          </cell>
          <cell r="L570">
            <v>5</v>
          </cell>
          <cell r="HX570" t="str">
            <v>mstag:totalNumberOfDrugsInPhase3Trials</v>
          </cell>
          <cell r="HY570">
            <v>0</v>
          </cell>
          <cell r="HZ570" t="str">
            <v>ms_eqr_gcim_Decimal:ms_eqr_gcim_decimal</v>
          </cell>
          <cell r="IA570" t="b">
            <v>0</v>
          </cell>
          <cell r="IB570" t="b">
            <v>0</v>
          </cell>
        </row>
        <row r="571">
          <cell r="D571" t="str">
            <v>Total number of drugs in Phase 2 or 3 trials</v>
          </cell>
          <cell r="G571">
            <v>7</v>
          </cell>
          <cell r="H571">
            <v>8</v>
          </cell>
          <cell r="I571">
            <v>6</v>
          </cell>
          <cell r="J571">
            <v>8</v>
          </cell>
          <cell r="K571">
            <v>4</v>
          </cell>
          <cell r="L571">
            <v>2</v>
          </cell>
          <cell r="HX571" t="str">
            <v>mstag:totalNumberOfDrugsInPhase2Or3Trials</v>
          </cell>
          <cell r="HY571">
            <v>0</v>
          </cell>
          <cell r="HZ571" t="str">
            <v>ms_eqr_gcim_Decimal:ms_eqr_gcim_decimal</v>
          </cell>
          <cell r="IA571" t="b">
            <v>0</v>
          </cell>
          <cell r="IB571" t="b">
            <v>0</v>
          </cell>
        </row>
        <row r="572">
          <cell r="D572" t="str">
            <v>Total number of marketed products</v>
          </cell>
          <cell r="G572">
            <v>6</v>
          </cell>
          <cell r="H572">
            <v>7</v>
          </cell>
          <cell r="I572">
            <v>8</v>
          </cell>
          <cell r="J572">
            <v>9</v>
          </cell>
          <cell r="K572">
            <v>10</v>
          </cell>
          <cell r="L572">
            <v>10</v>
          </cell>
          <cell r="HX572" t="str">
            <v>mstag:totalNumberOfMarketedProducts</v>
          </cell>
          <cell r="HY572">
            <v>0</v>
          </cell>
          <cell r="HZ572" t="str">
            <v>ms_eqr_gcim_Decimal:ms_eqr_gcim_decimal</v>
          </cell>
          <cell r="IA572" t="b">
            <v>0</v>
          </cell>
          <cell r="IB572" t="b">
            <v>0</v>
          </cell>
        </row>
        <row r="573">
          <cell r="D573" t="str">
            <v>Percent Phase 2</v>
          </cell>
          <cell r="G573">
            <v>0.3125</v>
          </cell>
          <cell r="H573">
            <v>0.46666666666666667</v>
          </cell>
          <cell r="I573">
            <v>0.45454545454545453</v>
          </cell>
          <cell r="J573">
            <v>0.25</v>
          </cell>
          <cell r="K573">
            <v>0.3</v>
          </cell>
          <cell r="L573">
            <v>0.4</v>
          </cell>
          <cell r="HX573" t="str">
            <v>mstag:percentPhase2</v>
          </cell>
          <cell r="HY573">
            <v>0</v>
          </cell>
          <cell r="HZ573" t="str">
            <v>ms_eqr_gcim_Decimal:ms_eqr_gcim_decimal</v>
          </cell>
          <cell r="IA573" t="b">
            <v>0</v>
          </cell>
          <cell r="IB573" t="b">
            <v>0</v>
          </cell>
        </row>
        <row r="574">
          <cell r="D574" t="str">
            <v>Percent Phase 3</v>
          </cell>
          <cell r="G574">
            <v>0.5625</v>
          </cell>
          <cell r="H574">
            <v>0.46666666666666667</v>
          </cell>
          <cell r="I574">
            <v>0.45454545454545453</v>
          </cell>
          <cell r="J574">
            <v>0.5</v>
          </cell>
          <cell r="K574">
            <v>0.6</v>
          </cell>
          <cell r="L574">
            <v>0.7142857142857143</v>
          </cell>
          <cell r="HX574" t="str">
            <v>mstag:percentPhase3</v>
          </cell>
          <cell r="HY574">
            <v>0</v>
          </cell>
          <cell r="HZ574" t="str">
            <v>ms_eqr_gcim_Decimal:ms_eqr_gcim_decimal</v>
          </cell>
          <cell r="IA574" t="b">
            <v>0</v>
          </cell>
          <cell r="IB574" t="b">
            <v>0</v>
          </cell>
        </row>
        <row r="575">
          <cell r="C575" t="str">
            <v>Estimated net option expense if reported</v>
          </cell>
          <cell r="HX575" t="str">
            <v>mstag:estimatedNetOptionExpenseIfReported</v>
          </cell>
          <cell r="HY575">
            <v>6</v>
          </cell>
          <cell r="HZ575" t="str">
            <v>ISO4217:USD</v>
          </cell>
          <cell r="IA575" t="b">
            <v>0</v>
          </cell>
          <cell r="IB575" t="b">
            <v>0</v>
          </cell>
        </row>
        <row r="576">
          <cell r="C576" t="str">
            <v>Unrecorded goodwill from poolings, write-offs, and cumulative amortization</v>
          </cell>
          <cell r="G576">
            <v>0</v>
          </cell>
          <cell r="H576">
            <v>0</v>
          </cell>
          <cell r="I576">
            <v>690.20899999999995</v>
          </cell>
          <cell r="J576">
            <v>843.49400000000003</v>
          </cell>
          <cell r="K576">
            <v>843.49400000000003</v>
          </cell>
          <cell r="L576">
            <v>843.49400000000003</v>
          </cell>
          <cell r="M576">
            <v>843.49400000000003</v>
          </cell>
          <cell r="HX576" t="str">
            <v>mstag:unrecordedGoodwillFromPoolingAndAmortizedOrWrittenOffGoodwill</v>
          </cell>
          <cell r="HY576">
            <v>6</v>
          </cell>
          <cell r="HZ576" t="str">
            <v>ISO4217:USD</v>
          </cell>
          <cell r="IA576" t="b">
            <v>0</v>
          </cell>
          <cell r="IB576" t="b">
            <v>0</v>
          </cell>
        </row>
        <row r="577">
          <cell r="D577" t="str">
            <v>Unrecorded goodwill from poolings</v>
          </cell>
          <cell r="HX577" t="str">
            <v>mstag:unrecordedGoodwillFromPoolings</v>
          </cell>
          <cell r="HY577">
            <v>6</v>
          </cell>
          <cell r="HZ577" t="str">
            <v>ISO4217:USD</v>
          </cell>
          <cell r="IA577" t="b">
            <v>0</v>
          </cell>
          <cell r="IB577" t="b">
            <v>0</v>
          </cell>
        </row>
        <row r="578">
          <cell r="D578" t="str">
            <v>Nonimpairment write-offs</v>
          </cell>
          <cell r="HX578" t="str">
            <v>mstag:nonImpairmentWriteOffs</v>
          </cell>
          <cell r="HY578">
            <v>6</v>
          </cell>
          <cell r="HZ578" t="str">
            <v>ISO4217:USD</v>
          </cell>
          <cell r="IA578" t="b">
            <v>0</v>
          </cell>
          <cell r="IB578" t="b">
            <v>0</v>
          </cell>
        </row>
        <row r="579">
          <cell r="D579" t="str">
            <v>Cumulative goodwill impairments reported</v>
          </cell>
          <cell r="HX579" t="str">
            <v>mstag:cumulativeGoodwillImpairmentsReported</v>
          </cell>
          <cell r="HY579">
            <v>6</v>
          </cell>
          <cell r="HZ579" t="str">
            <v>ISO4217:USD</v>
          </cell>
          <cell r="IA579" t="b">
            <v>0</v>
          </cell>
          <cell r="IB579" t="b">
            <v>0</v>
          </cell>
        </row>
        <row r="580">
          <cell r="D580" t="str">
            <v>Cumulative amortization</v>
          </cell>
          <cell r="HX580" t="str">
            <v>mstag:cumulativeAmortization</v>
          </cell>
          <cell r="HY580">
            <v>6</v>
          </cell>
          <cell r="HZ580" t="str">
            <v>ISO4217:USD</v>
          </cell>
          <cell r="IA580" t="b">
            <v>0</v>
          </cell>
          <cell r="IB580" t="b">
            <v>0</v>
          </cell>
        </row>
        <row r="581">
          <cell r="C581" t="str">
            <v>Analyst estimated goodwill impairments</v>
          </cell>
          <cell r="HX581" t="str">
            <v>mstag:analystEstimatedGoodwillImpairments</v>
          </cell>
          <cell r="HY581">
            <v>6</v>
          </cell>
          <cell r="HZ581" t="str">
            <v>ISO4217:USD</v>
          </cell>
          <cell r="IA581" t="b">
            <v>0</v>
          </cell>
          <cell r="IB581" t="b">
            <v>0</v>
          </cell>
        </row>
        <row r="582">
          <cell r="C582" t="str">
            <v>Cumulative indefinite life intangible amortization and impairments reported</v>
          </cell>
          <cell r="G582" t="str">
            <v/>
          </cell>
          <cell r="H582" t="str">
            <v/>
          </cell>
          <cell r="I582" t="str">
            <v/>
          </cell>
          <cell r="J582" t="str">
            <v/>
          </cell>
          <cell r="K582" t="str">
            <v/>
          </cell>
          <cell r="L582" t="str">
            <v/>
          </cell>
          <cell r="M582" t="str">
            <v/>
          </cell>
          <cell r="HX582" t="str">
            <v>mstag:cumulativeIndefiniteLifeIntangibleAmortizationAndImpairmentsReported</v>
          </cell>
          <cell r="HY582">
            <v>6</v>
          </cell>
          <cell r="HZ582" t="str">
            <v>ISO4217:USD</v>
          </cell>
          <cell r="IA582" t="b">
            <v>0</v>
          </cell>
          <cell r="IB582" t="b">
            <v>0</v>
          </cell>
        </row>
        <row r="583">
          <cell r="D583" t="str">
            <v>Cumulative indefinite life intangible amortization</v>
          </cell>
          <cell r="HX583" t="str">
            <v>mstag:cumulativeIndefiniteLifeIntangibleAmortization</v>
          </cell>
          <cell r="HY583">
            <v>6</v>
          </cell>
          <cell r="HZ583" t="str">
            <v>ISO4217:USD</v>
          </cell>
          <cell r="IA583" t="b">
            <v>0</v>
          </cell>
          <cell r="IB583" t="b">
            <v>0</v>
          </cell>
        </row>
        <row r="584">
          <cell r="D584" t="str">
            <v>Cumulative indefinite life intangible impairments reported</v>
          </cell>
          <cell r="HX584" t="str">
            <v>mstag:cumulativeIndefiniteLifeIntangibleImpairmentsReported</v>
          </cell>
          <cell r="HY584">
            <v>6</v>
          </cell>
          <cell r="HZ584" t="str">
            <v>ISO4217:USD</v>
          </cell>
          <cell r="IA584" t="b">
            <v>0</v>
          </cell>
          <cell r="IB584" t="b">
            <v>0</v>
          </cell>
        </row>
        <row r="585">
          <cell r="C585" t="str">
            <v>Adjustment for cash taxes paid</v>
          </cell>
          <cell r="HX585" t="str">
            <v>mstag:adjustmentForCashTaxesPaid</v>
          </cell>
          <cell r="HY585">
            <v>6</v>
          </cell>
          <cell r="HZ585" t="str">
            <v>ISO4217:USD</v>
          </cell>
          <cell r="IA585" t="b">
            <v>0</v>
          </cell>
          <cell r="IB585" t="b">
            <v>0</v>
          </cell>
        </row>
        <row r="586">
          <cell r="C586" t="str">
            <v>Net cash used (from) one-time items</v>
          </cell>
          <cell r="HX586" t="str">
            <v>mstag:netCashUsedFromOneTimeItems</v>
          </cell>
          <cell r="HY586">
            <v>6</v>
          </cell>
          <cell r="HZ586" t="str">
            <v>ISO4217:USD</v>
          </cell>
          <cell r="IA586" t="b">
            <v>0</v>
          </cell>
          <cell r="IB586" t="b">
            <v>0</v>
          </cell>
        </row>
        <row r="587">
          <cell r="C587" t="str">
            <v>Net increase in beginning net operating assets from change in consolidation of investments</v>
          </cell>
          <cell r="HX587" t="str">
            <v>mstag:adjustmentToNetOperatingAssetsFor1stTimeConsolidationOfInvestments</v>
          </cell>
          <cell r="HY587">
            <v>6</v>
          </cell>
          <cell r="HZ587" t="str">
            <v>ISO4217:USD</v>
          </cell>
          <cell r="IA587" t="b">
            <v>0</v>
          </cell>
          <cell r="IB587" t="b">
            <v>0</v>
          </cell>
        </row>
        <row r="588">
          <cell r="C588" t="str">
            <v>Net increase in beginning net deferred tax assets (operating) from change in consolidation of investments</v>
          </cell>
          <cell r="HX588" t="str">
            <v>mstag:adjustmentToNetDeferredTaxAssetsOperatingFor1stTimeConsolidationOfInvestments</v>
          </cell>
          <cell r="HY588">
            <v>6</v>
          </cell>
          <cell r="HZ588" t="str">
            <v>ISO4217:USD</v>
          </cell>
          <cell r="IA588" t="b">
            <v>0</v>
          </cell>
          <cell r="IB588" t="b">
            <v>0</v>
          </cell>
        </row>
        <row r="589">
          <cell r="C589" t="str">
            <v>Net increase in beginning net deferred tax assets (financing) from change in consolidation of investments</v>
          </cell>
          <cell r="HX589" t="str">
            <v>mstag:adjustmentToNetDeferredTaxAssetsFinancingFor1stTimeConsolidationOfInvestments</v>
          </cell>
          <cell r="HY589">
            <v>6</v>
          </cell>
          <cell r="HZ589" t="str">
            <v>ISO4217:USD</v>
          </cell>
          <cell r="IA589" t="b">
            <v>0</v>
          </cell>
          <cell r="IB589" t="b">
            <v>0</v>
          </cell>
        </row>
        <row r="590">
          <cell r="C590" t="str">
            <v>Net increase in beginning net debt from change in consolidation of investments</v>
          </cell>
          <cell r="HX590" t="str">
            <v>mstag:adjustmentToNetDebtFor1stTimeConsolidationOfInvestments</v>
          </cell>
          <cell r="HY590">
            <v>6</v>
          </cell>
          <cell r="HZ590" t="str">
            <v>ISO4217:USD</v>
          </cell>
          <cell r="IA590" t="b">
            <v>0</v>
          </cell>
          <cell r="IB590" t="b">
            <v>0</v>
          </cell>
        </row>
        <row r="591">
          <cell r="C591" t="str">
            <v>Net decrease in beginning net operating assets from discontinued operations</v>
          </cell>
          <cell r="HX591" t="str">
            <v>mstag:adjustmentToNetOperatingAssetsForDiscontinuedOperations</v>
          </cell>
          <cell r="HY591">
            <v>6</v>
          </cell>
          <cell r="HZ591" t="str">
            <v>ISO4217:USD</v>
          </cell>
          <cell r="IA591" t="b">
            <v>0</v>
          </cell>
          <cell r="IB591" t="b">
            <v>0</v>
          </cell>
        </row>
        <row r="592">
          <cell r="C592" t="str">
            <v>Net decrease in beginning net deferred tax assets (operating) from discontinued operations</v>
          </cell>
          <cell r="HX592" t="str">
            <v>mstag:adjustmentToNetDeferredTaxAssetsOperatingForDiscontinuedOperations</v>
          </cell>
          <cell r="HY592">
            <v>6</v>
          </cell>
          <cell r="HZ592" t="str">
            <v>ISO4217:USD</v>
          </cell>
          <cell r="IA592" t="b">
            <v>0</v>
          </cell>
          <cell r="IB592" t="b">
            <v>0</v>
          </cell>
        </row>
        <row r="593">
          <cell r="C593" t="str">
            <v>Net decrease in beginning net deferred tax assets (financing) from discontinued operations</v>
          </cell>
          <cell r="HX593" t="str">
            <v>mstag:adjustmentToNetDeferredTaxAssetsFinancingForDiscontinuedOperations</v>
          </cell>
          <cell r="HY593">
            <v>6</v>
          </cell>
          <cell r="HZ593" t="str">
            <v>ISO4217:USD</v>
          </cell>
          <cell r="IA593" t="b">
            <v>0</v>
          </cell>
          <cell r="IB593" t="b">
            <v>0</v>
          </cell>
        </row>
        <row r="594">
          <cell r="C594" t="str">
            <v>Net decrease in beginning net debt from discontinued operations</v>
          </cell>
          <cell r="HX594" t="str">
            <v>mstag:adjustmentToNetDebtForDiscontinuedOperations</v>
          </cell>
          <cell r="HY594">
            <v>6</v>
          </cell>
          <cell r="HZ594" t="str">
            <v>ISO4217:USD</v>
          </cell>
          <cell r="IA594" t="b">
            <v>0</v>
          </cell>
          <cell r="IB594" t="b">
            <v>0</v>
          </cell>
        </row>
        <row r="595">
          <cell r="C595" t="str">
            <v>Risk free rate</v>
          </cell>
          <cell r="HX595" t="str">
            <v>mstag:riskFreeRate</v>
          </cell>
          <cell r="HY595">
            <v>0</v>
          </cell>
          <cell r="HZ595" t="str">
            <v>ms_eqr_gcim_Decimal:ms_eqr_gcim_decimal</v>
          </cell>
          <cell r="IA595" t="b">
            <v>0</v>
          </cell>
          <cell r="IB595" t="b">
            <v>0</v>
          </cell>
        </row>
        <row r="596">
          <cell r="C596" t="str">
            <v>Beta</v>
          </cell>
          <cell r="HX596" t="str">
            <v>mstag:beta</v>
          </cell>
          <cell r="HY596">
            <v>0</v>
          </cell>
          <cell r="HZ596" t="str">
            <v>ms_eqr_gcim_Decimal:ms_eqr_gcim_decimal</v>
          </cell>
          <cell r="IA596" t="b">
            <v>0</v>
          </cell>
          <cell r="IB596" t="b">
            <v>0</v>
          </cell>
        </row>
        <row r="597">
          <cell r="C597" t="str">
            <v>Equity risk premium</v>
          </cell>
          <cell r="HX597" t="str">
            <v>mstag:equityRiskPremium</v>
          </cell>
          <cell r="HY597">
            <v>0</v>
          </cell>
          <cell r="HZ597" t="str">
            <v>ms_eqr_gcim_Decimal:ms_eqr_gcim_decimal</v>
          </cell>
          <cell r="IA597" t="b">
            <v>0</v>
          </cell>
          <cell r="IB597" t="b">
            <v>0</v>
          </cell>
        </row>
        <row r="598">
          <cell r="C598" t="str">
            <v>Weighted average cost of capital (WACC)</v>
          </cell>
          <cell r="HX598" t="str">
            <v>mstag:weightedAverageCostOfCapitalWacc</v>
          </cell>
          <cell r="HY598">
            <v>0</v>
          </cell>
          <cell r="HZ598" t="str">
            <v>ms_eqr_gcim_Decimal:ms_eqr_gcim_decimal</v>
          </cell>
          <cell r="IA598" t="b">
            <v>0</v>
          </cell>
          <cell r="IB598" t="b">
            <v>0</v>
          </cell>
        </row>
        <row r="599">
          <cell r="C599" t="str">
            <v>Market value of investments, nonoperating</v>
          </cell>
          <cell r="HX599" t="str">
            <v>mstag:marketValueOfInvestmentsNonOperating</v>
          </cell>
          <cell r="HY599">
            <v>6</v>
          </cell>
          <cell r="HZ599" t="str">
            <v>ISO4217:USD</v>
          </cell>
          <cell r="IA599" t="b">
            <v>0</v>
          </cell>
          <cell r="IB599" t="b">
            <v>0</v>
          </cell>
        </row>
        <row r="600">
          <cell r="C600" t="str">
            <v>Market value of short- and long-term debt</v>
          </cell>
          <cell r="G600" t="str">
            <v/>
          </cell>
          <cell r="H600" t="str">
            <v/>
          </cell>
          <cell r="I600" t="str">
            <v/>
          </cell>
          <cell r="J600" t="str">
            <v/>
          </cell>
          <cell r="K600" t="str">
            <v/>
          </cell>
          <cell r="L600" t="str">
            <v/>
          </cell>
          <cell r="M600" t="str">
            <v/>
          </cell>
          <cell r="HX600" t="str">
            <v>mstag:marketValueOfShortAndLongTermDebt</v>
          </cell>
          <cell r="HY600">
            <v>6</v>
          </cell>
          <cell r="HZ600" t="str">
            <v>ISO4217:USD</v>
          </cell>
          <cell r="IA600" t="b">
            <v>0</v>
          </cell>
          <cell r="IB600" t="b">
            <v>0</v>
          </cell>
        </row>
        <row r="601">
          <cell r="D601" t="str">
            <v>Market value of short-term borrowings</v>
          </cell>
          <cell r="HX601" t="str">
            <v>mstag:marketValueOfShortTermBorrowings</v>
          </cell>
          <cell r="HY601">
            <v>6</v>
          </cell>
          <cell r="HZ601" t="str">
            <v>ISO4217:USD</v>
          </cell>
          <cell r="IA601" t="b">
            <v>0</v>
          </cell>
          <cell r="IB601" t="b">
            <v>0</v>
          </cell>
        </row>
        <row r="602">
          <cell r="D602" t="str">
            <v>Market value of long-term debt</v>
          </cell>
          <cell r="HX602" t="str">
            <v>mstag:marketValueOfLongTermDebt</v>
          </cell>
          <cell r="HY602">
            <v>6</v>
          </cell>
          <cell r="HZ602" t="str">
            <v>ISO4217:USD</v>
          </cell>
          <cell r="IA602" t="b">
            <v>0</v>
          </cell>
          <cell r="IB602" t="b">
            <v>0</v>
          </cell>
        </row>
        <row r="603">
          <cell r="C603" t="str">
            <v>Market value of preferred equity</v>
          </cell>
          <cell r="HX603" t="str">
            <v>mstag:marketValueOfPreferredEquity</v>
          </cell>
          <cell r="HY603">
            <v>6</v>
          </cell>
          <cell r="HZ603" t="str">
            <v>ISO4217:USD</v>
          </cell>
          <cell r="IA603" t="b">
            <v>0</v>
          </cell>
          <cell r="IB603" t="b">
            <v>0</v>
          </cell>
        </row>
        <row r="604">
          <cell r="C604" t="str">
            <v>Market value of trust preferred securities</v>
          </cell>
          <cell r="HX604" t="str">
            <v>mstag:marketValueOfTrustPreferredSecurities</v>
          </cell>
          <cell r="HY604">
            <v>6</v>
          </cell>
          <cell r="HZ604" t="str">
            <v>ISO4217:USD</v>
          </cell>
          <cell r="IA604" t="b">
            <v>0</v>
          </cell>
          <cell r="IB604" t="b">
            <v>0</v>
          </cell>
        </row>
        <row r="605">
          <cell r="C605" t="str">
            <v>Market value of minority interests in shareholders' equity</v>
          </cell>
          <cell r="HX605" t="str">
            <v>mstag:marketValueOfMinorityInterestsInShareholdersEquity</v>
          </cell>
          <cell r="HY605">
            <v>6</v>
          </cell>
          <cell r="HZ605" t="str">
            <v>ISO4217:USD</v>
          </cell>
          <cell r="IA605" t="b">
            <v>0</v>
          </cell>
          <cell r="IB605" t="b">
            <v>0</v>
          </cell>
        </row>
        <row r="606">
          <cell r="C606" t="str">
            <v>Share of market value of associates accounted for under the equity method (operating)</v>
          </cell>
          <cell r="HX606" t="str">
            <v>mstag:shareOfMarketValueOfAssociatesAccountedForUnderTheEquityMethodOperating</v>
          </cell>
          <cell r="HY606">
            <v>6</v>
          </cell>
          <cell r="HZ606" t="str">
            <v>ISO4217:USD</v>
          </cell>
          <cell r="IA606" t="b">
            <v>0</v>
          </cell>
          <cell r="IB606" t="b">
            <v>0</v>
          </cell>
        </row>
        <row r="607">
          <cell r="C607" t="str">
            <v>Share of market value of associates accounted for under the equity method (nonoperating)</v>
          </cell>
          <cell r="HX607" t="str">
            <v>mstag:shareOfMarketValueOfAssociatesAccountedForUnderTheEquityMethodNonOperating</v>
          </cell>
          <cell r="HY607">
            <v>6</v>
          </cell>
          <cell r="HZ607" t="str">
            <v>ISO4217:USD</v>
          </cell>
          <cell r="IA607" t="b">
            <v>0</v>
          </cell>
          <cell r="IB607" t="b">
            <v>0</v>
          </cell>
        </row>
        <row r="608">
          <cell r="C608" t="str">
            <v>Equity share of market value of excluded significant investments</v>
          </cell>
          <cell r="HX608" t="str">
            <v>mstag:equityShareOfMarketValueOfExcludedSignificantInvestments</v>
          </cell>
          <cell r="HY608">
            <v>6</v>
          </cell>
          <cell r="HZ608" t="str">
            <v>ISO4217:USD</v>
          </cell>
          <cell r="IA608" t="b">
            <v>0</v>
          </cell>
          <cell r="IB608" t="b">
            <v>0</v>
          </cell>
        </row>
        <row r="609">
          <cell r="C609" t="str">
            <v>Equity share of book value of excluded significant investments</v>
          </cell>
          <cell r="HX609" t="str">
            <v>mstag:equityShareOfBookValueOfExcludedSignificantInvestments</v>
          </cell>
          <cell r="HY609">
            <v>6</v>
          </cell>
          <cell r="HZ609" t="str">
            <v>ISO4217:USD</v>
          </cell>
          <cell r="IA609" t="b">
            <v>0</v>
          </cell>
          <cell r="IB609" t="b">
            <v>0</v>
          </cell>
        </row>
        <row r="610">
          <cell r="C610" t="str">
            <v>After tax earnings from excluded significant investments</v>
          </cell>
          <cell r="HX610" t="str">
            <v>mstag:afterTaxEarningsFromExcludedSignificantInvestments</v>
          </cell>
          <cell r="HY610">
            <v>6</v>
          </cell>
          <cell r="HZ610" t="str">
            <v>ISO4217:USD</v>
          </cell>
          <cell r="IA610" t="b">
            <v>0</v>
          </cell>
          <cell r="IB610" t="b">
            <v>0</v>
          </cell>
        </row>
        <row r="611">
          <cell r="C611" t="str">
            <v>Current market value of investments, nonoperating</v>
          </cell>
          <cell r="HX611" t="str">
            <v>mstag:currentMarketValueOfInvestmentsNonOperating</v>
          </cell>
          <cell r="HY611">
            <v>6</v>
          </cell>
          <cell r="HZ611" t="str">
            <v>ISO4217:USD</v>
          </cell>
          <cell r="IA611" t="b">
            <v>0</v>
          </cell>
          <cell r="IB611" t="b">
            <v>0</v>
          </cell>
        </row>
        <row r="612">
          <cell r="C612" t="str">
            <v>Current market value of short- and long-term debt</v>
          </cell>
          <cell r="G612" t="str">
            <v/>
          </cell>
          <cell r="H612" t="str">
            <v/>
          </cell>
          <cell r="I612" t="str">
            <v/>
          </cell>
          <cell r="J612" t="str">
            <v/>
          </cell>
          <cell r="K612" t="str">
            <v/>
          </cell>
          <cell r="L612" t="str">
            <v/>
          </cell>
          <cell r="M612" t="str">
            <v/>
          </cell>
          <cell r="HX612" t="str">
            <v>mstag:currentMarketValueOfShortAndLongTermDebt</v>
          </cell>
          <cell r="HY612">
            <v>6</v>
          </cell>
          <cell r="HZ612" t="str">
            <v>ISO4217:USD</v>
          </cell>
          <cell r="IA612" t="b">
            <v>0</v>
          </cell>
          <cell r="IB612" t="b">
            <v>0</v>
          </cell>
        </row>
        <row r="613">
          <cell r="D613" t="str">
            <v>Current market value of short-term borrowings</v>
          </cell>
          <cell r="HX613" t="str">
            <v>mstag:currentMarketValueOfShortTermBorrowings</v>
          </cell>
          <cell r="HY613">
            <v>6</v>
          </cell>
          <cell r="HZ613" t="str">
            <v>ISO4217:USD</v>
          </cell>
          <cell r="IA613" t="b">
            <v>0</v>
          </cell>
          <cell r="IB613" t="b">
            <v>0</v>
          </cell>
        </row>
        <row r="614">
          <cell r="D614" t="str">
            <v>Current market value of long-term debt</v>
          </cell>
          <cell r="HX614" t="str">
            <v>mstag:currentMarketValueOfLongTermDebt</v>
          </cell>
          <cell r="HY614">
            <v>6</v>
          </cell>
          <cell r="HZ614" t="str">
            <v>ISO4217:USD</v>
          </cell>
          <cell r="IA614" t="b">
            <v>0</v>
          </cell>
          <cell r="IB614" t="b">
            <v>0</v>
          </cell>
        </row>
        <row r="615">
          <cell r="C615" t="str">
            <v>Current market value of preferred equity</v>
          </cell>
          <cell r="HX615" t="str">
            <v>mstag:currentMarketValueOfPreferredEquity</v>
          </cell>
          <cell r="HY615">
            <v>6</v>
          </cell>
          <cell r="HZ615" t="str">
            <v>ISO4217:USD</v>
          </cell>
          <cell r="IA615" t="b">
            <v>0</v>
          </cell>
          <cell r="IB615" t="b">
            <v>0</v>
          </cell>
        </row>
        <row r="616">
          <cell r="C616" t="str">
            <v>Current market value of trust preferred securities</v>
          </cell>
          <cell r="HX616" t="str">
            <v>mstag:currentMarketValueOfTrustPreferredSecurities</v>
          </cell>
          <cell r="HY616">
            <v>6</v>
          </cell>
          <cell r="HZ616" t="str">
            <v>ISO4217:USD</v>
          </cell>
          <cell r="IA616" t="b">
            <v>0</v>
          </cell>
          <cell r="IB616" t="b">
            <v>0</v>
          </cell>
        </row>
        <row r="617">
          <cell r="C617" t="str">
            <v>Current market value of minority interests in shareholders equity</v>
          </cell>
          <cell r="HX617" t="str">
            <v>mstag:currentMarketValueOfMinorityInterestsInShareholdersEquity</v>
          </cell>
          <cell r="HY617">
            <v>6</v>
          </cell>
          <cell r="HZ617" t="str">
            <v>ISO4217:USD</v>
          </cell>
          <cell r="IA617" t="b">
            <v>0</v>
          </cell>
          <cell r="IB617" t="b">
            <v>0</v>
          </cell>
        </row>
        <row r="618">
          <cell r="C618" t="str">
            <v>Current share of market value of associates accounted for under the equity method, operating</v>
          </cell>
          <cell r="HX618" t="str">
            <v>mstag:currentShareOfMarketValueOfAssociatesAccountedForUnderTheEquityMethodOperating</v>
          </cell>
          <cell r="HY618">
            <v>6</v>
          </cell>
          <cell r="HZ618" t="str">
            <v>ISO4217:USD</v>
          </cell>
          <cell r="IA618" t="b">
            <v>0</v>
          </cell>
          <cell r="IB618" t="b">
            <v>0</v>
          </cell>
        </row>
        <row r="619">
          <cell r="C619" t="str">
            <v>Current share of market value of associates accounted for under the equity method, nonoperating</v>
          </cell>
          <cell r="HX619" t="str">
            <v>mstag:currentShareOfMarketValueOfAssociatesAccountedForUnderTheEquityMethodNonOperating</v>
          </cell>
          <cell r="HY619">
            <v>6</v>
          </cell>
          <cell r="HZ619" t="str">
            <v>ISO4217:USD</v>
          </cell>
          <cell r="IA619" t="b">
            <v>0</v>
          </cell>
          <cell r="IB619" t="b">
            <v>0</v>
          </cell>
        </row>
        <row r="620">
          <cell r="C620" t="str">
            <v>Market value of convertible debt included in dilutive securities</v>
          </cell>
          <cell r="HX620" t="str">
            <v>mstag:convertibleDebtIncludedInDilutiveSecurities</v>
          </cell>
          <cell r="HY620">
            <v>6</v>
          </cell>
          <cell r="HZ620" t="str">
            <v>ISO4217:USD</v>
          </cell>
          <cell r="IA620" t="b">
            <v>0</v>
          </cell>
          <cell r="IB620" t="b">
            <v>0</v>
          </cell>
        </row>
        <row r="621">
          <cell r="C621" t="str">
            <v>Market value of convertible preferred equity included in dilutive securities</v>
          </cell>
          <cell r="HX621" t="str">
            <v>mstag:convertiblePreferredEquityIncludedInDilutiveSecurities</v>
          </cell>
          <cell r="HY621">
            <v>6</v>
          </cell>
          <cell r="HZ621" t="str">
            <v>ISO4217:USD</v>
          </cell>
          <cell r="IA621" t="b">
            <v>0</v>
          </cell>
          <cell r="IB621" t="b">
            <v>0</v>
          </cell>
        </row>
        <row r="622">
          <cell r="C622" t="str">
            <v>Book value of convertible debt included in dilutive securities</v>
          </cell>
          <cell r="HX622" t="str">
            <v>mstag:bookValueOfConvertibleDebtIncludedInDilutiveSecurities</v>
          </cell>
          <cell r="HY622">
            <v>6</v>
          </cell>
          <cell r="HZ622" t="str">
            <v>ISO4217:USD</v>
          </cell>
          <cell r="IA622" t="b">
            <v>0</v>
          </cell>
          <cell r="IB622" t="b">
            <v>0</v>
          </cell>
        </row>
        <row r="623">
          <cell r="C623" t="str">
            <v>Book value of convertible preferred equity included in dilutive securities</v>
          </cell>
          <cell r="HX623" t="str">
            <v>mstag:bookValueOfConvertiblePreferredEquityIncludedInDilutiveSecurities</v>
          </cell>
          <cell r="HY623">
            <v>6</v>
          </cell>
          <cell r="HZ623" t="str">
            <v>ISO4217:USD</v>
          </cell>
          <cell r="IA623" t="b">
            <v>0</v>
          </cell>
          <cell r="IB623" t="b">
            <v>0</v>
          </cell>
        </row>
        <row r="624">
          <cell r="C624" t="str">
            <v>Market value of excluded minority interests in shareholders' equity</v>
          </cell>
          <cell r="HX624" t="str">
            <v>mstag:marketValueOfExcludedMinorityInterestsInShareholdersEquity</v>
          </cell>
          <cell r="HY624">
            <v>6</v>
          </cell>
          <cell r="HZ624" t="str">
            <v>ISO4217:USD</v>
          </cell>
          <cell r="IA624" t="b">
            <v>0</v>
          </cell>
          <cell r="IB624" t="b">
            <v>0</v>
          </cell>
        </row>
        <row r="625">
          <cell r="C625" t="str">
            <v>Book value of excluded minority interests in shareholders' equity</v>
          </cell>
          <cell r="HX625" t="str">
            <v>mstag:bookValueOfExcludedMinorityInterestsInShareholdersEquity</v>
          </cell>
          <cell r="HY625">
            <v>6</v>
          </cell>
          <cell r="HZ625" t="str">
            <v>ISO4217:USD</v>
          </cell>
          <cell r="IA625" t="b">
            <v>0</v>
          </cell>
          <cell r="IB625" t="b">
            <v>0</v>
          </cell>
        </row>
        <row r="626">
          <cell r="C626" t="str">
            <v>Percentage of EBITDA attributable to entities with excluded minority interest</v>
          </cell>
          <cell r="HX626" t="str">
            <v>mstag:percentageOfEbitdaAttributableToEntitiesWithExcludedMinorityInterest</v>
          </cell>
          <cell r="HY626">
            <v>0</v>
          </cell>
          <cell r="HZ626" t="str">
            <v>ms_eqr_gcim_Decimal:ms_eqr_gcim_decimal</v>
          </cell>
          <cell r="IA626" t="b">
            <v>0</v>
          </cell>
          <cell r="IB626" t="b">
            <v>0</v>
          </cell>
        </row>
        <row r="627">
          <cell r="C627" t="str">
            <v>Minority share in entities with excluded minority interest (%)</v>
          </cell>
          <cell r="HX627" t="str">
            <v>mstag:minorityShareInEntitiesWithExcludedMinorityInterestPercent</v>
          </cell>
          <cell r="HY627">
            <v>6</v>
          </cell>
          <cell r="HZ627" t="str">
            <v>ms_eqr_gcim_Decimal:ms_eqr_gcim_decimal</v>
          </cell>
          <cell r="IA627" t="b">
            <v>0</v>
          </cell>
          <cell r="IB627" t="b">
            <v>0</v>
          </cell>
        </row>
        <row r="628">
          <cell r="C628" t="str">
            <v>Net financial obligations of entities with excluded minority interest</v>
          </cell>
          <cell r="HX628" t="str">
            <v>mstag:netFinancialObligationsOfEntitiesWithExcludedMinorityInterest</v>
          </cell>
          <cell r="HY628">
            <v>6</v>
          </cell>
          <cell r="HZ628" t="str">
            <v>ISO4217:USD</v>
          </cell>
          <cell r="IA628" t="b">
            <v>0</v>
          </cell>
          <cell r="IB628" t="b">
            <v>0</v>
          </cell>
        </row>
        <row r="629">
          <cell r="C629" t="str">
            <v>Net financial obligations of entities consolidated using the equity method included in majority EV</v>
          </cell>
          <cell r="HX629" t="str">
            <v>mstag:netFinancialObligationsOfEntitiesConsolidatedUsingTheEquityMethodIncludedInMajorityEv</v>
          </cell>
          <cell r="HY629">
            <v>6</v>
          </cell>
          <cell r="HZ629" t="str">
            <v>ISO4217:USD</v>
          </cell>
          <cell r="IA629" t="b">
            <v>0</v>
          </cell>
          <cell r="IB629" t="b">
            <v>0</v>
          </cell>
        </row>
        <row r="630">
          <cell r="C630" t="str">
            <v>Majority share of entities consolidated using the equity method included in majority EV (%)</v>
          </cell>
          <cell r="HX630" t="str">
            <v>mstag:majorityShareOfEntitiesConsolidatedUsingTheEquityMethodIncludedInMajorityEvPercent</v>
          </cell>
          <cell r="HY630">
            <v>0</v>
          </cell>
          <cell r="HZ630" t="str">
            <v>ms_eqr_gcim_Decimal:ms_eqr_gcim_decimal</v>
          </cell>
          <cell r="IA630" t="b">
            <v>0</v>
          </cell>
          <cell r="IB630" t="b">
            <v>0</v>
          </cell>
        </row>
        <row r="631">
          <cell r="C631" t="str">
            <v>EBITDA of entities consolidated using the equity method included in majority EBITDA</v>
          </cell>
          <cell r="HX631" t="str">
            <v>mstag:ebitdaOfEntitiesConsolidatedUsingTheEquityMethodIncludedInMajorityEbitda</v>
          </cell>
          <cell r="HY631">
            <v>6</v>
          </cell>
          <cell r="HZ631" t="str">
            <v>ISO4217:USD</v>
          </cell>
          <cell r="IA631" t="b">
            <v>0</v>
          </cell>
          <cell r="IB631" t="b">
            <v>0</v>
          </cell>
        </row>
        <row r="632">
          <cell r="C632" t="str">
            <v>Market value of investments accounted for using the equity method excluded from majority EV</v>
          </cell>
          <cell r="HX632" t="str">
            <v>mstag:marketValueOfInvestmentsAccountedForUsingTheEquityMethodExcludedFromMajorityEv</v>
          </cell>
          <cell r="HY632">
            <v>6</v>
          </cell>
          <cell r="HZ632" t="str">
            <v>ISO4217:USD</v>
          </cell>
          <cell r="IA632" t="b">
            <v>0</v>
          </cell>
          <cell r="IB632" t="b">
            <v>0</v>
          </cell>
        </row>
        <row r="633">
          <cell r="C633" t="str">
            <v>Book value of investments accounted for using the equity method excluded from majority EV</v>
          </cell>
          <cell r="HX633" t="str">
            <v>mstag:bookValueOfInvestmentsAccountedForUsingTheEquityMethodExcludedFromMajorityEv</v>
          </cell>
          <cell r="HY633">
            <v>6</v>
          </cell>
          <cell r="HZ633" t="str">
            <v>ISO4217:USD</v>
          </cell>
          <cell r="IA633" t="b">
            <v>0</v>
          </cell>
          <cell r="IB633" t="b">
            <v>0</v>
          </cell>
        </row>
        <row r="634">
          <cell r="C634" t="str">
            <v>Current market value of investments accounted for using the equity method excluded from majority EV</v>
          </cell>
          <cell r="HX634" t="str">
            <v>mstag:currentMarketValueOfInvestmentsAccountedForUsingTheEquityMethodExcludedFromMajorityEv</v>
          </cell>
          <cell r="HY634">
            <v>6</v>
          </cell>
          <cell r="HZ634" t="str">
            <v>ISO4217:USD</v>
          </cell>
          <cell r="IA634" t="b">
            <v>0</v>
          </cell>
          <cell r="IB634" t="b">
            <v>0</v>
          </cell>
        </row>
        <row r="635">
          <cell r="C635" t="str">
            <v>Current market value of excluded minority interests in shareholders' equity</v>
          </cell>
          <cell r="HX635" t="str">
            <v>mstag:currentMarketValueOfExcludedMinorityInterestsInShareholdersEquity</v>
          </cell>
          <cell r="HY635">
            <v>6</v>
          </cell>
          <cell r="HZ635" t="str">
            <v>ISO4217:USD</v>
          </cell>
          <cell r="IA635" t="b">
            <v>0</v>
          </cell>
          <cell r="IB635" t="b">
            <v>0</v>
          </cell>
        </row>
        <row r="636">
          <cell r="C636" t="str">
            <v>LIFO reserve</v>
          </cell>
          <cell r="HX636" t="str">
            <v>mstag:lifoReserve</v>
          </cell>
          <cell r="HY636">
            <v>6</v>
          </cell>
          <cell r="HZ636" t="str">
            <v>ISO4217:USD</v>
          </cell>
          <cell r="IA636" t="b">
            <v>0</v>
          </cell>
          <cell r="IB636" t="b">
            <v>0</v>
          </cell>
        </row>
        <row r="637">
          <cell r="C637" t="str">
            <v>Change in LIFO reserve</v>
          </cell>
          <cell r="HX637" t="str">
            <v>mstag:changeInLifoReserve</v>
          </cell>
          <cell r="HY637">
            <v>6</v>
          </cell>
          <cell r="HZ637" t="str">
            <v>ISO4217:USD</v>
          </cell>
          <cell r="IA637" t="b">
            <v>0</v>
          </cell>
          <cell r="IB637" t="b">
            <v>0</v>
          </cell>
        </row>
        <row r="638">
          <cell r="C638" t="str">
            <v>Inventory obsolescence reserve</v>
          </cell>
          <cell r="HX638" t="str">
            <v>mstag:inventoryObsolescenceReserve</v>
          </cell>
          <cell r="HY638">
            <v>6</v>
          </cell>
          <cell r="HZ638" t="str">
            <v>ISO4217:USD</v>
          </cell>
          <cell r="IA638" t="b">
            <v>0</v>
          </cell>
          <cell r="IB638" t="b">
            <v>0</v>
          </cell>
        </row>
        <row r="639">
          <cell r="C639" t="str">
            <v>Taxes</v>
          </cell>
          <cell r="HY639">
            <v>0</v>
          </cell>
          <cell r="HZ639" t="str">
            <v>ms_eqr_gcim_String:ms_eqr_gcim_string</v>
          </cell>
          <cell r="IA639" t="b">
            <v>0</v>
          </cell>
          <cell r="IB639" t="b">
            <v>0</v>
          </cell>
        </row>
        <row r="640">
          <cell r="D640" t="str">
            <v>Deferred tax assets, operating</v>
          </cell>
          <cell r="G640">
            <v>202.113</v>
          </cell>
          <cell r="H640">
            <v>221.36500000000001</v>
          </cell>
          <cell r="I640">
            <v>337.589</v>
          </cell>
          <cell r="J640">
            <v>546.26900000000001</v>
          </cell>
          <cell r="K640">
            <v>511.61599999999999</v>
          </cell>
          <cell r="L640">
            <v>683.36400000000003</v>
          </cell>
          <cell r="HX640" t="str">
            <v>mstag:deferredTaxAssetsOperating</v>
          </cell>
          <cell r="HY640">
            <v>6</v>
          </cell>
          <cell r="HZ640" t="str">
            <v>ISO4217:USD</v>
          </cell>
          <cell r="IA640" t="b">
            <v>0</v>
          </cell>
          <cell r="IB640" t="b">
            <v>0</v>
          </cell>
        </row>
        <row r="641">
          <cell r="D641" t="str">
            <v>Deferred tax assets, financing</v>
          </cell>
          <cell r="HX641" t="str">
            <v>mstag:deferredTaxAssetsFinancing</v>
          </cell>
          <cell r="HY641">
            <v>6</v>
          </cell>
          <cell r="HZ641" t="str">
            <v>ISO4217:USD</v>
          </cell>
          <cell r="IA641" t="b">
            <v>0</v>
          </cell>
          <cell r="IB641" t="b">
            <v>0</v>
          </cell>
        </row>
        <row r="642">
          <cell r="D642" t="str">
            <v>Deferred tax assets, other</v>
          </cell>
          <cell r="HX642" t="str">
            <v>mstag:deferredTaxAssetsOther</v>
          </cell>
          <cell r="HY642">
            <v>6</v>
          </cell>
          <cell r="HZ642" t="str">
            <v>ISO4217:USD</v>
          </cell>
          <cell r="IA642" t="b">
            <v>0</v>
          </cell>
          <cell r="IB642" t="b">
            <v>0</v>
          </cell>
        </row>
        <row r="643">
          <cell r="D643" t="str">
            <v>Valuation allowance in deferred taxes</v>
          </cell>
          <cell r="G643">
            <v>48.508000000000003</v>
          </cell>
          <cell r="H643">
            <v>62.844000000000001</v>
          </cell>
          <cell r="I643">
            <v>0</v>
          </cell>
          <cell r="J643">
            <v>0</v>
          </cell>
          <cell r="K643">
            <v>0</v>
          </cell>
          <cell r="L643">
            <v>0</v>
          </cell>
          <cell r="HX643" t="str">
            <v>mstag:valuationAllowanceInDeferredTaxes</v>
          </cell>
          <cell r="HY643">
            <v>6</v>
          </cell>
          <cell r="HZ643" t="str">
            <v>ISO4217:USD</v>
          </cell>
          <cell r="IA643" t="b">
            <v>0</v>
          </cell>
          <cell r="IB643" t="b">
            <v>0</v>
          </cell>
        </row>
        <row r="644">
          <cell r="D644" t="str">
            <v>Deferred tax liabilities, operating</v>
          </cell>
          <cell r="G644">
            <v>82.396000000000001</v>
          </cell>
          <cell r="H644">
            <v>117.104</v>
          </cell>
          <cell r="I644">
            <v>882.13300000000004</v>
          </cell>
          <cell r="J644">
            <v>855.49800000000005</v>
          </cell>
          <cell r="K644">
            <v>819.85799999999995</v>
          </cell>
          <cell r="L644">
            <v>768.57899999999995</v>
          </cell>
          <cell r="HX644" t="str">
            <v>mstag:deferredTaxLiabilitiesOperating</v>
          </cell>
          <cell r="HY644">
            <v>6</v>
          </cell>
          <cell r="HZ644" t="str">
            <v>ISO4217:USD</v>
          </cell>
          <cell r="IA644" t="b">
            <v>0</v>
          </cell>
          <cell r="IB644" t="b">
            <v>0</v>
          </cell>
        </row>
        <row r="645">
          <cell r="D645" t="str">
            <v>Deferred tax liabilities, financing</v>
          </cell>
          <cell r="HX645" t="str">
            <v>mstag:deferredTaxLiabilitiesFinancing</v>
          </cell>
          <cell r="HY645">
            <v>6</v>
          </cell>
          <cell r="HZ645" t="str">
            <v>ISO4217:USD</v>
          </cell>
          <cell r="IA645" t="b">
            <v>0</v>
          </cell>
          <cell r="IB645" t="b">
            <v>0</v>
          </cell>
        </row>
        <row r="646">
          <cell r="D646" t="str">
            <v>Deferred tax liabilities, other</v>
          </cell>
          <cell r="HX646" t="str">
            <v>mstag:deferredTaxLiabilitiesOther</v>
          </cell>
          <cell r="HY646">
            <v>6</v>
          </cell>
          <cell r="HZ646" t="str">
            <v>ISO4217:USD</v>
          </cell>
          <cell r="IA646" t="b">
            <v>0</v>
          </cell>
          <cell r="IB646" t="b">
            <v>0</v>
          </cell>
        </row>
        <row r="647">
          <cell r="D647" t="str">
            <v>Cash taxes paid</v>
          </cell>
          <cell r="G647">
            <v>15.474</v>
          </cell>
          <cell r="H647">
            <v>26.189</v>
          </cell>
          <cell r="I647">
            <v>18.739999999999998</v>
          </cell>
          <cell r="J647">
            <v>-5.0049999999999999</v>
          </cell>
          <cell r="K647">
            <v>36.450000000000003</v>
          </cell>
          <cell r="L647">
            <v>128.108</v>
          </cell>
          <cell r="HX647" t="str">
            <v>mstag:cashTaxesPaid</v>
          </cell>
          <cell r="HY647">
            <v>6</v>
          </cell>
          <cell r="HZ647" t="str">
            <v>ISO4217:USD</v>
          </cell>
          <cell r="IA647" t="b">
            <v>0</v>
          </cell>
          <cell r="IB647" t="b">
            <v>0</v>
          </cell>
        </row>
        <row r="648">
          <cell r="D648" t="str">
            <v>Fair value of NOL</v>
          </cell>
          <cell r="HX648" t="str">
            <v>mstag:fairValueOfNol</v>
          </cell>
          <cell r="HY648">
            <v>6</v>
          </cell>
          <cell r="HZ648" t="str">
            <v>ISO4217:USD</v>
          </cell>
          <cell r="IA648" t="b">
            <v>0</v>
          </cell>
          <cell r="IB648" t="b">
            <v>0</v>
          </cell>
        </row>
        <row r="649">
          <cell r="D649" t="str">
            <v>Dividend tax credit (%)</v>
          </cell>
          <cell r="HX649" t="str">
            <v>mstag:dividendTaxCreditPercent</v>
          </cell>
          <cell r="HY649">
            <v>0</v>
          </cell>
          <cell r="HZ649" t="str">
            <v>ms_eqr_gcim_Decimal:ms_eqr_gcim_decimal</v>
          </cell>
          <cell r="IA649" t="b">
            <v>0</v>
          </cell>
          <cell r="IB649" t="b">
            <v>0</v>
          </cell>
        </row>
        <row r="650">
          <cell r="C650" t="str">
            <v>Dividend franking percentage</v>
          </cell>
          <cell r="HX650" t="str">
            <v>mstag:dividendFrankingPercentage</v>
          </cell>
          <cell r="HY650">
            <v>0</v>
          </cell>
          <cell r="HZ650" t="str">
            <v>ms_eqr_gcim_Decimal:ms_eqr_gcim_decimal</v>
          </cell>
          <cell r="IA650" t="b">
            <v>0</v>
          </cell>
          <cell r="IB650" t="b">
            <v>0</v>
          </cell>
        </row>
        <row r="651">
          <cell r="C651" t="str">
            <v>Tax withheld on dividends paid</v>
          </cell>
          <cell r="HX651" t="str">
            <v>mstag:taxWithheldOnDividendsPaid</v>
          </cell>
          <cell r="HY651">
            <v>6</v>
          </cell>
          <cell r="HZ651" t="str">
            <v>ISO4217:USD</v>
          </cell>
          <cell r="IA651" t="b">
            <v>0</v>
          </cell>
          <cell r="IB651" t="b">
            <v>0</v>
          </cell>
        </row>
        <row r="652">
          <cell r="C652" t="str">
            <v>Special dividends paid</v>
          </cell>
          <cell r="HX652" t="str">
            <v>mstag:specialDividendsPaid</v>
          </cell>
          <cell r="HY652">
            <v>6</v>
          </cell>
          <cell r="HZ652" t="str">
            <v>ISO4217:USD</v>
          </cell>
          <cell r="IA652" t="b">
            <v>0</v>
          </cell>
          <cell r="IB652" t="b">
            <v>0</v>
          </cell>
        </row>
        <row r="653">
          <cell r="C653" t="str">
            <v>Off balance sheet</v>
          </cell>
          <cell r="HY653">
            <v>0</v>
          </cell>
          <cell r="HZ653" t="str">
            <v>ms_eqr_gcim_String:ms_eqr_gcim_string</v>
          </cell>
          <cell r="IA653" t="b">
            <v>0</v>
          </cell>
          <cell r="IB653" t="b">
            <v>0</v>
          </cell>
        </row>
        <row r="654">
          <cell r="D654" t="str">
            <v>Securitized assets</v>
          </cell>
          <cell r="G654" t="str">
            <v/>
          </cell>
          <cell r="H654" t="str">
            <v/>
          </cell>
          <cell r="I654" t="str">
            <v/>
          </cell>
          <cell r="J654" t="str">
            <v/>
          </cell>
          <cell r="K654" t="str">
            <v/>
          </cell>
          <cell r="L654" t="str">
            <v/>
          </cell>
          <cell r="M654" t="str">
            <v/>
          </cell>
          <cell r="HX654" t="str">
            <v>mstag:securitizedAssetsNonFinancialServices</v>
          </cell>
          <cell r="HY654">
            <v>6</v>
          </cell>
          <cell r="HZ654" t="str">
            <v>ISO4217:USD</v>
          </cell>
          <cell r="IA654" t="b">
            <v>0</v>
          </cell>
          <cell r="IB654" t="b">
            <v>0</v>
          </cell>
        </row>
        <row r="655">
          <cell r="E655" t="str">
            <v>Securitized receivables</v>
          </cell>
          <cell r="HX655" t="str">
            <v>mstag:securitizedReceivablesNonFinancialServices</v>
          </cell>
          <cell r="HY655">
            <v>6</v>
          </cell>
          <cell r="HZ655" t="str">
            <v>ISO4217:USD</v>
          </cell>
          <cell r="IA655" t="b">
            <v>0</v>
          </cell>
          <cell r="IB655" t="b">
            <v>0</v>
          </cell>
        </row>
        <row r="656">
          <cell r="D656" t="str">
            <v>Commitments and contingencies</v>
          </cell>
          <cell r="HX656" t="str">
            <v>mstag:commitmentsAndContingencies</v>
          </cell>
          <cell r="HY656">
            <v>6</v>
          </cell>
          <cell r="HZ656" t="str">
            <v>ISO4217:USD</v>
          </cell>
          <cell r="IA656" t="b">
            <v>0</v>
          </cell>
          <cell r="IB656" t="b">
            <v>0</v>
          </cell>
        </row>
        <row r="657">
          <cell r="D657" t="str">
            <v>Unguaranteed residual value in sales-financed leases</v>
          </cell>
          <cell r="HX657" t="str">
            <v>mstag:unguaranteedResidualValueInSalesFinancedLeases</v>
          </cell>
          <cell r="HY657">
            <v>6</v>
          </cell>
          <cell r="HZ657" t="str">
            <v>ISO4217:USD</v>
          </cell>
          <cell r="IA657" t="b">
            <v>0</v>
          </cell>
          <cell r="IB657" t="b">
            <v>0</v>
          </cell>
        </row>
        <row r="658">
          <cell r="C658" t="str">
            <v>Total number of employees</v>
          </cell>
          <cell r="G658">
            <v>3242</v>
          </cell>
          <cell r="H658">
            <v>3389</v>
          </cell>
          <cell r="I658">
            <v>3883</v>
          </cell>
          <cell r="J658">
            <v>4459</v>
          </cell>
          <cell r="K658">
            <v>4950</v>
          </cell>
          <cell r="L658">
            <v>5252</v>
          </cell>
          <cell r="HX658" t="str">
            <v>mstag:totalNumberOfEmployees</v>
          </cell>
          <cell r="HY658">
            <v>0</v>
          </cell>
          <cell r="HZ658" t="str">
            <v>ms_eqr_gcim_Decimal:ms_eqr_gcim_decimal</v>
          </cell>
          <cell r="IA658" t="b">
            <v>0</v>
          </cell>
          <cell r="IB658" t="b">
            <v>0</v>
          </cell>
        </row>
        <row r="659">
          <cell r="C659" t="str">
            <v>Average number of employees</v>
          </cell>
          <cell r="G659" t="str">
            <v>ND</v>
          </cell>
          <cell r="H659">
            <v>3315.5</v>
          </cell>
          <cell r="I659">
            <v>3636</v>
          </cell>
          <cell r="J659">
            <v>4171</v>
          </cell>
          <cell r="K659">
            <v>4704.5</v>
          </cell>
          <cell r="L659">
            <v>5101</v>
          </cell>
          <cell r="HX659" t="str">
            <v>mstag:averageNumberOfEmployees</v>
          </cell>
          <cell r="HY659">
            <v>0</v>
          </cell>
          <cell r="HZ659" t="str">
            <v>ms_eqr_gcim_Decimal:ms_eqr_gcim_decimal</v>
          </cell>
          <cell r="IA659" t="b">
            <v>0</v>
          </cell>
          <cell r="IB659" t="b">
            <v>0</v>
          </cell>
        </row>
        <row r="660">
          <cell r="C660" t="str">
            <v>Net effect of revaluation reserves on book value</v>
          </cell>
          <cell r="HX660" t="str">
            <v>mstag:netEffectOfRevaluationReservesOnBookValue</v>
          </cell>
          <cell r="HY660">
            <v>6</v>
          </cell>
          <cell r="HZ660" t="str">
            <v>ISO4217:USD</v>
          </cell>
          <cell r="IA660" t="b">
            <v>0</v>
          </cell>
          <cell r="IB660" t="b">
            <v>0</v>
          </cell>
        </row>
        <row r="661">
          <cell r="C661" t="str">
            <v>Interest on other interest-bearing liabilities</v>
          </cell>
          <cell r="G661" t="str">
            <v/>
          </cell>
          <cell r="H661" t="str">
            <v/>
          </cell>
          <cell r="I661" t="str">
            <v/>
          </cell>
          <cell r="J661" t="str">
            <v/>
          </cell>
          <cell r="K661" t="str">
            <v/>
          </cell>
          <cell r="L661" t="str">
            <v/>
          </cell>
          <cell r="M661" t="str">
            <v/>
          </cell>
          <cell r="HX661" t="str">
            <v>mstag:interestOnOtherInterestBearingLiabilities</v>
          </cell>
          <cell r="HY661">
            <v>6</v>
          </cell>
          <cell r="HZ661" t="str">
            <v>ISO4217:USD</v>
          </cell>
          <cell r="IA661" t="b">
            <v>0</v>
          </cell>
          <cell r="IB661" t="b">
            <v>0</v>
          </cell>
        </row>
        <row r="662">
          <cell r="D662" t="str">
            <v>Interest on other interest-bearing liabilities reported as finance costs</v>
          </cell>
          <cell r="HX662" t="str">
            <v>mstag:interestOnOtherInterestBearingLiabilitiesReportedAsFinanceCosts</v>
          </cell>
          <cell r="HY662">
            <v>6</v>
          </cell>
          <cell r="HZ662" t="str">
            <v>ISO4217:USD</v>
          </cell>
          <cell r="IA662" t="b">
            <v>0</v>
          </cell>
          <cell r="IB662" t="b">
            <v>0</v>
          </cell>
        </row>
        <row r="663">
          <cell r="D663" t="str">
            <v>Interest on other interest-bearing liabilities reported as operating costs</v>
          </cell>
          <cell r="HX663" t="str">
            <v>mstag:interestOnOtherInterestBearingLiabilitiesReportedAsOperatingCosts</v>
          </cell>
          <cell r="HY663">
            <v>6</v>
          </cell>
          <cell r="HZ663" t="str">
            <v>ISO4217:USD</v>
          </cell>
          <cell r="IA663" t="b">
            <v>0</v>
          </cell>
          <cell r="IB663" t="b">
            <v>0</v>
          </cell>
        </row>
        <row r="664">
          <cell r="B664" t="str">
            <v>Pensions and other postretirement benefit plans</v>
          </cell>
          <cell r="HY664">
            <v>0</v>
          </cell>
          <cell r="HZ664" t="str">
            <v>ms_eqr_gcim_String:ms_eqr_gcim_string</v>
          </cell>
          <cell r="IA664" t="b">
            <v>0</v>
          </cell>
          <cell r="IB664" t="b">
            <v>0</v>
          </cell>
        </row>
        <row r="665">
          <cell r="C665" t="str">
            <v>Pensions (interest and returns classified by company as operating)</v>
          </cell>
          <cell r="HY665">
            <v>0</v>
          </cell>
          <cell r="HZ665" t="str">
            <v>ms_eqr_gcim_String:ms_eqr_gcim_string</v>
          </cell>
          <cell r="IA665" t="b">
            <v>0</v>
          </cell>
          <cell r="IB665" t="b">
            <v>0</v>
          </cell>
        </row>
        <row r="666">
          <cell r="D666" t="str">
            <v>Net periodic pension expense (pensions)</v>
          </cell>
          <cell r="G666" t="str">
            <v/>
          </cell>
          <cell r="H666" t="str">
            <v/>
          </cell>
          <cell r="I666" t="str">
            <v/>
          </cell>
          <cell r="J666" t="str">
            <v/>
          </cell>
          <cell r="K666" t="str">
            <v/>
          </cell>
          <cell r="L666" t="str">
            <v/>
          </cell>
          <cell r="M666" t="str">
            <v/>
          </cell>
          <cell r="HX666" t="str">
            <v>mstag:netPeriodicPensionExpensePensions</v>
          </cell>
          <cell r="HY666">
            <v>6</v>
          </cell>
          <cell r="HZ666" t="str">
            <v>ISO4217:USD</v>
          </cell>
          <cell r="IA666" t="b">
            <v>0</v>
          </cell>
          <cell r="IB666" t="b">
            <v>0</v>
          </cell>
        </row>
        <row r="667">
          <cell r="E667" t="str">
            <v>Service cost (pensions)</v>
          </cell>
          <cell r="HX667" t="str">
            <v>mstag:serviceCostPensions</v>
          </cell>
          <cell r="HY667">
            <v>6</v>
          </cell>
          <cell r="HZ667" t="str">
            <v>ISO4217:USD</v>
          </cell>
          <cell r="IA667" t="b">
            <v>0</v>
          </cell>
          <cell r="IB667" t="b">
            <v>0</v>
          </cell>
        </row>
        <row r="668">
          <cell r="E668" t="str">
            <v>Interest cost (pensions)</v>
          </cell>
          <cell r="HX668" t="str">
            <v>mstag:interestCostPensions</v>
          </cell>
          <cell r="HY668">
            <v>6</v>
          </cell>
          <cell r="HZ668" t="str">
            <v>ISO4217:USD</v>
          </cell>
          <cell r="IA668" t="b">
            <v>0</v>
          </cell>
          <cell r="IB668" t="b">
            <v>0</v>
          </cell>
        </row>
        <row r="669">
          <cell r="E669" t="str">
            <v>Expected return on plan assets (pensions)</v>
          </cell>
          <cell r="HX669" t="str">
            <v>mstag:expectedReturnOnPlanAssetsPensions</v>
          </cell>
          <cell r="HY669">
            <v>6</v>
          </cell>
          <cell r="HZ669" t="str">
            <v>ISO4217:USD</v>
          </cell>
          <cell r="IA669" t="b">
            <v>0</v>
          </cell>
          <cell r="IB669" t="b">
            <v>0</v>
          </cell>
        </row>
        <row r="670">
          <cell r="E670" t="str">
            <v>Amortization of prior service cost (pensions)</v>
          </cell>
          <cell r="HX670" t="str">
            <v>mstag:amortizationOfPriorServiceCostPensions</v>
          </cell>
          <cell r="HY670">
            <v>6</v>
          </cell>
          <cell r="HZ670" t="str">
            <v>ISO4217:USD</v>
          </cell>
          <cell r="IA670" t="b">
            <v>0</v>
          </cell>
          <cell r="IB670" t="b">
            <v>0</v>
          </cell>
        </row>
        <row r="671">
          <cell r="E671" t="str">
            <v>Net actuarial gain (loss) recognized (pensions)</v>
          </cell>
          <cell r="HX671" t="str">
            <v>mstag:netActuarialGainLossRecognizedPensions</v>
          </cell>
          <cell r="HY671">
            <v>6</v>
          </cell>
          <cell r="HZ671" t="str">
            <v>ISO4217:USD</v>
          </cell>
          <cell r="IA671" t="b">
            <v>0</v>
          </cell>
          <cell r="IB671" t="b">
            <v>0</v>
          </cell>
        </row>
        <row r="672">
          <cell r="E672" t="str">
            <v>Nonrecurring pension items</v>
          </cell>
          <cell r="HX672" t="str">
            <v>mstag:nonRecurringPensionItems</v>
          </cell>
          <cell r="HY672">
            <v>6</v>
          </cell>
          <cell r="HZ672" t="str">
            <v>ISO4217:USD</v>
          </cell>
          <cell r="IA672" t="b">
            <v>0</v>
          </cell>
          <cell r="IB672" t="b">
            <v>0</v>
          </cell>
        </row>
        <row r="673">
          <cell r="E673" t="str">
            <v>Other net pension expense</v>
          </cell>
          <cell r="HX673" t="str">
            <v>mstag:otherNetPensionExpense</v>
          </cell>
          <cell r="HY673">
            <v>6</v>
          </cell>
          <cell r="HZ673" t="str">
            <v>ISO4217:USD</v>
          </cell>
          <cell r="IA673" t="b">
            <v>0</v>
          </cell>
          <cell r="IB673" t="b">
            <v>0</v>
          </cell>
        </row>
        <row r="674">
          <cell r="D674" t="str">
            <v>Net benefits paid to retirees (pensions)</v>
          </cell>
          <cell r="G674" t="str">
            <v/>
          </cell>
          <cell r="H674" t="str">
            <v/>
          </cell>
          <cell r="I674" t="str">
            <v/>
          </cell>
          <cell r="J674" t="str">
            <v/>
          </cell>
          <cell r="K674" t="str">
            <v/>
          </cell>
          <cell r="L674" t="str">
            <v/>
          </cell>
          <cell r="M674" t="str">
            <v/>
          </cell>
          <cell r="HX674" t="str">
            <v>mstag:netBenefitsPaidToRetireesPensions</v>
          </cell>
          <cell r="HY674">
            <v>6</v>
          </cell>
          <cell r="HZ674" t="str">
            <v>ISO4217:USD</v>
          </cell>
          <cell r="IA674" t="b">
            <v>0</v>
          </cell>
          <cell r="IB674" t="b">
            <v>0</v>
          </cell>
        </row>
        <row r="675">
          <cell r="E675" t="str">
            <v>Benefits paid to retirees, in obligation (pensions)</v>
          </cell>
          <cell r="HX675" t="str">
            <v>mstag:benefitsPaidToRetireesPensions</v>
          </cell>
          <cell r="HY675">
            <v>6</v>
          </cell>
          <cell r="HZ675" t="str">
            <v>ISO4217:USD</v>
          </cell>
          <cell r="IA675" t="b">
            <v>0</v>
          </cell>
          <cell r="IB675" t="b">
            <v>0</v>
          </cell>
        </row>
        <row r="676">
          <cell r="E676" t="str">
            <v>Benefits paid to retirees, in assets (pensions)</v>
          </cell>
          <cell r="HX676" t="str">
            <v>mstag:benefitsPaidToRetireesInAssetsPensions</v>
          </cell>
          <cell r="HY676">
            <v>6</v>
          </cell>
          <cell r="HZ676" t="str">
            <v>ISO4217:USD</v>
          </cell>
          <cell r="IA676" t="b">
            <v>0</v>
          </cell>
          <cell r="IB676" t="b">
            <v>0</v>
          </cell>
        </row>
        <row r="677">
          <cell r="D677" t="str">
            <v>Actual return on plan assets (pensions)</v>
          </cell>
          <cell r="HX677" t="str">
            <v>mstag:actualReturnOnPlanAssetsPensions</v>
          </cell>
          <cell r="HY677">
            <v>6</v>
          </cell>
          <cell r="HZ677" t="str">
            <v>ISO4217:USD</v>
          </cell>
          <cell r="IA677" t="b">
            <v>0</v>
          </cell>
          <cell r="IB677" t="b">
            <v>0</v>
          </cell>
        </row>
        <row r="678">
          <cell r="D678" t="str">
            <v>Contribution to plan assets (pensions)</v>
          </cell>
          <cell r="HX678" t="str">
            <v>mstag:contributionToPlanAssetsPensions</v>
          </cell>
          <cell r="HY678">
            <v>6</v>
          </cell>
          <cell r="HZ678" t="str">
            <v>ISO4217:USD</v>
          </cell>
          <cell r="IA678" t="b">
            <v>0</v>
          </cell>
          <cell r="IB678" t="b">
            <v>0</v>
          </cell>
        </row>
        <row r="679">
          <cell r="D679" t="str">
            <v>Projected benefit obligation (pensions)</v>
          </cell>
          <cell r="HX679" t="str">
            <v>mstag:projectedBenefitObligationPensions</v>
          </cell>
          <cell r="HY679">
            <v>6</v>
          </cell>
          <cell r="HZ679" t="str">
            <v>ISO4217:USD</v>
          </cell>
          <cell r="IA679" t="b">
            <v>0</v>
          </cell>
          <cell r="IB679" t="b">
            <v>0</v>
          </cell>
        </row>
        <row r="680">
          <cell r="D680" t="str">
            <v>Plan assets at fair value (pensions)</v>
          </cell>
          <cell r="HX680" t="str">
            <v>mstag:planAssetsAtFairValuePensions</v>
          </cell>
          <cell r="HY680">
            <v>6</v>
          </cell>
          <cell r="HZ680" t="str">
            <v>ISO4217:USD</v>
          </cell>
          <cell r="IA680" t="b">
            <v>0</v>
          </cell>
          <cell r="IB680" t="b">
            <v>0</v>
          </cell>
        </row>
        <row r="681">
          <cell r="D681" t="str">
            <v>Net pension prepaid asset (accrued liability)</v>
          </cell>
          <cell r="HX681" t="str">
            <v>mstag:netPensionPrepaidAssetAccruedLiability</v>
          </cell>
          <cell r="HY681">
            <v>6</v>
          </cell>
          <cell r="HZ681" t="str">
            <v>ISO4217:USD</v>
          </cell>
          <cell r="IA681" t="b">
            <v>0</v>
          </cell>
          <cell r="IB681" t="b">
            <v>0</v>
          </cell>
        </row>
        <row r="682">
          <cell r="D682" t="str">
            <v>Intangible asset (pensions)</v>
          </cell>
          <cell r="HX682" t="str">
            <v>mstag:intangibleAssetPensions</v>
          </cell>
          <cell r="HY682">
            <v>6</v>
          </cell>
          <cell r="HZ682" t="str">
            <v>ISO4217:USD</v>
          </cell>
          <cell r="IA682" t="b">
            <v>0</v>
          </cell>
          <cell r="IB682" t="b">
            <v>0</v>
          </cell>
        </row>
        <row r="683">
          <cell r="D683" t="str">
            <v>Accumulated other comprehensive income (pensions)</v>
          </cell>
          <cell r="HX683" t="str">
            <v>mstag:accumulatedOtherComprehensiveIncomePensions</v>
          </cell>
          <cell r="HY683">
            <v>6</v>
          </cell>
          <cell r="HZ683" t="str">
            <v>ISO4217:USD</v>
          </cell>
          <cell r="IA683" t="b">
            <v>0</v>
          </cell>
          <cell r="IB683" t="b">
            <v>0</v>
          </cell>
        </row>
        <row r="684">
          <cell r="D684" t="str">
            <v>Weighted average discount rate (pensions)</v>
          </cell>
          <cell r="HX684" t="str">
            <v>mstag:weightedAverageDiscountRatePensions</v>
          </cell>
          <cell r="HY684">
            <v>0</v>
          </cell>
          <cell r="HZ684" t="str">
            <v>ms_eqr_gcim_Decimal:ms_eqr_gcim_decimal</v>
          </cell>
          <cell r="IA684" t="b">
            <v>0</v>
          </cell>
          <cell r="IB684" t="b">
            <v>0</v>
          </cell>
        </row>
        <row r="685">
          <cell r="D685" t="str">
            <v>Expected long-term rate of return on plan assets (pensions)</v>
          </cell>
          <cell r="HX685" t="str">
            <v>mstag:expectedLongTermRateOfReturnOnPlanAssetsPensions</v>
          </cell>
          <cell r="HY685">
            <v>0</v>
          </cell>
          <cell r="HZ685" t="str">
            <v>ms_eqr_gcim_Decimal:ms_eqr_gcim_decimal</v>
          </cell>
          <cell r="IA685" t="b">
            <v>0</v>
          </cell>
          <cell r="IB685" t="b">
            <v>0</v>
          </cell>
        </row>
        <row r="686">
          <cell r="D686" t="str">
            <v>Rate of increase in future compensation levels</v>
          </cell>
          <cell r="HX686" t="str">
            <v>mstag:rateOfIncreaseInFutureCompensationLevels</v>
          </cell>
          <cell r="HY686">
            <v>0</v>
          </cell>
          <cell r="HZ686" t="str">
            <v>ms_eqr_gcim_Decimal:ms_eqr_gcim_decimal</v>
          </cell>
          <cell r="IA686" t="b">
            <v>0</v>
          </cell>
          <cell r="IB686" t="b">
            <v>0</v>
          </cell>
        </row>
        <row r="687">
          <cell r="C687" t="str">
            <v>Pensions (interest and returns classified by company as financing)</v>
          </cell>
          <cell r="HY687">
            <v>0</v>
          </cell>
          <cell r="HZ687" t="str">
            <v>ms_eqr_gcim_String:ms_eqr_gcim_string</v>
          </cell>
          <cell r="IA687" t="b">
            <v>0</v>
          </cell>
          <cell r="IB687" t="b">
            <v>0</v>
          </cell>
        </row>
        <row r="688">
          <cell r="D688" t="str">
            <v>Net periodic pension expense (pensions)</v>
          </cell>
          <cell r="G688" t="str">
            <v/>
          </cell>
          <cell r="H688" t="str">
            <v/>
          </cell>
          <cell r="I688" t="str">
            <v/>
          </cell>
          <cell r="J688" t="str">
            <v/>
          </cell>
          <cell r="K688" t="str">
            <v/>
          </cell>
          <cell r="L688" t="str">
            <v/>
          </cell>
          <cell r="M688" t="str">
            <v/>
          </cell>
          <cell r="HX688" t="str">
            <v>mstag:netPeriodicPensionExpensePensionsClassifiedAsFinancing</v>
          </cell>
          <cell r="HY688">
            <v>0</v>
          </cell>
          <cell r="HZ688" t="str">
            <v>ISO4217:USD</v>
          </cell>
          <cell r="IA688" t="b">
            <v>0</v>
          </cell>
          <cell r="IB688" t="b">
            <v>0</v>
          </cell>
        </row>
        <row r="689">
          <cell r="E689" t="str">
            <v>Service cost (pensions)</v>
          </cell>
          <cell r="HX689" t="str">
            <v>mstag:serviceCostPensionsClassifiedAsFinancing</v>
          </cell>
          <cell r="HY689">
            <v>0</v>
          </cell>
          <cell r="HZ689" t="str">
            <v>ISO4217:USD</v>
          </cell>
          <cell r="IA689" t="b">
            <v>0</v>
          </cell>
          <cell r="IB689" t="b">
            <v>0</v>
          </cell>
        </row>
        <row r="690">
          <cell r="E690" t="str">
            <v>Interest cost (pensions)</v>
          </cell>
          <cell r="HX690" t="str">
            <v>mstag:interestCostPensionsClassifiedAsFinancing</v>
          </cell>
          <cell r="HY690">
            <v>0</v>
          </cell>
          <cell r="HZ690" t="str">
            <v>ISO4217:USD</v>
          </cell>
          <cell r="IA690" t="b">
            <v>0</v>
          </cell>
          <cell r="IB690" t="b">
            <v>0</v>
          </cell>
        </row>
        <row r="691">
          <cell r="E691" t="str">
            <v>Expected return on plan assets (pensions)</v>
          </cell>
          <cell r="HX691" t="str">
            <v>mstag:expectedReturnOnPlanAssetsPensionsClassifiedAsFinancing</v>
          </cell>
          <cell r="HY691">
            <v>0</v>
          </cell>
          <cell r="HZ691" t="str">
            <v>ISO4217:USD</v>
          </cell>
          <cell r="IA691" t="b">
            <v>0</v>
          </cell>
          <cell r="IB691" t="b">
            <v>0</v>
          </cell>
        </row>
        <row r="692">
          <cell r="E692" t="str">
            <v>Amortization of prior service cost (pensions)</v>
          </cell>
          <cell r="HX692" t="str">
            <v>mstag:amortizationOfPriorServiceCostPensionsClassifiedAsFinancing</v>
          </cell>
          <cell r="HY692">
            <v>0</v>
          </cell>
          <cell r="HZ692" t="str">
            <v>ISO4217:USD</v>
          </cell>
          <cell r="IA692" t="b">
            <v>0</v>
          </cell>
          <cell r="IB692" t="b">
            <v>0</v>
          </cell>
        </row>
        <row r="693">
          <cell r="E693" t="str">
            <v>Net actuarial gain (loss) recognized (pensions)</v>
          </cell>
          <cell r="HX693" t="str">
            <v>mstag:netActuarialGainLossRecognizedPensionsClassifiedAsFinancing</v>
          </cell>
          <cell r="HY693">
            <v>0</v>
          </cell>
          <cell r="HZ693" t="str">
            <v>ISO4217:USD</v>
          </cell>
          <cell r="IA693" t="b">
            <v>0</v>
          </cell>
          <cell r="IB693" t="b">
            <v>0</v>
          </cell>
        </row>
        <row r="694">
          <cell r="E694" t="str">
            <v>Nonrecurring pension items</v>
          </cell>
          <cell r="HX694" t="str">
            <v>mstag:nonRecurringPensionItemsClassifiedAsFinancing</v>
          </cell>
          <cell r="HY694">
            <v>0</v>
          </cell>
          <cell r="HZ694" t="str">
            <v>ISO4217:USD</v>
          </cell>
          <cell r="IA694" t="b">
            <v>0</v>
          </cell>
          <cell r="IB694" t="b">
            <v>0</v>
          </cell>
        </row>
        <row r="695">
          <cell r="E695" t="str">
            <v>Other net pension expense</v>
          </cell>
          <cell r="HX695" t="str">
            <v>mstag:otherNetPensionExpenseClassifiedAsFinancing</v>
          </cell>
          <cell r="HY695">
            <v>0</v>
          </cell>
          <cell r="HZ695" t="str">
            <v>ISO4217:USD</v>
          </cell>
          <cell r="IA695" t="b">
            <v>0</v>
          </cell>
          <cell r="IB695" t="b">
            <v>0</v>
          </cell>
        </row>
        <row r="696">
          <cell r="D696" t="str">
            <v>Net benefits paid to retirees (pensions)</v>
          </cell>
          <cell r="G696" t="str">
            <v/>
          </cell>
          <cell r="H696" t="str">
            <v/>
          </cell>
          <cell r="I696" t="str">
            <v/>
          </cell>
          <cell r="J696" t="str">
            <v/>
          </cell>
          <cell r="K696" t="str">
            <v/>
          </cell>
          <cell r="L696" t="str">
            <v/>
          </cell>
          <cell r="M696" t="str">
            <v/>
          </cell>
          <cell r="HX696" t="str">
            <v>mstag:netBenefitsPaidToRetireesPensionsAsFinancing</v>
          </cell>
          <cell r="HY696">
            <v>6</v>
          </cell>
          <cell r="HZ696" t="str">
            <v>ISO4217:USD</v>
          </cell>
          <cell r="IA696" t="b">
            <v>0</v>
          </cell>
          <cell r="IB696" t="b">
            <v>0</v>
          </cell>
        </row>
        <row r="697">
          <cell r="E697" t="str">
            <v>Benefits paid to retirees, in obligation (pensions)</v>
          </cell>
          <cell r="HX697" t="str">
            <v>mstag:benefitsPaidToRetireesPensionsClassifiedAsFinancing</v>
          </cell>
          <cell r="HY697">
            <v>0</v>
          </cell>
          <cell r="HZ697" t="str">
            <v>ISO4217:USD</v>
          </cell>
          <cell r="IA697" t="b">
            <v>0</v>
          </cell>
          <cell r="IB697" t="b">
            <v>0</v>
          </cell>
        </row>
        <row r="698">
          <cell r="E698" t="str">
            <v>Benefits paid to retirees, in assets (pensions)</v>
          </cell>
          <cell r="HX698" t="str">
            <v>mstag:benefitsPaidToRetireesInAssetsPensionsAsFinancing</v>
          </cell>
          <cell r="HY698">
            <v>6</v>
          </cell>
          <cell r="HZ698" t="str">
            <v>ISO4217:USD</v>
          </cell>
          <cell r="IA698" t="b">
            <v>0</v>
          </cell>
          <cell r="IB698" t="b">
            <v>0</v>
          </cell>
        </row>
        <row r="699">
          <cell r="D699" t="str">
            <v>Actual return on plan assets (pensions)</v>
          </cell>
          <cell r="HX699" t="str">
            <v>mstag:actualReturnOnPlanAssetsPensionsClassifiedAsFinancing</v>
          </cell>
          <cell r="HY699">
            <v>0</v>
          </cell>
          <cell r="HZ699" t="str">
            <v>ISO4217:USD</v>
          </cell>
          <cell r="IA699" t="b">
            <v>0</v>
          </cell>
          <cell r="IB699" t="b">
            <v>0</v>
          </cell>
        </row>
        <row r="700">
          <cell r="D700" t="str">
            <v>Contribution to plan assets (pensions)</v>
          </cell>
          <cell r="HX700" t="str">
            <v>mstag:contributionToPlanAssetsPensionsClassifiedAsFinancing</v>
          </cell>
          <cell r="HY700">
            <v>0</v>
          </cell>
          <cell r="HZ700" t="str">
            <v>ISO4217:USD</v>
          </cell>
          <cell r="IA700" t="b">
            <v>0</v>
          </cell>
          <cell r="IB700" t="b">
            <v>0</v>
          </cell>
        </row>
        <row r="701">
          <cell r="D701" t="str">
            <v>Projected benefit obligation (pensions)</v>
          </cell>
          <cell r="HX701" t="str">
            <v>mstag:projectedBenefitObligationPensionsClassifiedAsFinancing</v>
          </cell>
          <cell r="HY701">
            <v>0</v>
          </cell>
          <cell r="HZ701" t="str">
            <v>ISO4217:USD</v>
          </cell>
          <cell r="IA701" t="b">
            <v>0</v>
          </cell>
          <cell r="IB701" t="b">
            <v>0</v>
          </cell>
        </row>
        <row r="702">
          <cell r="D702" t="str">
            <v>Plan assets at fair value (pensions)</v>
          </cell>
          <cell r="HX702" t="str">
            <v>mstag:planAssetsAtFairValuePensionsClassifiedAsFinancing</v>
          </cell>
          <cell r="HY702">
            <v>0</v>
          </cell>
          <cell r="HZ702" t="str">
            <v>ISO4217:USD</v>
          </cell>
          <cell r="IA702" t="b">
            <v>0</v>
          </cell>
          <cell r="IB702" t="b">
            <v>0</v>
          </cell>
        </row>
        <row r="703">
          <cell r="D703" t="str">
            <v>Net pension prepaid asset (accrued liability)</v>
          </cell>
          <cell r="HX703" t="str">
            <v>mstag:netPensionPrepaidAssetAccruedLiabilityClassifiedAsFinancing</v>
          </cell>
          <cell r="HY703">
            <v>0</v>
          </cell>
          <cell r="HZ703" t="str">
            <v>ISO4217:USD</v>
          </cell>
          <cell r="IA703" t="b">
            <v>0</v>
          </cell>
          <cell r="IB703" t="b">
            <v>0</v>
          </cell>
        </row>
        <row r="704">
          <cell r="D704" t="str">
            <v>Intangible asset (pensions)</v>
          </cell>
          <cell r="HX704" t="str">
            <v>mstag:intangibleAssetPensionsClassifiedAsFinancing</v>
          </cell>
          <cell r="HY704">
            <v>0</v>
          </cell>
          <cell r="HZ704" t="str">
            <v>ISO4217:USD</v>
          </cell>
          <cell r="IA704" t="b">
            <v>0</v>
          </cell>
          <cell r="IB704" t="b">
            <v>0</v>
          </cell>
        </row>
        <row r="705">
          <cell r="D705" t="str">
            <v>Accumulated other comprehensive income (pensions)</v>
          </cell>
          <cell r="HX705" t="str">
            <v>mstag:accumulatedOtherComprehensiveIncomePensionsClassifiedAsFinancing</v>
          </cell>
          <cell r="HY705">
            <v>0</v>
          </cell>
          <cell r="HZ705" t="str">
            <v>ISO4217:USD</v>
          </cell>
          <cell r="IA705" t="b">
            <v>0</v>
          </cell>
          <cell r="IB705" t="b">
            <v>0</v>
          </cell>
        </row>
        <row r="706">
          <cell r="D706" t="str">
            <v>Weighted average discount rate (pensions)</v>
          </cell>
          <cell r="HX706" t="str">
            <v>mstag:weightedAverageDiscountRatePensionsClassifiedAsFinancing</v>
          </cell>
          <cell r="HY706">
            <v>0</v>
          </cell>
          <cell r="HZ706" t="str">
            <v>ms_eqr_gcim_Decimal:ms_eqr_gcim_decimal</v>
          </cell>
          <cell r="IA706" t="b">
            <v>0</v>
          </cell>
          <cell r="IB706" t="b">
            <v>0</v>
          </cell>
        </row>
        <row r="707">
          <cell r="D707" t="str">
            <v>Expected long-term rate of return on plan assets (pensions)</v>
          </cell>
          <cell r="HX707" t="str">
            <v>mstag:expectedLongTermRateOfReturnOnPlanAssetsPensionsClassifiedAsFinancing</v>
          </cell>
          <cell r="HY707">
            <v>0</v>
          </cell>
          <cell r="HZ707" t="str">
            <v>ms_eqr_gcim_Decimal:ms_eqr_gcim_decimal</v>
          </cell>
          <cell r="IA707" t="b">
            <v>0</v>
          </cell>
          <cell r="IB707" t="b">
            <v>0</v>
          </cell>
        </row>
        <row r="708">
          <cell r="D708" t="str">
            <v>Rate of increase in future compensation levels</v>
          </cell>
          <cell r="HX708" t="str">
            <v>mstag:rateOfIncreaseInFutureCompensationLevelsClassifiedAsFinancing</v>
          </cell>
          <cell r="HY708">
            <v>0</v>
          </cell>
          <cell r="HZ708" t="str">
            <v>ms_eqr_gcim_Decimal:ms_eqr_gcim_decimal</v>
          </cell>
          <cell r="IA708" t="b">
            <v>0</v>
          </cell>
          <cell r="IB708" t="b">
            <v>0</v>
          </cell>
        </row>
        <row r="709">
          <cell r="C709" t="str">
            <v>Pensions (companies reporting under SSAP 24)</v>
          </cell>
          <cell r="HY709">
            <v>0</v>
          </cell>
          <cell r="HZ709" t="str">
            <v>ms_eqr_gcim_String:ms_eqr_gcim_string</v>
          </cell>
          <cell r="IA709" t="b">
            <v>0</v>
          </cell>
          <cell r="IB709" t="b">
            <v>0</v>
          </cell>
        </row>
        <row r="710">
          <cell r="D710" t="str">
            <v>Net periodic pension expense (pensions)</v>
          </cell>
          <cell r="HX710" t="str">
            <v>mstag:netPeriodicPensionExpensePensionsUnderSSAP24</v>
          </cell>
          <cell r="HY710">
            <v>0</v>
          </cell>
          <cell r="HZ710" t="str">
            <v>ISO4217:USD</v>
          </cell>
          <cell r="IA710" t="b">
            <v>0</v>
          </cell>
          <cell r="IB710" t="b">
            <v>0</v>
          </cell>
        </row>
        <row r="711">
          <cell r="D711" t="str">
            <v>Service cost (pensions)</v>
          </cell>
          <cell r="HX711" t="str">
            <v>mstag:serviceCostPensionsUnderSSAP24</v>
          </cell>
          <cell r="HY711">
            <v>0</v>
          </cell>
          <cell r="HZ711" t="str">
            <v>ISO4217:USD</v>
          </cell>
          <cell r="IA711" t="b">
            <v>0</v>
          </cell>
          <cell r="IB711" t="b">
            <v>0</v>
          </cell>
        </row>
        <row r="712">
          <cell r="D712" t="str">
            <v>Prior service cost (pensions)</v>
          </cell>
          <cell r="HX712" t="str">
            <v>mstag:priorServiceCostPensionsUnderSSAP24</v>
          </cell>
          <cell r="HY712">
            <v>0</v>
          </cell>
          <cell r="HZ712" t="str">
            <v>ISO4217:USD</v>
          </cell>
          <cell r="IA712" t="b">
            <v>0</v>
          </cell>
          <cell r="IB712" t="b">
            <v>0</v>
          </cell>
        </row>
        <row r="713">
          <cell r="D713" t="str">
            <v>Interest cost (pensions)</v>
          </cell>
          <cell r="HX713" t="str">
            <v>mstag:interestCostPensionsUnderSSAP24</v>
          </cell>
          <cell r="HY713">
            <v>0</v>
          </cell>
          <cell r="HZ713" t="str">
            <v>ISO4217:USD</v>
          </cell>
          <cell r="IA713" t="b">
            <v>0</v>
          </cell>
          <cell r="IB713" t="b">
            <v>0</v>
          </cell>
        </row>
        <row r="714">
          <cell r="D714" t="str">
            <v>Expected return on plan assets (pensions)</v>
          </cell>
          <cell r="HX714" t="str">
            <v>mstag:expectedReturnOnPlanAssetsPensionsUnderSSAP24</v>
          </cell>
          <cell r="HY714">
            <v>0</v>
          </cell>
          <cell r="HZ714" t="str">
            <v>ISO4217:USD</v>
          </cell>
          <cell r="IA714" t="b">
            <v>0</v>
          </cell>
          <cell r="IB714" t="b">
            <v>0</v>
          </cell>
        </row>
        <row r="715">
          <cell r="C715" t="str">
            <v>Other postemployment benefits</v>
          </cell>
          <cell r="HY715">
            <v>0</v>
          </cell>
          <cell r="HZ715" t="str">
            <v>ms_eqr_gcim_String:ms_eqr_gcim_string</v>
          </cell>
          <cell r="IA715" t="b">
            <v>0</v>
          </cell>
          <cell r="IB715" t="b">
            <v>0</v>
          </cell>
        </row>
        <row r="716">
          <cell r="D716" t="str">
            <v>Net periodic expense (OPEB)</v>
          </cell>
          <cell r="G716" t="str">
            <v/>
          </cell>
          <cell r="H716" t="str">
            <v/>
          </cell>
          <cell r="I716" t="str">
            <v/>
          </cell>
          <cell r="J716" t="str">
            <v/>
          </cell>
          <cell r="K716" t="str">
            <v/>
          </cell>
          <cell r="L716" t="str">
            <v/>
          </cell>
          <cell r="M716" t="str">
            <v/>
          </cell>
          <cell r="HX716" t="str">
            <v>mstag:netPeriodicExpenseOpeb</v>
          </cell>
          <cell r="HY716">
            <v>6</v>
          </cell>
          <cell r="HZ716" t="str">
            <v>ISO4217:USD</v>
          </cell>
          <cell r="IA716" t="b">
            <v>0</v>
          </cell>
          <cell r="IB716" t="b">
            <v>0</v>
          </cell>
        </row>
        <row r="717">
          <cell r="E717" t="str">
            <v>Service cost (OPEB)</v>
          </cell>
          <cell r="HX717" t="str">
            <v>mstag:serviceCostOpeb</v>
          </cell>
          <cell r="HY717">
            <v>6</v>
          </cell>
          <cell r="HZ717" t="str">
            <v>ISO4217:USD</v>
          </cell>
          <cell r="IA717" t="b">
            <v>0</v>
          </cell>
          <cell r="IB717" t="b">
            <v>0</v>
          </cell>
        </row>
        <row r="718">
          <cell r="E718" t="str">
            <v>Interest cost (OPEB)</v>
          </cell>
          <cell r="HX718" t="str">
            <v>mstag:interestCostOpeb</v>
          </cell>
          <cell r="HY718">
            <v>6</v>
          </cell>
          <cell r="HZ718" t="str">
            <v>ISO4217:USD</v>
          </cell>
          <cell r="IA718" t="b">
            <v>0</v>
          </cell>
          <cell r="IB718" t="b">
            <v>0</v>
          </cell>
        </row>
        <row r="719">
          <cell r="E719" t="str">
            <v>Expected return on plan assets (OPEB)</v>
          </cell>
          <cell r="HX719" t="str">
            <v>mstag:expectedReturnOnPlanAssetsOpeb</v>
          </cell>
          <cell r="HY719">
            <v>6</v>
          </cell>
          <cell r="HZ719" t="str">
            <v>ISO4217:USD</v>
          </cell>
          <cell r="IA719" t="b">
            <v>0</v>
          </cell>
          <cell r="IB719" t="b">
            <v>0</v>
          </cell>
        </row>
        <row r="720">
          <cell r="E720" t="str">
            <v>Amortization of prior service cost (OPEB)</v>
          </cell>
          <cell r="HX720" t="str">
            <v>mstag:amortizationOfPriorServiceCostOpeb</v>
          </cell>
          <cell r="HY720">
            <v>6</v>
          </cell>
          <cell r="HZ720" t="str">
            <v>ISO4217:USD</v>
          </cell>
          <cell r="IA720" t="b">
            <v>0</v>
          </cell>
          <cell r="IB720" t="b">
            <v>0</v>
          </cell>
        </row>
        <row r="721">
          <cell r="E721" t="str">
            <v>Net actuarial gain (loss) recognized (OPEB)</v>
          </cell>
          <cell r="HX721" t="str">
            <v>mstag:netActuarialGainLossRecognizedOpeb</v>
          </cell>
          <cell r="HY721">
            <v>6</v>
          </cell>
          <cell r="HZ721" t="str">
            <v>ISO4217:USD</v>
          </cell>
          <cell r="IA721" t="b">
            <v>0</v>
          </cell>
          <cell r="IB721" t="b">
            <v>0</v>
          </cell>
        </row>
        <row r="722">
          <cell r="E722" t="str">
            <v>Nonrecurring OPEB items</v>
          </cell>
          <cell r="HX722" t="str">
            <v>mstag:nonRecurringOpebItems</v>
          </cell>
          <cell r="HY722">
            <v>6</v>
          </cell>
          <cell r="HZ722" t="str">
            <v>ISO4217:USD</v>
          </cell>
          <cell r="IA722" t="b">
            <v>0</v>
          </cell>
          <cell r="IB722" t="b">
            <v>0</v>
          </cell>
        </row>
        <row r="723">
          <cell r="E723" t="str">
            <v>Other net expense (OPEB)</v>
          </cell>
          <cell r="HX723" t="str">
            <v>mstag:otherNetExpenseOpeb</v>
          </cell>
          <cell r="HY723">
            <v>6</v>
          </cell>
          <cell r="HZ723" t="str">
            <v>ISO4217:USD</v>
          </cell>
          <cell r="IA723" t="b">
            <v>0</v>
          </cell>
          <cell r="IB723" t="b">
            <v>0</v>
          </cell>
        </row>
        <row r="724">
          <cell r="D724" t="str">
            <v>Net benefits paid to retirees (OPEB)</v>
          </cell>
          <cell r="G724" t="str">
            <v/>
          </cell>
          <cell r="H724" t="str">
            <v/>
          </cell>
          <cell r="I724" t="str">
            <v/>
          </cell>
          <cell r="J724" t="str">
            <v/>
          </cell>
          <cell r="K724" t="str">
            <v/>
          </cell>
          <cell r="L724" t="str">
            <v/>
          </cell>
          <cell r="M724" t="str">
            <v/>
          </cell>
          <cell r="HX724" t="str">
            <v>mstag:netBenefitsPaidToRetireesOpeb</v>
          </cell>
          <cell r="HY724">
            <v>6</v>
          </cell>
          <cell r="HZ724" t="str">
            <v>ISO4217:USD</v>
          </cell>
          <cell r="IA724" t="b">
            <v>0</v>
          </cell>
          <cell r="IB724" t="b">
            <v>0</v>
          </cell>
        </row>
        <row r="725">
          <cell r="E725" t="str">
            <v>Benefits paid to retirees, in obligation (OPEB)</v>
          </cell>
          <cell r="HX725" t="str">
            <v>mstag:benefitsPaidToRetireesOpeb</v>
          </cell>
          <cell r="HY725">
            <v>6</v>
          </cell>
          <cell r="HZ725" t="str">
            <v>ISO4217:USD</v>
          </cell>
          <cell r="IA725" t="b">
            <v>0</v>
          </cell>
          <cell r="IB725" t="b">
            <v>0</v>
          </cell>
        </row>
        <row r="726">
          <cell r="E726" t="str">
            <v>Benefits paid to retirees, in assets (OPEB)</v>
          </cell>
          <cell r="HX726" t="str">
            <v>mstag:benefitsPaidToRetireesInAssetsOpeb</v>
          </cell>
          <cell r="HY726">
            <v>6</v>
          </cell>
          <cell r="HZ726" t="str">
            <v>ISO4217:USD</v>
          </cell>
          <cell r="IA726" t="b">
            <v>0</v>
          </cell>
          <cell r="IB726" t="b">
            <v>0</v>
          </cell>
        </row>
        <row r="727">
          <cell r="D727" t="str">
            <v>Actual return on plan assets (OPEB)</v>
          </cell>
          <cell r="HX727" t="str">
            <v>mstag:actualReturnOnPlanAssetsOpeb</v>
          </cell>
          <cell r="HY727">
            <v>6</v>
          </cell>
          <cell r="HZ727" t="str">
            <v>ISO4217:USD</v>
          </cell>
          <cell r="IA727" t="b">
            <v>0</v>
          </cell>
          <cell r="IB727" t="b">
            <v>0</v>
          </cell>
        </row>
        <row r="728">
          <cell r="D728" t="str">
            <v>Contribution to plan assets (OPEB)</v>
          </cell>
          <cell r="HX728" t="str">
            <v>mstag:contributionToPlanAssetsOpeb</v>
          </cell>
          <cell r="HY728">
            <v>6</v>
          </cell>
          <cell r="HZ728" t="str">
            <v>ISO4217:USD</v>
          </cell>
          <cell r="IA728" t="b">
            <v>0</v>
          </cell>
          <cell r="IB728" t="b">
            <v>0</v>
          </cell>
        </row>
        <row r="729">
          <cell r="D729" t="str">
            <v>Projected benefit obligation (OPEB)</v>
          </cell>
          <cell r="HX729" t="str">
            <v>mstag:projectedBenefitObligationOpeb</v>
          </cell>
          <cell r="HY729">
            <v>6</v>
          </cell>
          <cell r="HZ729" t="str">
            <v>ISO4217:USD</v>
          </cell>
          <cell r="IA729" t="b">
            <v>0</v>
          </cell>
          <cell r="IB729" t="b">
            <v>0</v>
          </cell>
        </row>
        <row r="730">
          <cell r="D730" t="str">
            <v>Plan assets at fair value (OPEB)</v>
          </cell>
          <cell r="HX730" t="str">
            <v>mstag:planAssetsAtFairValueOpeb</v>
          </cell>
          <cell r="HY730">
            <v>6</v>
          </cell>
          <cell r="HZ730" t="str">
            <v>ISO4217:USD</v>
          </cell>
          <cell r="IA730" t="b">
            <v>0</v>
          </cell>
          <cell r="IB730" t="b">
            <v>0</v>
          </cell>
        </row>
        <row r="731">
          <cell r="D731" t="str">
            <v>Net OPEB assets (liabilities) recognized in the balance sheet</v>
          </cell>
          <cell r="HX731" t="str">
            <v>mstag:netOpebAssetsLiabilitiesRecognizedInTheBalanceSheet</v>
          </cell>
          <cell r="HY731">
            <v>6</v>
          </cell>
          <cell r="HZ731" t="str">
            <v>ISO4217:USD</v>
          </cell>
          <cell r="IA731" t="b">
            <v>0</v>
          </cell>
          <cell r="IB731" t="b">
            <v>0</v>
          </cell>
        </row>
        <row r="732">
          <cell r="D732" t="str">
            <v>Weighted average discount rate (OPEB)</v>
          </cell>
          <cell r="HX732" t="str">
            <v>mstag:weightedAverageDiscountRateOpeb</v>
          </cell>
          <cell r="HY732">
            <v>0</v>
          </cell>
          <cell r="HZ732" t="str">
            <v>ms_eqr_gcim_Decimal:ms_eqr_gcim_decimal</v>
          </cell>
          <cell r="IA732" t="b">
            <v>0</v>
          </cell>
          <cell r="IB732" t="b">
            <v>0</v>
          </cell>
        </row>
        <row r="733">
          <cell r="D733" t="str">
            <v>Expected long term rate of return on plan assets (OPEB)</v>
          </cell>
          <cell r="HX733" t="str">
            <v>mstag:expectedLongTermRateOfReturnOnPlanAssetsOpeb</v>
          </cell>
          <cell r="HY733">
            <v>0</v>
          </cell>
          <cell r="HZ733" t="str">
            <v>ms_eqr_gcim_Decimal:ms_eqr_gcim_decimal</v>
          </cell>
          <cell r="IA733" t="b">
            <v>0</v>
          </cell>
          <cell r="IB733" t="b">
            <v>0</v>
          </cell>
        </row>
        <row r="734">
          <cell r="D734" t="str">
            <v>Expected rate of healthcare cost increase, short term</v>
          </cell>
          <cell r="HX734" t="str">
            <v>mstag:expectedRateOfHealthCareCostIncreaseShortTerm</v>
          </cell>
          <cell r="HY734">
            <v>0</v>
          </cell>
          <cell r="HZ734" t="str">
            <v>ms_eqr_gcim_Decimal:ms_eqr_gcim_decimal</v>
          </cell>
          <cell r="IA734" t="b">
            <v>0</v>
          </cell>
          <cell r="IB734" t="b">
            <v>0</v>
          </cell>
        </row>
        <row r="735">
          <cell r="D735" t="str">
            <v>Expected rate of healthcare cost increase, long term</v>
          </cell>
          <cell r="HX735" t="str">
            <v>mstag:expectedRateOfHealthCareCostIncreaseLongTerm</v>
          </cell>
          <cell r="HY735">
            <v>0</v>
          </cell>
          <cell r="HZ735" t="str">
            <v>ms_eqr_gcim_Decimal:ms_eqr_gcim_decimal</v>
          </cell>
          <cell r="IA735" t="b">
            <v>0</v>
          </cell>
          <cell r="IB735" t="b">
            <v>0</v>
          </cell>
        </row>
        <row r="737">
          <cell r="M737" t="str">
            <v>Values in the System :</v>
          </cell>
        </row>
        <row r="738">
          <cell r="M738">
            <v>63</v>
          </cell>
        </row>
        <row r="741">
          <cell r="A741" t="str">
            <v>Additional Data Items to be collected (these items are not in the taxonomy)</v>
          </cell>
        </row>
        <row r="742">
          <cell r="B742" t="str">
            <v>Leases</v>
          </cell>
        </row>
        <row r="743">
          <cell r="C743" t="str">
            <v>Year 1 Minimum Rental Payment</v>
          </cell>
          <cell r="G743">
            <v>15.068</v>
          </cell>
          <cell r="H743">
            <v>25.855</v>
          </cell>
          <cell r="I743">
            <v>33.090000000000003</v>
          </cell>
          <cell r="J743">
            <v>47.545000000000002</v>
          </cell>
          <cell r="K743">
            <v>4.8</v>
          </cell>
          <cell r="L743">
            <v>4.8</v>
          </cell>
          <cell r="M743">
            <v>6.5</v>
          </cell>
        </row>
        <row r="744">
          <cell r="C744" t="str">
            <v>Year 2 Minimum Rental Payment</v>
          </cell>
          <cell r="G744">
            <v>15.622</v>
          </cell>
          <cell r="H744">
            <v>23.591000000000001</v>
          </cell>
          <cell r="I744">
            <v>31.873000000000001</v>
          </cell>
          <cell r="J744">
            <v>48.029000000000003</v>
          </cell>
          <cell r="K744">
            <v>3</v>
          </cell>
          <cell r="L744">
            <v>3.3</v>
          </cell>
          <cell r="M744">
            <v>6.9</v>
          </cell>
        </row>
        <row r="745">
          <cell r="C745" t="str">
            <v>Year 3 Minimum Rental Payment</v>
          </cell>
          <cell r="G745">
            <v>15.196</v>
          </cell>
          <cell r="H745">
            <v>22.47</v>
          </cell>
          <cell r="I745">
            <v>28.492999999999999</v>
          </cell>
          <cell r="J745">
            <v>46.418999999999997</v>
          </cell>
          <cell r="K745">
            <v>1.7</v>
          </cell>
          <cell r="L745">
            <v>3.1</v>
          </cell>
          <cell r="M745">
            <v>5.8</v>
          </cell>
        </row>
        <row r="746">
          <cell r="C746" t="str">
            <v>Year 4 Minimum Rental Payment</v>
          </cell>
          <cell r="G746">
            <v>14.95</v>
          </cell>
          <cell r="H746">
            <v>19.626999999999999</v>
          </cell>
          <cell r="I746">
            <v>27.497</v>
          </cell>
          <cell r="J746">
            <v>41.847999999999999</v>
          </cell>
          <cell r="K746">
            <v>1.6</v>
          </cell>
          <cell r="L746">
            <v>2.6</v>
          </cell>
          <cell r="M746">
            <v>5.8</v>
          </cell>
        </row>
        <row r="747">
          <cell r="C747" t="str">
            <v>Year 5 Minimum Rental Payment</v>
          </cell>
          <cell r="G747">
            <v>14.968999999999999</v>
          </cell>
          <cell r="H747">
            <v>18.637</v>
          </cell>
          <cell r="I747">
            <v>24.611000000000001</v>
          </cell>
          <cell r="J747">
            <v>32.972999999999999</v>
          </cell>
          <cell r="K747">
            <v>1.6</v>
          </cell>
          <cell r="L747">
            <v>2.4</v>
          </cell>
          <cell r="M747">
            <v>5.8</v>
          </cell>
        </row>
        <row r="748">
          <cell r="C748" t="str">
            <v>Reported Cummulative Payments beyond Year 5</v>
          </cell>
          <cell r="G748">
            <v>14.759</v>
          </cell>
          <cell r="H748">
            <v>36.707000000000001</v>
          </cell>
          <cell r="I748">
            <v>23.83</v>
          </cell>
          <cell r="J748">
            <v>1.7310000000000001</v>
          </cell>
          <cell r="K748">
            <v>4.3</v>
          </cell>
          <cell r="L748">
            <v>5.2</v>
          </cell>
          <cell r="M748">
            <v>24.1</v>
          </cell>
        </row>
        <row r="749">
          <cell r="C749" t="str">
            <v>Current year minmum rental payment</v>
          </cell>
        </row>
        <row r="751">
          <cell r="C751" t="str">
            <v>Foot Working:</v>
          </cell>
        </row>
        <row r="752">
          <cell r="B752" t="str">
            <v>A</v>
          </cell>
          <cell r="C752" t="str">
            <v>Income statement</v>
          </cell>
        </row>
        <row r="753">
          <cell r="C753">
            <v>1</v>
          </cell>
          <cell r="D753" t="str">
            <v>Revenue, gross</v>
          </cell>
        </row>
        <row r="754">
          <cell r="F754" t="str">
            <v>Product sales</v>
          </cell>
          <cell r="G754">
            <v>584.88900000000001</v>
          </cell>
          <cell r="H754">
            <v>717.79499999999996</v>
          </cell>
          <cell r="I754">
            <v>1039.095</v>
          </cell>
          <cell r="J754">
            <v>1278.3440000000001</v>
          </cell>
          <cell r="K754">
            <v>1742.8969999999999</v>
          </cell>
          <cell r="L754">
            <v>2163.665</v>
          </cell>
        </row>
        <row r="755">
          <cell r="F755" t="str">
            <v>Contract revenue</v>
          </cell>
          <cell r="G755">
            <v>121.587</v>
          </cell>
          <cell r="H755">
            <v>114.795</v>
          </cell>
          <cell r="I755">
            <v>83.242000000000004</v>
          </cell>
          <cell r="J755">
            <v>160.363</v>
          </cell>
          <cell r="K755">
            <v>36.659999999999997</v>
          </cell>
          <cell r="L755">
            <v>54.442999999999998</v>
          </cell>
        </row>
        <row r="756">
          <cell r="G756">
            <v>706.476</v>
          </cell>
          <cell r="H756">
            <v>832.58999999999992</v>
          </cell>
          <cell r="I756">
            <v>1122.337</v>
          </cell>
          <cell r="J756">
            <v>1438.7070000000001</v>
          </cell>
          <cell r="K756">
            <v>1779.557</v>
          </cell>
          <cell r="L756">
            <v>2218.1080000000002</v>
          </cell>
        </row>
        <row r="759">
          <cell r="C759">
            <v>2</v>
          </cell>
          <cell r="D759" t="str">
            <v>Cost of sales, without depreciation</v>
          </cell>
          <cell r="G759">
            <v>102.536</v>
          </cell>
          <cell r="H759">
            <v>138.62299999999999</v>
          </cell>
          <cell r="I759">
            <v>285.54899999999998</v>
          </cell>
          <cell r="J759">
            <v>364.892</v>
          </cell>
          <cell r="K759">
            <v>354.44200000000001</v>
          </cell>
          <cell r="L759">
            <v>441.63</v>
          </cell>
        </row>
        <row r="760">
          <cell r="F760" t="str">
            <v>Less: Depreciation</v>
          </cell>
          <cell r="G760">
            <v>-65.533000000000001</v>
          </cell>
          <cell r="H760">
            <v>-78.100999999999999</v>
          </cell>
          <cell r="I760">
            <v>-90.281999999999996</v>
          </cell>
          <cell r="J760">
            <v>-88.804000000000002</v>
          </cell>
          <cell r="K760">
            <v>-96.290999999999997</v>
          </cell>
          <cell r="L760">
            <v>-104.55500000000001</v>
          </cell>
        </row>
        <row r="761">
          <cell r="G761">
            <v>37.003</v>
          </cell>
          <cell r="H761">
            <v>60.521999999999991</v>
          </cell>
          <cell r="I761">
            <v>195.267</v>
          </cell>
          <cell r="J761">
            <v>276.08799999999997</v>
          </cell>
          <cell r="K761">
            <v>258.15100000000001</v>
          </cell>
          <cell r="L761">
            <v>337.07499999999999</v>
          </cell>
        </row>
        <row r="764">
          <cell r="C764">
            <v>2</v>
          </cell>
          <cell r="D764" t="str">
            <v>General and administrative expenses</v>
          </cell>
          <cell r="G764">
            <v>470.923</v>
          </cell>
          <cell r="H764">
            <v>358.93099999999998</v>
          </cell>
          <cell r="I764">
            <v>393.65700000000004</v>
          </cell>
          <cell r="J764">
            <v>368.22399999999999</v>
          </cell>
          <cell r="K764">
            <v>446.90600000000001</v>
          </cell>
          <cell r="L764">
            <v>546.27599999999995</v>
          </cell>
        </row>
        <row r="765">
          <cell r="F765" t="str">
            <v>Less: Advertisement charges</v>
          </cell>
          <cell r="G765">
            <v>-41.8</v>
          </cell>
          <cell r="H765">
            <v>-47.7</v>
          </cell>
          <cell r="I765">
            <v>-80</v>
          </cell>
          <cell r="J765">
            <v>-86.5</v>
          </cell>
          <cell r="K765">
            <v>-91.9</v>
          </cell>
          <cell r="L765">
            <v>-111.7</v>
          </cell>
        </row>
        <row r="766">
          <cell r="G766">
            <v>429.12299999999999</v>
          </cell>
          <cell r="H766">
            <v>311.23099999999999</v>
          </cell>
          <cell r="I766">
            <v>313.65700000000004</v>
          </cell>
          <cell r="J766">
            <v>281.72399999999999</v>
          </cell>
          <cell r="K766">
            <v>355.00599999999997</v>
          </cell>
          <cell r="L766">
            <v>434.57599999999996</v>
          </cell>
        </row>
        <row r="767">
          <cell r="C767">
            <v>3</v>
          </cell>
          <cell r="D767" t="str">
            <v>Statutory Tax Rate</v>
          </cell>
        </row>
        <row r="768">
          <cell r="E768" t="str">
            <v>For 2002 , the statutory tax rate is as follows:</v>
          </cell>
        </row>
        <row r="769">
          <cell r="E769">
            <v>1</v>
          </cell>
          <cell r="F769" t="str">
            <v>Tax at U.S. statutory rate of 35%</v>
          </cell>
          <cell r="H769">
            <v>88.427999999999997</v>
          </cell>
          <cell r="I769">
            <v>-578.83100000000002</v>
          </cell>
          <cell r="J769">
            <v>1.391</v>
          </cell>
          <cell r="K769">
            <v>99.045000000000002</v>
          </cell>
          <cell r="L769">
            <v>10412</v>
          </cell>
        </row>
        <row r="770">
          <cell r="E770">
            <v>2</v>
          </cell>
          <cell r="F770" t="str">
            <v>State taxes</v>
          </cell>
          <cell r="H770">
            <v>7.4909999999999997</v>
          </cell>
          <cell r="I770">
            <v>-17.552999999999997</v>
          </cell>
          <cell r="J770">
            <v>0.95899999999999996</v>
          </cell>
          <cell r="K770">
            <v>16.219000000000001</v>
          </cell>
          <cell r="L770">
            <v>837</v>
          </cell>
        </row>
        <row r="771">
          <cell r="F771" t="str">
            <v>Total (A)</v>
          </cell>
          <cell r="H771">
            <v>95.918999999999997</v>
          </cell>
          <cell r="I771">
            <v>-596.38400000000001</v>
          </cell>
          <cell r="J771">
            <v>2.35</v>
          </cell>
          <cell r="K771">
            <v>115.26400000000001</v>
          </cell>
          <cell r="L771">
            <v>11249</v>
          </cell>
        </row>
        <row r="773">
          <cell r="F773" t="str">
            <v>Profit before taxes                                                                            (B)</v>
          </cell>
          <cell r="H773">
            <v>252.65100000000001</v>
          </cell>
          <cell r="I773">
            <v>-1157.5</v>
          </cell>
          <cell r="J773">
            <v>3.9729999999999999</v>
          </cell>
          <cell r="K773">
            <v>282.98599999999999</v>
          </cell>
          <cell r="L773">
            <v>29749</v>
          </cell>
        </row>
        <row r="775">
          <cell r="F775" t="str">
            <v>statutory tax rate  (A/B)*100</v>
          </cell>
          <cell r="H775">
            <v>0.37965018939169048</v>
          </cell>
          <cell r="I775">
            <v>0.51523455723542122</v>
          </cell>
          <cell r="J775">
            <v>0.59149257488044304</v>
          </cell>
          <cell r="K775">
            <v>0.40731343600036757</v>
          </cell>
          <cell r="L775">
            <v>0.37813035732293521</v>
          </cell>
        </row>
        <row r="777">
          <cell r="C777" t="str">
            <v>Reclassification</v>
          </cell>
        </row>
        <row r="778">
          <cell r="C778">
            <v>4</v>
          </cell>
          <cell r="D778" t="str">
            <v>Contract and other  (as disclosed in the respective year's financials)</v>
          </cell>
          <cell r="I778">
            <v>83.242000000000004</v>
          </cell>
        </row>
        <row r="779">
          <cell r="F779" t="str">
            <v>Add: Reclassification in 2000</v>
          </cell>
          <cell r="I779">
            <v>-20.337</v>
          </cell>
        </row>
        <row r="780">
          <cell r="I780">
            <v>103.57899999999999</v>
          </cell>
        </row>
        <row r="782">
          <cell r="C782">
            <v>5</v>
          </cell>
          <cell r="D782" t="str">
            <v>Amortization of taxable other intangible(as disclosed in the respective year's financials)</v>
          </cell>
          <cell r="I782">
            <v>197.74199999999999</v>
          </cell>
        </row>
        <row r="783">
          <cell r="F783" t="str">
            <v>Add: Reclassification in 2000</v>
          </cell>
          <cell r="I783">
            <v>-0.67799999999999727</v>
          </cell>
        </row>
        <row r="784">
          <cell r="I784">
            <v>198.42</v>
          </cell>
          <cell r="K784">
            <v>0</v>
          </cell>
          <cell r="L784">
            <v>0</v>
          </cell>
        </row>
        <row r="786">
          <cell r="C786">
            <v>6</v>
          </cell>
          <cell r="D786" t="str">
            <v>Current Tax (as disclosed in the respective year's financials)</v>
          </cell>
          <cell r="I786">
            <v>-203.10900000000004</v>
          </cell>
        </row>
        <row r="787">
          <cell r="F787" t="str">
            <v>Add: Reclassification in 2000</v>
          </cell>
          <cell r="I787">
            <v>-6.7</v>
          </cell>
        </row>
        <row r="788">
          <cell r="I788">
            <v>-196.40900000000005</v>
          </cell>
        </row>
        <row r="790">
          <cell r="B790" t="str">
            <v>B</v>
          </cell>
          <cell r="C790" t="str">
            <v>Balance Sheet Validation</v>
          </cell>
        </row>
        <row r="791">
          <cell r="C791">
            <v>6</v>
          </cell>
          <cell r="D791" t="str">
            <v>Other receivables, current</v>
          </cell>
        </row>
        <row r="792">
          <cell r="F792" t="str">
            <v>Accounts receivable − royalties</v>
          </cell>
          <cell r="L792">
            <v>116.423</v>
          </cell>
        </row>
        <row r="793">
          <cell r="F793" t="str">
            <v>Accounts receivable − related parties</v>
          </cell>
          <cell r="G793">
            <v>73.444000000000003</v>
          </cell>
          <cell r="H793">
            <v>22.85</v>
          </cell>
          <cell r="I793">
            <v>33.234000000000002</v>
          </cell>
          <cell r="J793">
            <v>36.298999999999999</v>
          </cell>
          <cell r="K793">
            <v>66.867000000000004</v>
          </cell>
          <cell r="L793">
            <v>0</v>
          </cell>
        </row>
        <row r="794">
          <cell r="F794" t="str">
            <v>Accounts receivable − other</v>
          </cell>
          <cell r="G794">
            <v>44.386000000000003</v>
          </cell>
          <cell r="H794">
            <v>47.48</v>
          </cell>
          <cell r="I794">
            <v>61.054000000000002</v>
          </cell>
          <cell r="J794">
            <v>63.262</v>
          </cell>
          <cell r="K794">
            <v>55.27</v>
          </cell>
          <cell r="L794">
            <v>59.151000000000003</v>
          </cell>
        </row>
        <row r="795">
          <cell r="G795">
            <v>117.83000000000001</v>
          </cell>
          <cell r="H795">
            <v>70.33</v>
          </cell>
          <cell r="I795">
            <v>94.288000000000011</v>
          </cell>
          <cell r="J795">
            <v>99.561000000000007</v>
          </cell>
          <cell r="K795">
            <v>122.137</v>
          </cell>
          <cell r="L795">
            <v>175.57400000000001</v>
          </cell>
        </row>
        <row r="796">
          <cell r="C796">
            <v>7</v>
          </cell>
          <cell r="D796" t="str">
            <v>Other assets, operating, noncurrent</v>
          </cell>
        </row>
        <row r="797">
          <cell r="F797" t="str">
            <v>Leasehold improvements</v>
          </cell>
          <cell r="G797">
            <v>3.27</v>
          </cell>
          <cell r="H797">
            <v>3.5649999999999999</v>
          </cell>
          <cell r="I797">
            <v>4.6550000000000002</v>
          </cell>
          <cell r="J797">
            <v>18.456</v>
          </cell>
          <cell r="K797">
            <v>30.632000000000001</v>
          </cell>
          <cell r="L797">
            <v>53.588999999999999</v>
          </cell>
        </row>
        <row r="798">
          <cell r="F798" t="str">
            <v>Other long−term assets</v>
          </cell>
          <cell r="G798">
            <v>177.202</v>
          </cell>
          <cell r="H798">
            <v>131.274</v>
          </cell>
          <cell r="I798">
            <v>201.101</v>
          </cell>
          <cell r="J798">
            <v>168.458</v>
          </cell>
          <cell r="K798">
            <v>70.622</v>
          </cell>
          <cell r="L798">
            <v>110.158</v>
          </cell>
        </row>
        <row r="799">
          <cell r="G799">
            <v>180.47200000000001</v>
          </cell>
          <cell r="H799">
            <v>134.839</v>
          </cell>
          <cell r="I799">
            <v>205.756</v>
          </cell>
          <cell r="J799">
            <v>186.91399999999999</v>
          </cell>
          <cell r="K799">
            <v>101.254</v>
          </cell>
          <cell r="L799">
            <v>163.74700000000001</v>
          </cell>
        </row>
        <row r="800">
          <cell r="C800">
            <v>8</v>
          </cell>
          <cell r="D800" t="str">
            <v>Other accrued expenses</v>
          </cell>
        </row>
        <row r="801">
          <cell r="F801" t="str">
            <v>Accrued royalties</v>
          </cell>
          <cell r="G801">
            <v>23.905000000000001</v>
          </cell>
          <cell r="H801">
            <v>23.391999999999999</v>
          </cell>
          <cell r="I801">
            <v>37.692</v>
          </cell>
          <cell r="J801">
            <v>34.811</v>
          </cell>
          <cell r="K801">
            <v>69.66</v>
          </cell>
          <cell r="L801">
            <v>87.081999999999994</v>
          </cell>
        </row>
        <row r="802">
          <cell r="F802" t="str">
            <v>Accrued clinical and other studies</v>
          </cell>
          <cell r="G802">
            <v>47.268999999999998</v>
          </cell>
          <cell r="H802">
            <v>35.534999999999997</v>
          </cell>
          <cell r="I802">
            <v>18.012</v>
          </cell>
          <cell r="J802">
            <v>35.625999999999998</v>
          </cell>
          <cell r="K802">
            <v>42.433999999999997</v>
          </cell>
          <cell r="L802">
            <v>59.33</v>
          </cell>
        </row>
        <row r="803">
          <cell r="F803" t="str">
            <v>Accrued marketing and promotion costs</v>
          </cell>
          <cell r="G803">
            <v>13.369</v>
          </cell>
          <cell r="H803">
            <v>9.4169999999999998</v>
          </cell>
          <cell r="I803">
            <v>17.896999999999998</v>
          </cell>
          <cell r="J803">
            <v>21.228999999999999</v>
          </cell>
          <cell r="K803">
            <v>28.395</v>
          </cell>
          <cell r="L803">
            <v>39.100999999999999</v>
          </cell>
        </row>
        <row r="804">
          <cell r="F804" t="str">
            <v>Accrued collaborations</v>
          </cell>
          <cell r="G804">
            <v>0</v>
          </cell>
          <cell r="H804">
            <v>0</v>
          </cell>
          <cell r="I804">
            <v>20.707999999999998</v>
          </cell>
          <cell r="J804">
            <v>111.254</v>
          </cell>
          <cell r="K804">
            <v>71.046000000000006</v>
          </cell>
          <cell r="L804">
            <v>103.432</v>
          </cell>
        </row>
        <row r="805">
          <cell r="F805" t="str">
            <v>Accrued legal settlement</v>
          </cell>
          <cell r="H805">
            <v>0</v>
          </cell>
          <cell r="I805">
            <v>200</v>
          </cell>
          <cell r="J805">
            <v>0</v>
          </cell>
          <cell r="K805">
            <v>0</v>
          </cell>
          <cell r="L805">
            <v>0</v>
          </cell>
        </row>
        <row r="806">
          <cell r="G806">
            <v>84.543000000000006</v>
          </cell>
          <cell r="H806">
            <v>68.343999999999994</v>
          </cell>
          <cell r="I806">
            <v>294.30899999999997</v>
          </cell>
          <cell r="J806">
            <v>202.92000000000002</v>
          </cell>
          <cell r="K806">
            <v>211.53500000000003</v>
          </cell>
          <cell r="L806">
            <v>288.94499999999999</v>
          </cell>
        </row>
        <row r="807">
          <cell r="C807">
            <v>9</v>
          </cell>
          <cell r="D807" t="str">
            <v>Other liabilities, operating, current</v>
          </cell>
        </row>
        <row r="808">
          <cell r="F808" t="str">
            <v>Hedge payable</v>
          </cell>
          <cell r="G808">
            <v>0</v>
          </cell>
          <cell r="H808">
            <v>5.42</v>
          </cell>
          <cell r="I808">
            <v>33.499000000000002</v>
          </cell>
          <cell r="J808">
            <v>32.171999999999997</v>
          </cell>
        </row>
        <row r="809">
          <cell r="F809" t="str">
            <v>Other</v>
          </cell>
          <cell r="G809">
            <v>55.677999999999997</v>
          </cell>
          <cell r="H809">
            <v>72.218999999999994</v>
          </cell>
          <cell r="I809">
            <v>47.52</v>
          </cell>
          <cell r="J809">
            <v>66.337999999999994</v>
          </cell>
        </row>
        <row r="810">
          <cell r="F810" t="str">
            <v>Accrued liabilities − related parties</v>
          </cell>
          <cell r="G810">
            <v>15.427</v>
          </cell>
          <cell r="H810">
            <v>10.945</v>
          </cell>
          <cell r="I810">
            <v>14.96</v>
          </cell>
          <cell r="J810">
            <v>12.265000000000001</v>
          </cell>
        </row>
        <row r="811">
          <cell r="G811">
            <v>71.10499999999999</v>
          </cell>
          <cell r="H811">
            <v>88.584000000000003</v>
          </cell>
          <cell r="I811">
            <v>95.979000000000013</v>
          </cell>
          <cell r="J811">
            <v>110.77499999999999</v>
          </cell>
        </row>
        <row r="812">
          <cell r="B812" t="str">
            <v>C</v>
          </cell>
          <cell r="C812" t="str">
            <v>Cash Flow Validation</v>
          </cell>
        </row>
        <row r="813">
          <cell r="C813">
            <v>10</v>
          </cell>
          <cell r="D813" t="str">
            <v>Net decrease in investments, nonoperating</v>
          </cell>
        </row>
        <row r="814">
          <cell r="F814" t="str">
            <v>Gain on sales of securities available−for−sale and other</v>
          </cell>
          <cell r="G814">
            <v>-13.202999999999999</v>
          </cell>
          <cell r="H814">
            <v>-9.5419999999999998</v>
          </cell>
          <cell r="I814">
            <v>-19.375</v>
          </cell>
          <cell r="J814">
            <v>-132.30699999999999</v>
          </cell>
          <cell r="K814">
            <v>-39.398000000000003</v>
          </cell>
          <cell r="L814">
            <v>-53.71</v>
          </cell>
        </row>
        <row r="815">
          <cell r="F815" t="str">
            <v>Loss on sales of securities available−for−sale</v>
          </cell>
          <cell r="G815">
            <v>2.0960000000000001</v>
          </cell>
          <cell r="H815">
            <v>1.8089999999999999</v>
          </cell>
          <cell r="I815">
            <v>1.8050000000000002</v>
          </cell>
          <cell r="J815">
            <v>3.9569999999999999</v>
          </cell>
          <cell r="K815">
            <v>2.0110000000000001</v>
          </cell>
          <cell r="L815">
            <v>5.8680000000000003</v>
          </cell>
        </row>
        <row r="816">
          <cell r="F816" t="str">
            <v>Write−down of securities available−for−sale</v>
          </cell>
          <cell r="G816">
            <v>4</v>
          </cell>
          <cell r="H816">
            <v>20.248999999999999</v>
          </cell>
          <cell r="I816">
            <v>13.422000000000001</v>
          </cell>
          <cell r="J816">
            <v>4.8</v>
          </cell>
          <cell r="K816">
            <v>27.504000000000001</v>
          </cell>
          <cell r="L816">
            <v>40.759</v>
          </cell>
        </row>
        <row r="817">
          <cell r="F817" t="str">
            <v>Investments in trading securities</v>
          </cell>
          <cell r="G817">
            <v>-109.13200000000001</v>
          </cell>
          <cell r="H817">
            <v>12.725</v>
          </cell>
          <cell r="I817">
            <v>-10.158999999999999</v>
          </cell>
          <cell r="J817">
            <v>-20.963000000000001</v>
          </cell>
          <cell r="K817">
            <v>-85.712000000000003</v>
          </cell>
          <cell r="L817">
            <v>-121.986</v>
          </cell>
        </row>
        <row r="818">
          <cell r="F818" t="str">
            <v>Purchases of securities available−for−sale</v>
          </cell>
          <cell r="G818">
            <v>-512.72699999999998</v>
          </cell>
          <cell r="H818">
            <v>-800.78800000000001</v>
          </cell>
          <cell r="I818">
            <v>-595.06799999999998</v>
          </cell>
          <cell r="J818">
            <v>-560.40499999999997</v>
          </cell>
          <cell r="K818">
            <v>-1559.23</v>
          </cell>
          <cell r="L818">
            <v>-806.44399999999996</v>
          </cell>
        </row>
        <row r="819">
          <cell r="F819" t="str">
            <v>Proceeds from sales and maturities of securities available−for−sale</v>
          </cell>
          <cell r="G819">
            <v>410.39499999999998</v>
          </cell>
          <cell r="H819">
            <v>430.93599999999998</v>
          </cell>
          <cell r="I819">
            <v>627.06299999999999</v>
          </cell>
          <cell r="J819">
            <v>574.14499999999998</v>
          </cell>
          <cell r="K819">
            <v>1084.546</v>
          </cell>
          <cell r="L819">
            <v>1746.1980000000001</v>
          </cell>
        </row>
        <row r="820">
          <cell r="F820" t="str">
            <v>Purchases of nonmarketable equity securities</v>
          </cell>
          <cell r="G820">
            <v>0</v>
          </cell>
          <cell r="H820">
            <v>-29.044</v>
          </cell>
          <cell r="I820">
            <v>-52.957999999999998</v>
          </cell>
          <cell r="J820">
            <v>-5.6630000000000003</v>
          </cell>
          <cell r="K820">
            <v>-5.83</v>
          </cell>
          <cell r="L820">
            <v>-6.29</v>
          </cell>
        </row>
        <row r="821">
          <cell r="F821" t="str">
            <v>Transfer to restricted cash</v>
          </cell>
          <cell r="G821">
            <v>0</v>
          </cell>
          <cell r="H821">
            <v>0</v>
          </cell>
          <cell r="I821">
            <v>-56.6</v>
          </cell>
          <cell r="J821">
            <v>0</v>
          </cell>
          <cell r="K821">
            <v>0</v>
          </cell>
          <cell r="L821">
            <v>-630</v>
          </cell>
        </row>
        <row r="822">
          <cell r="F822" t="str">
            <v>Write−down of nonmarketable securities</v>
          </cell>
          <cell r="G822">
            <v>0</v>
          </cell>
          <cell r="H822">
            <v>16.689</v>
          </cell>
          <cell r="I822">
            <v>0.432</v>
          </cell>
          <cell r="J822">
            <v>0</v>
          </cell>
          <cell r="K822">
            <v>0</v>
          </cell>
          <cell r="L822">
            <v>0</v>
          </cell>
        </row>
        <row r="823">
          <cell r="F823" t="str">
            <v>Purchases of securities held−to−maturity</v>
          </cell>
          <cell r="G823">
            <v>-304.93200000000002</v>
          </cell>
          <cell r="H823">
            <v>-327.69</v>
          </cell>
          <cell r="I823">
            <v>-186.61199999999999</v>
          </cell>
          <cell r="J823">
            <v>0</v>
          </cell>
          <cell r="K823">
            <v>0</v>
          </cell>
          <cell r="L823">
            <v>0</v>
          </cell>
        </row>
        <row r="824">
          <cell r="F824" t="str">
            <v>Proceeds from maturities of securities held−to−maturity</v>
          </cell>
          <cell r="G824">
            <v>455.31700000000001</v>
          </cell>
          <cell r="H824">
            <v>410.72899999999998</v>
          </cell>
          <cell r="I824">
            <v>286.49699999999996</v>
          </cell>
          <cell r="J824">
            <v>0</v>
          </cell>
          <cell r="K824">
            <v>0</v>
          </cell>
          <cell r="L824">
            <v>0</v>
          </cell>
        </row>
        <row r="825">
          <cell r="G825">
            <v>-68.186000000000035</v>
          </cell>
          <cell r="H825">
            <v>-273.92699999999996</v>
          </cell>
          <cell r="I825">
            <v>8.4469999999999459</v>
          </cell>
          <cell r="J825">
            <v>-136.43600000000004</v>
          </cell>
          <cell r="K825">
            <v>-576.10900000000004</v>
          </cell>
          <cell r="L825">
            <v>174.39500000000021</v>
          </cell>
        </row>
        <row r="827">
          <cell r="B827" t="str">
            <v>D</v>
          </cell>
          <cell r="C827" t="str">
            <v>Changes in Shareholders Equity Validation</v>
          </cell>
        </row>
        <row r="828">
          <cell r="C828">
            <v>11</v>
          </cell>
          <cell r="D828" t="str">
            <v>Other changes in share capital</v>
          </cell>
        </row>
        <row r="829">
          <cell r="E829" t="str">
            <v>A</v>
          </cell>
          <cell r="F829" t="str">
            <v>Period from January 1 to June 30, 1999</v>
          </cell>
        </row>
        <row r="830">
          <cell r="F830" t="str">
            <v xml:space="preserve"> - Change in Special common Stock</v>
          </cell>
          <cell r="I830">
            <v>-4.1619999999999999</v>
          </cell>
        </row>
        <row r="831">
          <cell r="F831" t="str">
            <v xml:space="preserve"> - Change in common stock</v>
          </cell>
          <cell r="I831">
            <v>4.0540000000000003</v>
          </cell>
        </row>
        <row r="832">
          <cell r="F832" t="str">
            <v xml:space="preserve"> - Changes in Additional Paid - Capital</v>
          </cell>
          <cell r="I832">
            <v>5361.9719999999998</v>
          </cell>
        </row>
        <row r="833">
          <cell r="F833" t="str">
            <v xml:space="preserve"> - Amortization of good−will, intangibles and fair value adjustment to inventories, net of tax</v>
          </cell>
          <cell r="I833">
            <v>-500.5</v>
          </cell>
        </row>
        <row r="834">
          <cell r="F834" t="str">
            <v xml:space="preserve"> - In−process research and development</v>
          </cell>
          <cell r="I834">
            <v>-1221.644</v>
          </cell>
        </row>
        <row r="835">
          <cell r="F835" t="str">
            <v>Total (A + B)</v>
          </cell>
          <cell r="I835">
            <v>3639.7199999999993</v>
          </cell>
        </row>
        <row r="837">
          <cell r="D837" t="str">
            <v>Calculation of Top 3 drugs as percent of total sales</v>
          </cell>
        </row>
        <row r="838">
          <cell r="F838" t="str">
            <v>Rituxan</v>
          </cell>
          <cell r="G838">
            <v>5.5</v>
          </cell>
          <cell r="H838">
            <v>162.6</v>
          </cell>
          <cell r="I838">
            <v>279.39999999999998</v>
          </cell>
          <cell r="J838">
            <v>444.1</v>
          </cell>
          <cell r="K838">
            <v>818.6</v>
          </cell>
          <cell r="L838">
            <v>1162.9000000000001</v>
          </cell>
        </row>
        <row r="839">
          <cell r="F839" t="str">
            <v>Herceptin</v>
          </cell>
          <cell r="G839">
            <v>0</v>
          </cell>
          <cell r="H839">
            <v>30.5</v>
          </cell>
          <cell r="I839">
            <v>188.4</v>
          </cell>
          <cell r="J839">
            <v>275.89999999999998</v>
          </cell>
          <cell r="K839">
            <v>346.7</v>
          </cell>
          <cell r="L839">
            <v>385.2</v>
          </cell>
        </row>
        <row r="840">
          <cell r="F840" t="str">
            <v>Growth Hormone</v>
          </cell>
          <cell r="G840">
            <v>223.6</v>
          </cell>
          <cell r="H840">
            <v>214</v>
          </cell>
          <cell r="I840">
            <v>221.2</v>
          </cell>
          <cell r="J840">
            <v>226.6</v>
          </cell>
          <cell r="K840">
            <v>250.2</v>
          </cell>
          <cell r="L840">
            <v>297.2</v>
          </cell>
        </row>
        <row r="841">
          <cell r="F841" t="str">
            <v>Total (A)</v>
          </cell>
          <cell r="G841">
            <v>229.1</v>
          </cell>
          <cell r="H841">
            <v>407.1</v>
          </cell>
          <cell r="I841">
            <v>689</v>
          </cell>
          <cell r="J841">
            <v>946.6</v>
          </cell>
          <cell r="K841">
            <v>1415.5</v>
          </cell>
          <cell r="L841">
            <v>1845.3000000000002</v>
          </cell>
        </row>
        <row r="843">
          <cell r="F843" t="str">
            <v>Total Product sales (B)</v>
          </cell>
          <cell r="G843">
            <v>584.9</v>
          </cell>
          <cell r="H843">
            <v>717.8</v>
          </cell>
          <cell r="I843">
            <v>1039.0999999999999</v>
          </cell>
          <cell r="J843">
            <v>1278.3</v>
          </cell>
          <cell r="K843">
            <v>1742.9</v>
          </cell>
          <cell r="L843">
            <v>2163.6</v>
          </cell>
        </row>
        <row r="845">
          <cell r="F845" t="str">
            <v>Percent       (A/B)*100</v>
          </cell>
          <cell r="G845">
            <v>0.39169088733116775</v>
          </cell>
          <cell r="H845">
            <v>0.56714962385065482</v>
          </cell>
          <cell r="I845">
            <v>0.66307381387739395</v>
          </cell>
          <cell r="J845">
            <v>0.74051474614722679</v>
          </cell>
          <cell r="K845">
            <v>0.81215216019278214</v>
          </cell>
          <cell r="L845">
            <v>0.85288408208541333</v>
          </cell>
        </row>
      </sheetData>
      <sheetData sheetId="18" refreshError="1">
        <row r="2">
          <cell r="B2" t="str">
            <v>Rituxan - Adoption Rates</v>
          </cell>
        </row>
        <row r="3">
          <cell r="B3" t="str">
            <v>Rolling 4 Quarter Averages</v>
          </cell>
          <cell r="C3" t="str">
            <v>3Q03</v>
          </cell>
          <cell r="D3" t="str">
            <v>1Q04</v>
          </cell>
          <cell r="E3" t="str">
            <v>2Q04</v>
          </cell>
          <cell r="F3" t="str">
            <v>3Q04</v>
          </cell>
          <cell r="G3" t="str">
            <v>4Q04</v>
          </cell>
          <cell r="H3" t="str">
            <v>2Q05</v>
          </cell>
          <cell r="I3" t="str">
            <v>3Q05</v>
          </cell>
          <cell r="L3" t="str">
            <v>Phase I/II PTK787 with FOLFOX4</v>
          </cell>
          <cell r="O3" t="str">
            <v>Phase I/II PTK787 with FOLFIRI</v>
          </cell>
        </row>
        <row r="4">
          <cell r="B4" t="str">
            <v>Overall NHL &amp; CLL</v>
          </cell>
          <cell r="C4">
            <v>0.7</v>
          </cell>
          <cell r="D4">
            <v>0.68</v>
          </cell>
          <cell r="E4">
            <v>0.7</v>
          </cell>
          <cell r="F4">
            <v>0.72</v>
          </cell>
          <cell r="G4">
            <v>0.75</v>
          </cell>
          <cell r="H4">
            <v>0.78</v>
          </cell>
          <cell r="I4">
            <v>0.8</v>
          </cell>
          <cell r="L4" t="str">
            <v>n=28</v>
          </cell>
          <cell r="O4" t="str">
            <v>n=16</v>
          </cell>
        </row>
        <row r="5">
          <cell r="B5" t="str">
            <v>NHL</v>
          </cell>
          <cell r="L5" t="str">
            <v>Dose ranges</v>
          </cell>
          <cell r="M5" t="str">
            <v>500-2,000 mg</v>
          </cell>
          <cell r="O5" t="str">
            <v>Dose ranges</v>
          </cell>
          <cell r="P5" t="str">
            <v>500-1,250 mg</v>
          </cell>
        </row>
        <row r="6">
          <cell r="B6" t="str">
            <v>Front-line Indolent</v>
          </cell>
          <cell r="C6">
            <v>0.8</v>
          </cell>
          <cell r="D6">
            <v>0.76</v>
          </cell>
          <cell r="E6">
            <v>0.8</v>
          </cell>
          <cell r="F6">
            <v>0.85</v>
          </cell>
          <cell r="G6">
            <v>0.85</v>
          </cell>
          <cell r="H6">
            <v>0.87</v>
          </cell>
          <cell r="I6">
            <v>0.89</v>
          </cell>
          <cell r="L6" t="str">
            <v>MTD</v>
          </cell>
          <cell r="M6" t="str">
            <v>1,250 mg</v>
          </cell>
          <cell r="O6" t="str">
            <v>MTD</v>
          </cell>
          <cell r="P6" t="str">
            <v>1,250 mg</v>
          </cell>
        </row>
        <row r="7">
          <cell r="B7" t="str">
            <v>Relapsed indolent</v>
          </cell>
          <cell r="C7">
            <v>0.76</v>
          </cell>
          <cell r="D7">
            <v>0.75</v>
          </cell>
          <cell r="E7">
            <v>0.76</v>
          </cell>
          <cell r="F7">
            <v>0.77</v>
          </cell>
          <cell r="G7">
            <v>0.77</v>
          </cell>
          <cell r="H7">
            <v>0.75</v>
          </cell>
          <cell r="I7">
            <v>0.77</v>
          </cell>
          <cell r="L7" t="str">
            <v>CR</v>
          </cell>
          <cell r="M7" t="str">
            <v>1 (4%)</v>
          </cell>
          <cell r="O7" t="str">
            <v>CR</v>
          </cell>
          <cell r="P7">
            <v>0</v>
          </cell>
        </row>
        <row r="8">
          <cell r="B8" t="str">
            <v>Front-line aggressive</v>
          </cell>
          <cell r="C8">
            <v>0.81</v>
          </cell>
          <cell r="D8">
            <v>0.82</v>
          </cell>
          <cell r="E8">
            <v>0.81</v>
          </cell>
          <cell r="F8">
            <v>0.83</v>
          </cell>
          <cell r="G8">
            <v>0.83</v>
          </cell>
          <cell r="H8">
            <v>0.87</v>
          </cell>
          <cell r="I8">
            <v>0.87</v>
          </cell>
          <cell r="L8" t="str">
            <v>PR</v>
          </cell>
          <cell r="M8" t="str">
            <v>14 (50%)</v>
          </cell>
          <cell r="O8" t="str">
            <v>PR</v>
          </cell>
          <cell r="P8" t="str">
            <v>4 (33%)</v>
          </cell>
        </row>
        <row r="9">
          <cell r="B9" t="str">
            <v>Relapsed aggressive</v>
          </cell>
          <cell r="C9">
            <v>0.55000000000000004</v>
          </cell>
          <cell r="D9">
            <v>0.55000000000000004</v>
          </cell>
          <cell r="E9">
            <v>0.55000000000000004</v>
          </cell>
          <cell r="F9">
            <v>0.56000000000000005</v>
          </cell>
          <cell r="G9">
            <v>0.64</v>
          </cell>
          <cell r="H9">
            <v>0.64</v>
          </cell>
          <cell r="I9">
            <v>0.67</v>
          </cell>
          <cell r="L9" t="str">
            <v>SD</v>
          </cell>
          <cell r="M9" t="str">
            <v>9 (32%)</v>
          </cell>
          <cell r="O9" t="str">
            <v>SD</v>
          </cell>
          <cell r="P9" t="str">
            <v>5 (42%)</v>
          </cell>
        </row>
        <row r="10">
          <cell r="B10" t="str">
            <v>CLL</v>
          </cell>
          <cell r="L10" t="str">
            <v>median PFS</v>
          </cell>
          <cell r="M10" t="str">
            <v>11 months</v>
          </cell>
          <cell r="O10" t="str">
            <v>median TTP</v>
          </cell>
          <cell r="P10" t="str">
            <v>6.7 months</v>
          </cell>
        </row>
        <row r="11">
          <cell r="B11" t="str">
            <v>Front-line CLL</v>
          </cell>
          <cell r="C11">
            <v>0.52</v>
          </cell>
          <cell r="D11">
            <v>0.46</v>
          </cell>
          <cell r="E11">
            <v>0.52</v>
          </cell>
          <cell r="F11">
            <v>0.56999999999999995</v>
          </cell>
          <cell r="G11">
            <v>0.63</v>
          </cell>
          <cell r="H11">
            <v>0.65</v>
          </cell>
          <cell r="I11">
            <v>0.69</v>
          </cell>
          <cell r="L11" t="str">
            <v>median OS</v>
          </cell>
          <cell r="M11" t="str">
            <v>16.6 months</v>
          </cell>
          <cell r="O11" t="str">
            <v>median OS</v>
          </cell>
          <cell r="P11" t="str">
            <v>&gt;9 months</v>
          </cell>
        </row>
        <row r="12">
          <cell r="B12" t="str">
            <v>Relapsed CLL</v>
          </cell>
          <cell r="C12">
            <v>0.55000000000000004</v>
          </cell>
          <cell r="D12">
            <v>0.57999999999999996</v>
          </cell>
          <cell r="E12">
            <v>0.55000000000000004</v>
          </cell>
          <cell r="F12">
            <v>0.55000000000000004</v>
          </cell>
          <cell r="G12">
            <v>0.56999999999999995</v>
          </cell>
          <cell r="H12">
            <v>0.67</v>
          </cell>
          <cell r="I12">
            <v>0.68</v>
          </cell>
          <cell r="L12" t="str">
            <v>Adverse events:</v>
          </cell>
          <cell r="M12" t="str">
            <v>Ataxia</v>
          </cell>
          <cell r="O12" t="str">
            <v>Adverse events:</v>
          </cell>
          <cell r="P12" t="str">
            <v>hypertension</v>
          </cell>
        </row>
        <row r="13">
          <cell r="B13" t="str">
            <v>MDs using maintenance</v>
          </cell>
          <cell r="C13">
            <v>0.59</v>
          </cell>
          <cell r="D13">
            <v>0.55000000000000004</v>
          </cell>
          <cell r="E13">
            <v>0.59</v>
          </cell>
          <cell r="F13">
            <v>0.62</v>
          </cell>
          <cell r="G13">
            <v>0.65</v>
          </cell>
          <cell r="H13">
            <v>0.7</v>
          </cell>
          <cell r="I13">
            <v>0.75</v>
          </cell>
          <cell r="M13" t="str">
            <v>neutropenia</v>
          </cell>
          <cell r="P13" t="str">
            <v>fatigue</v>
          </cell>
        </row>
        <row r="14">
          <cell r="B14" t="str">
            <v>Patients receiving maint.</v>
          </cell>
          <cell r="C14">
            <v>0.09</v>
          </cell>
          <cell r="F14">
            <v>0.1</v>
          </cell>
          <cell r="G14">
            <v>0.15</v>
          </cell>
          <cell r="H14">
            <v>0.19</v>
          </cell>
          <cell r="I14">
            <v>0.2</v>
          </cell>
          <cell r="M14" t="str">
            <v>thrombocytopenia</v>
          </cell>
          <cell r="P14" t="str">
            <v>dizziness</v>
          </cell>
        </row>
        <row r="15">
          <cell r="S15" t="str">
            <v>AC + Taxotere + Herceptin</v>
          </cell>
          <cell r="T15" t="str">
            <v>Taxotere + carboplatin + Herceptin</v>
          </cell>
          <cell r="U15" t="str">
            <v>AC + Taxotere (control)</v>
          </cell>
        </row>
        <row r="16">
          <cell r="R16" t="str">
            <v>Reduction in Disease Recurrence (Primary Endpoint)</v>
          </cell>
          <cell r="S16" t="str">
            <v>51%*</v>
          </cell>
          <cell r="T16" t="str">
            <v>39%*</v>
          </cell>
          <cell r="U16" t="str">
            <v>-</v>
          </cell>
        </row>
        <row r="17">
          <cell r="R17" t="str">
            <v>Clinicallly Significant Cardiac Adverse Events</v>
          </cell>
          <cell r="S17">
            <v>2.3E-2</v>
          </cell>
          <cell r="T17">
            <v>1.2999999999999999E-2</v>
          </cell>
          <cell r="U17">
            <v>1.2999999999999999E-2</v>
          </cell>
        </row>
        <row r="18">
          <cell r="L18" t="str">
            <v>Ph II RCC data</v>
          </cell>
          <cell r="R18" t="str">
            <v>Note: * Statistically significant; AC = doxorubicin plus cyclophosphamide</v>
          </cell>
        </row>
        <row r="19">
          <cell r="B19" t="str">
            <v>Avastin - Adoption Rates</v>
          </cell>
          <cell r="L19" t="str">
            <v>Avastin</v>
          </cell>
          <cell r="M19" t="str">
            <v>10mg</v>
          </cell>
          <cell r="N19" t="str">
            <v>3mg</v>
          </cell>
          <cell r="O19" t="str">
            <v>Placebo</v>
          </cell>
        </row>
        <row r="20">
          <cell r="B20" t="str">
            <v>Colorectal cancer</v>
          </cell>
          <cell r="C20" t="str">
            <v>3Q04</v>
          </cell>
          <cell r="D20" t="str">
            <v>4Q04</v>
          </cell>
          <cell r="E20" t="str">
            <v>1Q05</v>
          </cell>
          <cell r="F20" t="str">
            <v>2Q05</v>
          </cell>
          <cell r="G20" t="str">
            <v>3Q05</v>
          </cell>
          <cell r="H20" t="str">
            <v>3Q05</v>
          </cell>
          <cell r="I20" t="str">
            <v>3Q05</v>
          </cell>
          <cell r="L20" t="str">
            <v>n=</v>
          </cell>
          <cell r="M20">
            <v>39</v>
          </cell>
          <cell r="N20">
            <v>37</v>
          </cell>
          <cell r="O20">
            <v>40</v>
          </cell>
        </row>
        <row r="21">
          <cell r="B21" t="str">
            <v xml:space="preserve">Front-line </v>
          </cell>
          <cell r="C21">
            <v>0.4</v>
          </cell>
          <cell r="D21">
            <v>0.55000000000000004</v>
          </cell>
          <cell r="E21">
            <v>0.61</v>
          </cell>
          <cell r="F21">
            <v>0.64</v>
          </cell>
          <cell r="G21">
            <v>0.67</v>
          </cell>
          <cell r="H21">
            <v>0.67</v>
          </cell>
          <cell r="I21">
            <v>0.67</v>
          </cell>
          <cell r="L21" t="str">
            <v>TTP</v>
          </cell>
          <cell r="M21">
            <v>4.8</v>
          </cell>
          <cell r="N21">
            <v>3</v>
          </cell>
          <cell r="O21">
            <v>2.5</v>
          </cell>
        </row>
        <row r="22">
          <cell r="B22" t="str">
            <v>Refractory</v>
          </cell>
          <cell r="D22">
            <v>0.37</v>
          </cell>
          <cell r="E22">
            <v>0.47</v>
          </cell>
          <cell r="F22">
            <v>0.35</v>
          </cell>
          <cell r="G22">
            <v>0.4</v>
          </cell>
          <cell r="H22">
            <v>0.4</v>
          </cell>
          <cell r="I22">
            <v>0.4</v>
          </cell>
          <cell r="L22" t="str">
            <v>progression free</v>
          </cell>
        </row>
        <row r="23">
          <cell r="L23" t="str">
            <v>4 months</v>
          </cell>
          <cell r="M23">
            <v>0.64</v>
          </cell>
          <cell r="N23">
            <v>0.39</v>
          </cell>
          <cell r="O23">
            <v>0.2</v>
          </cell>
        </row>
        <row r="24">
          <cell r="B24" t="str">
            <v>Avastin - Off label use</v>
          </cell>
          <cell r="L24" t="str">
            <v>8 months</v>
          </cell>
          <cell r="M24">
            <v>0.3</v>
          </cell>
          <cell r="N24">
            <v>0.14000000000000001</v>
          </cell>
          <cell r="O24">
            <v>0.05</v>
          </cell>
        </row>
        <row r="25">
          <cell r="C25" t="str">
            <v>2Q05</v>
          </cell>
          <cell r="D25" t="str">
            <v>3Q05</v>
          </cell>
          <cell r="L25" t="str">
            <v>RR</v>
          </cell>
          <cell r="M25">
            <v>0.1</v>
          </cell>
          <cell r="N25">
            <v>0</v>
          </cell>
          <cell r="O25">
            <v>0</v>
          </cell>
        </row>
        <row r="26">
          <cell r="B26" t="str">
            <v>Avastin sales</v>
          </cell>
          <cell r="C26">
            <v>245</v>
          </cell>
          <cell r="D26">
            <v>325</v>
          </cell>
        </row>
        <row r="27">
          <cell r="B27" t="str">
            <v>% of Avastin sales</v>
          </cell>
          <cell r="C27">
            <v>0.1</v>
          </cell>
          <cell r="D27">
            <v>0.15</v>
          </cell>
        </row>
        <row r="28">
          <cell r="B28" t="str">
            <v>Off-label sales</v>
          </cell>
          <cell r="C28">
            <v>24.5</v>
          </cell>
          <cell r="D28">
            <v>48.75</v>
          </cell>
          <cell r="L28" t="str">
            <v>Ph II pancreatic data</v>
          </cell>
        </row>
        <row r="29">
          <cell r="L29" t="str">
            <v>Pancreatic CA</v>
          </cell>
          <cell r="M29" t="str">
            <v>Gem + 10mg Avastin</v>
          </cell>
        </row>
        <row r="30">
          <cell r="L30" t="str">
            <v>n=</v>
          </cell>
          <cell r="M30">
            <v>52</v>
          </cell>
        </row>
        <row r="31">
          <cell r="B31" t="str">
            <v>Lucentis Phase III results</v>
          </cell>
          <cell r="L31" t="str">
            <v>PFS</v>
          </cell>
          <cell r="M31" t="str">
            <v>5.4 mos</v>
          </cell>
        </row>
        <row r="32">
          <cell r="B32" t="str">
            <v>ANCHOR</v>
          </cell>
          <cell r="C32" t="str">
            <v>0.3 mg</v>
          </cell>
          <cell r="D32" t="str">
            <v>0.5 mg</v>
          </cell>
          <cell r="E32" t="str">
            <v>Visudyne</v>
          </cell>
          <cell r="L32" t="str">
            <v>median survival</v>
          </cell>
          <cell r="M32" t="str">
            <v>8.8 mos</v>
          </cell>
        </row>
        <row r="33">
          <cell r="B33" t="str">
            <v>Maintenance of vision</v>
          </cell>
          <cell r="C33">
            <v>0.94</v>
          </cell>
          <cell r="D33">
            <v>0.96</v>
          </cell>
          <cell r="E33">
            <v>0.64</v>
          </cell>
          <cell r="L33" t="str">
            <v>6-month survival</v>
          </cell>
          <cell r="M33">
            <v>0.77</v>
          </cell>
        </row>
        <row r="34">
          <cell r="B34" t="str">
            <v>Change in visual acuity</v>
          </cell>
          <cell r="C34" t="str">
            <v>improved</v>
          </cell>
          <cell r="D34" t="str">
            <v>improved</v>
          </cell>
          <cell r="E34" t="str">
            <v>declined</v>
          </cell>
        </row>
        <row r="35">
          <cell r="B35" t="str">
            <v>Cererbrovascular events</v>
          </cell>
          <cell r="C35" t="str">
            <v>equal</v>
          </cell>
          <cell r="D35" t="str">
            <v>equal</v>
          </cell>
          <cell r="E35" t="str">
            <v>equal</v>
          </cell>
          <cell r="L35" t="str">
            <v>PR</v>
          </cell>
          <cell r="M35">
            <v>0.21</v>
          </cell>
        </row>
        <row r="36">
          <cell r="B36" t="str">
            <v>Myocardial infarction</v>
          </cell>
          <cell r="C36" t="str">
            <v>-</v>
          </cell>
          <cell r="D36" t="str">
            <v>higher</v>
          </cell>
          <cell r="E36" t="str">
            <v>-</v>
          </cell>
          <cell r="L36" t="str">
            <v>SD</v>
          </cell>
          <cell r="M36">
            <v>0.46</v>
          </cell>
        </row>
        <row r="38">
          <cell r="B38" t="str">
            <v>MARINA</v>
          </cell>
          <cell r="C38" t="str">
            <v>0.3 mg</v>
          </cell>
          <cell r="D38" t="str">
            <v>0.5 mg</v>
          </cell>
          <cell r="E38" t="str">
            <v>Sham</v>
          </cell>
        </row>
        <row r="39">
          <cell r="B39" t="str">
            <v>Maintenance of vision</v>
          </cell>
          <cell r="C39">
            <v>0.95</v>
          </cell>
          <cell r="D39">
            <v>0.95</v>
          </cell>
          <cell r="E39">
            <v>0.62</v>
          </cell>
        </row>
        <row r="40">
          <cell r="B40" t="str">
            <v>Letters gained</v>
          </cell>
          <cell r="C40" t="str">
            <v>+6.5</v>
          </cell>
          <cell r="D40" t="str">
            <v>+7.2</v>
          </cell>
          <cell r="E40" t="str">
            <v>-10.5</v>
          </cell>
        </row>
        <row r="41">
          <cell r="B41" t="str">
            <v>Cererbrovascular events</v>
          </cell>
          <cell r="C41">
            <v>1</v>
          </cell>
          <cell r="D41">
            <v>3</v>
          </cell>
          <cell r="E41">
            <v>1</v>
          </cell>
        </row>
        <row r="42">
          <cell r="B42" t="str">
            <v>Myocardial infarction</v>
          </cell>
          <cell r="C42">
            <v>1</v>
          </cell>
          <cell r="D42">
            <v>1</v>
          </cell>
          <cell r="E42">
            <v>1</v>
          </cell>
        </row>
        <row r="46">
          <cell r="B46" t="str">
            <v>Macugen + Visudyne Phase II data</v>
          </cell>
        </row>
        <row r="48">
          <cell r="C48" t="str">
            <v>Macugen + Visudyne</v>
          </cell>
          <cell r="D48" t="str">
            <v>Lucentis + Visudyne</v>
          </cell>
        </row>
        <row r="49">
          <cell r="B49" t="str">
            <v>Patients</v>
          </cell>
          <cell r="C49" t="str">
            <v>10* (100%)</v>
          </cell>
        </row>
        <row r="50">
          <cell r="B50" t="str">
            <v>Stable vision or better</v>
          </cell>
          <cell r="C50" t="str">
            <v>9 (90%)</v>
          </cell>
        </row>
        <row r="51">
          <cell r="B51" t="str">
            <v>At least 15 letter gain</v>
          </cell>
          <cell r="C51" t="str">
            <v>6 (60%)</v>
          </cell>
        </row>
        <row r="52">
          <cell r="B52" t="str">
            <v>Patients needing further Visudyne therapy after 3 months</v>
          </cell>
          <cell r="C52" t="str">
            <v>4 (40%)</v>
          </cell>
        </row>
        <row r="53">
          <cell r="B53" t="str">
            <v>Note: * 11 patients treated q monthly for 3 months; 10 patients were evaluated</v>
          </cell>
        </row>
      </sheetData>
      <sheetData sheetId="19" refreshError="1"/>
      <sheetData sheetId="20" refreshError="1"/>
      <sheetData sheetId="21" refreshError="1">
        <row r="4">
          <cell r="D4" t="str">
            <v>(For Marketing Pack)</v>
          </cell>
        </row>
        <row r="6">
          <cell r="F6" t="str">
            <v>2005A</v>
          </cell>
          <cell r="H6" t="str">
            <v>2006E</v>
          </cell>
          <cell r="J6" t="str">
            <v>2007E</v>
          </cell>
          <cell r="L6" t="str">
            <v>2008E</v>
          </cell>
        </row>
        <row r="7">
          <cell r="D7" t="str">
            <v>Rituxan</v>
          </cell>
          <cell r="F7">
            <v>1989.431</v>
          </cell>
          <cell r="H7">
            <v>2357</v>
          </cell>
          <cell r="J7">
            <v>2711.0807564833267</v>
          </cell>
          <cell r="L7">
            <v>2933.6966005063991</v>
          </cell>
        </row>
        <row r="8">
          <cell r="D8" t="str">
            <v>Avastin</v>
          </cell>
          <cell r="F8">
            <v>1216.7529999999999</v>
          </cell>
          <cell r="H8">
            <v>1993.36</v>
          </cell>
          <cell r="J8">
            <v>2925.9611602894643</v>
          </cell>
          <cell r="L8">
            <v>3882.0494573955039</v>
          </cell>
        </row>
        <row r="9">
          <cell r="D9" t="str">
            <v>Herceptin</v>
          </cell>
          <cell r="F9">
            <v>763.86799999999994</v>
          </cell>
          <cell r="H9">
            <v>1380</v>
          </cell>
          <cell r="J9">
            <v>1581.6482618585742</v>
          </cell>
          <cell r="L9">
            <v>1676.8953104490511</v>
          </cell>
        </row>
        <row r="10">
          <cell r="D10" t="str">
            <v>Xolair</v>
          </cell>
          <cell r="F10">
            <v>323.79700000000003</v>
          </cell>
          <cell r="H10">
            <v>423</v>
          </cell>
          <cell r="J10">
            <v>496.67639851943272</v>
          </cell>
          <cell r="L10">
            <v>549.18117450569844</v>
          </cell>
        </row>
        <row r="11">
          <cell r="D11" t="str">
            <v>Total Revenues</v>
          </cell>
          <cell r="F11">
            <v>6633.4230000000007</v>
          </cell>
          <cell r="H11">
            <v>9120.36</v>
          </cell>
          <cell r="J11">
            <v>11279.125121683228</v>
          </cell>
          <cell r="L11">
            <v>13104.186311101828</v>
          </cell>
        </row>
        <row r="12">
          <cell r="D12" t="str">
            <v>EPS</v>
          </cell>
          <cell r="F12">
            <v>1.2834315032439099</v>
          </cell>
          <cell r="H12">
            <v>1.9766562870511628</v>
          </cell>
          <cell r="J12">
            <v>2.6131703146035923</v>
          </cell>
          <cell r="L12">
            <v>3.2657035401917991</v>
          </cell>
        </row>
        <row r="13">
          <cell r="D13" t="str">
            <v>Consensus</v>
          </cell>
          <cell r="F13">
            <v>1.28</v>
          </cell>
          <cell r="H13">
            <v>1.81</v>
          </cell>
          <cell r="J13">
            <v>2.4500000000000002</v>
          </cell>
          <cell r="L13">
            <v>3.12</v>
          </cell>
        </row>
      </sheetData>
      <sheetData sheetId="22" refreshError="1"/>
      <sheetData sheetId="23" refreshError="1"/>
      <sheetData sheetId="24" refreshError="1">
        <row r="6">
          <cell r="D6" t="str">
            <v>Biogen Idec Oceanside Plant</v>
          </cell>
          <cell r="E6" t="str">
            <v>Vacaville Expansion</v>
          </cell>
        </row>
        <row r="7">
          <cell r="C7" t="str">
            <v>Current</v>
          </cell>
          <cell r="D7">
            <v>2007</v>
          </cell>
          <cell r="E7">
            <v>2009</v>
          </cell>
          <cell r="F7" t="str">
            <v>Total</v>
          </cell>
        </row>
        <row r="8">
          <cell r="B8" t="str">
            <v>clear</v>
          </cell>
          <cell r="D8">
            <v>280</v>
          </cell>
          <cell r="E8">
            <v>370</v>
          </cell>
          <cell r="F8">
            <v>0</v>
          </cell>
        </row>
        <row r="9">
          <cell r="B9" t="str">
            <v>green</v>
          </cell>
          <cell r="C9">
            <v>280</v>
          </cell>
          <cell r="D9">
            <v>90</v>
          </cell>
          <cell r="E9">
            <v>200</v>
          </cell>
          <cell r="F9">
            <v>570</v>
          </cell>
        </row>
        <row r="12">
          <cell r="I12" t="str">
            <v>Ex-US Exposure</v>
          </cell>
        </row>
        <row r="13">
          <cell r="I13" t="str">
            <v>Sales to Collab.</v>
          </cell>
          <cell r="J13">
            <v>2005</v>
          </cell>
          <cell r="K13" t="str">
            <v>1Q06</v>
          </cell>
        </row>
        <row r="14">
          <cell r="I14" t="str">
            <v>Total</v>
          </cell>
          <cell r="J14">
            <v>326.39999999999998</v>
          </cell>
          <cell r="K14">
            <v>75</v>
          </cell>
        </row>
        <row r="15">
          <cell r="I15" t="str">
            <v>Avastin</v>
          </cell>
          <cell r="J15">
            <v>84.031999999999996</v>
          </cell>
          <cell r="K15">
            <v>18</v>
          </cell>
        </row>
        <row r="16">
          <cell r="I16" t="str">
            <v>Herceptin</v>
          </cell>
          <cell r="J16">
            <v>16.621000000000002</v>
          </cell>
          <cell r="K16">
            <v>5</v>
          </cell>
        </row>
        <row r="17">
          <cell r="I17" t="str">
            <v>Rituxan</v>
          </cell>
          <cell r="J17">
            <v>157.9</v>
          </cell>
          <cell r="K17">
            <v>32</v>
          </cell>
        </row>
        <row r="18">
          <cell r="I18" t="str">
            <v>Nutropin</v>
          </cell>
          <cell r="J18">
            <v>4.8</v>
          </cell>
          <cell r="K18">
            <v>1</v>
          </cell>
        </row>
        <row r="19">
          <cell r="I19" t="str">
            <v>Pulmozyme</v>
          </cell>
          <cell r="J19">
            <v>35.4</v>
          </cell>
          <cell r="K19">
            <v>13</v>
          </cell>
        </row>
        <row r="20">
          <cell r="I20" t="str">
            <v>Raptiva</v>
          </cell>
          <cell r="J20">
            <v>14.9</v>
          </cell>
          <cell r="K20">
            <v>2</v>
          </cell>
        </row>
        <row r="21">
          <cell r="I21" t="str">
            <v>Thrombolytics</v>
          </cell>
          <cell r="J21">
            <v>8.3000000000000007</v>
          </cell>
          <cell r="K21">
            <v>3</v>
          </cell>
        </row>
        <row r="22">
          <cell r="I22" t="str">
            <v>Xolair</v>
          </cell>
          <cell r="J22">
            <v>7</v>
          </cell>
          <cell r="K22">
            <v>1</v>
          </cell>
        </row>
        <row r="23">
          <cell r="I23" t="str">
            <v>Other</v>
          </cell>
          <cell r="J23">
            <v>27</v>
          </cell>
          <cell r="K23">
            <v>0</v>
          </cell>
        </row>
        <row r="24">
          <cell r="I24" t="str">
            <v>Royalties</v>
          </cell>
        </row>
        <row r="25">
          <cell r="I25" t="str">
            <v>% Roche</v>
          </cell>
          <cell r="J25">
            <v>0.53</v>
          </cell>
          <cell r="K25">
            <v>0.57999999999999996</v>
          </cell>
        </row>
        <row r="26">
          <cell r="I26" t="str">
            <v>ex-US Royalties</v>
          </cell>
          <cell r="J26">
            <v>495.60140999999999</v>
          </cell>
          <cell r="K26">
            <v>165.88</v>
          </cell>
        </row>
        <row r="27">
          <cell r="I27" t="str">
            <v>Total</v>
          </cell>
          <cell r="J27">
            <v>822.00140999999996</v>
          </cell>
          <cell r="K27">
            <v>240.88</v>
          </cell>
        </row>
        <row r="28">
          <cell r="I28" t="str">
            <v>Total Rev</v>
          </cell>
          <cell r="J28">
            <v>6633.4230000000007</v>
          </cell>
          <cell r="K28">
            <v>1986</v>
          </cell>
        </row>
        <row r="29">
          <cell r="I29" t="str">
            <v>% ex-US</v>
          </cell>
          <cell r="J29">
            <v>0.12391813547847015</v>
          </cell>
          <cell r="K29">
            <v>0.12128902316213494</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LOG"/>
      <sheetName val="Changes to Model"/>
      <sheetName val="MS Est. Vs Actual"/>
      <sheetName val="Quarterly"/>
      <sheetName val="mwareValPrintout"/>
      <sheetName val="Annual"/>
      <sheetName val="Balance Sheet "/>
      <sheetName val="Model_Template"/>
      <sheetName val="Cashflow"/>
      <sheetName val="DCF Valuation"/>
      <sheetName val="US RA Model"/>
      <sheetName val="US Epo Model"/>
      <sheetName val="Int'l Epo Model"/>
      <sheetName val="ProcritAranesp"/>
      <sheetName val="__FDSCACHE__"/>
      <sheetName val="CSFs"/>
      <sheetName val="ESO"/>
      <sheetName val="Figures"/>
      <sheetName val="Marketing"/>
      <sheetName val="mwareDates"/>
      <sheetName val="NY UPLOAD shadow"/>
      <sheetName val="mwareSettings"/>
      <sheetName val="mStartup"/>
      <sheetName val="MainCode"/>
    </sheetNames>
    <sheetDataSet>
      <sheetData sheetId="0" refreshError="1"/>
      <sheetData sheetId="1" refreshError="1"/>
      <sheetData sheetId="2" refreshError="1">
        <row r="2">
          <cell r="B2" t="str">
            <v>Changes To Model</v>
          </cell>
        </row>
        <row r="3">
          <cell r="C3">
            <v>2003</v>
          </cell>
          <cell r="E3">
            <v>2004</v>
          </cell>
          <cell r="G3">
            <v>2005</v>
          </cell>
          <cell r="I3">
            <v>2006</v>
          </cell>
          <cell r="K3">
            <v>2007</v>
          </cell>
          <cell r="M3">
            <v>2008</v>
          </cell>
          <cell r="O3" t="str">
            <v>Comments</v>
          </cell>
        </row>
        <row r="4">
          <cell r="B4" t="str">
            <v>Aranesp</v>
          </cell>
          <cell r="O4" t="str">
            <v>Modestly decreasing estimates in outer years due to slowing EU growth (FOBs are likely to mute growth further)</v>
          </cell>
        </row>
        <row r="5">
          <cell r="B5" t="str">
            <v xml:space="preserve">   Current</v>
          </cell>
          <cell r="E5">
            <v>2472.9</v>
          </cell>
          <cell r="G5">
            <v>3273</v>
          </cell>
          <cell r="I5">
            <v>3913</v>
          </cell>
          <cell r="K5">
            <v>4350</v>
          </cell>
          <cell r="M5">
            <v>4725</v>
          </cell>
        </row>
        <row r="6">
          <cell r="B6" t="str">
            <v xml:space="preserve">   Prior</v>
          </cell>
          <cell r="E6">
            <v>2472.9</v>
          </cell>
          <cell r="G6">
            <v>3273</v>
          </cell>
          <cell r="I6">
            <v>3950</v>
          </cell>
          <cell r="K6">
            <v>4525</v>
          </cell>
          <cell r="M6">
            <v>4915</v>
          </cell>
        </row>
        <row r="7">
          <cell r="B7" t="str">
            <v>Epogen</v>
          </cell>
          <cell r="O7" t="str">
            <v>Company expects product to stabilize in mid 2006</v>
          </cell>
        </row>
        <row r="8">
          <cell r="B8" t="str">
            <v xml:space="preserve">   Current</v>
          </cell>
          <cell r="E8">
            <v>2600.6</v>
          </cell>
          <cell r="G8">
            <v>2455</v>
          </cell>
          <cell r="I8">
            <v>2514</v>
          </cell>
          <cell r="K8">
            <v>2572.1174973954289</v>
          </cell>
          <cell r="M8">
            <v>2632.2299063233218</v>
          </cell>
        </row>
        <row r="9">
          <cell r="B9" t="str">
            <v xml:space="preserve">   Prior</v>
          </cell>
          <cell r="E9">
            <v>2600.6</v>
          </cell>
          <cell r="G9">
            <v>2455</v>
          </cell>
          <cell r="I9">
            <v>2520</v>
          </cell>
          <cell r="K9">
            <v>2626.2090016806937</v>
          </cell>
          <cell r="M9">
            <v>2700.9100577285003</v>
          </cell>
        </row>
        <row r="10">
          <cell r="B10" t="str">
            <v>Neulasta</v>
          </cell>
        </row>
        <row r="11">
          <cell r="B11" t="str">
            <v xml:space="preserve">   Current</v>
          </cell>
          <cell r="E11">
            <v>1739.6</v>
          </cell>
          <cell r="G11">
            <v>2288</v>
          </cell>
          <cell r="I11">
            <v>2603</v>
          </cell>
          <cell r="K11">
            <v>2889.3300000000004</v>
          </cell>
          <cell r="M11">
            <v>3149.3697000000006</v>
          </cell>
        </row>
        <row r="12">
          <cell r="B12" t="str">
            <v xml:space="preserve">   Prior</v>
          </cell>
          <cell r="E12">
            <v>1739.6</v>
          </cell>
          <cell r="G12">
            <v>2288</v>
          </cell>
          <cell r="I12">
            <v>2675</v>
          </cell>
          <cell r="K12">
            <v>3022.75</v>
          </cell>
          <cell r="M12">
            <v>3234.3424999999997</v>
          </cell>
        </row>
        <row r="13">
          <cell r="B13" t="str">
            <v>Neupogen</v>
          </cell>
        </row>
        <row r="14">
          <cell r="B14" t="str">
            <v xml:space="preserve">   Current</v>
          </cell>
          <cell r="E14">
            <v>1175.1999999999998</v>
          </cell>
          <cell r="G14">
            <v>1216</v>
          </cell>
          <cell r="I14">
            <v>1188</v>
          </cell>
          <cell r="K14">
            <v>1188</v>
          </cell>
          <cell r="M14">
            <v>1188</v>
          </cell>
        </row>
        <row r="15">
          <cell r="B15" t="str">
            <v xml:space="preserve">   Prior</v>
          </cell>
          <cell r="E15">
            <v>1175.2</v>
          </cell>
          <cell r="G15">
            <v>1216</v>
          </cell>
          <cell r="I15">
            <v>1240</v>
          </cell>
          <cell r="K15">
            <v>1240</v>
          </cell>
          <cell r="M15">
            <v>1240</v>
          </cell>
        </row>
        <row r="16">
          <cell r="B16" t="str">
            <v>Enbrel</v>
          </cell>
          <cell r="O16" t="str">
            <v xml:space="preserve">Weak trends of past several quarters continue into 2006.  lowering forward estimates as Humira compeition grows in derm and multiple new entrants begin to crowd rheumatology. </v>
          </cell>
        </row>
        <row r="17">
          <cell r="B17" t="str">
            <v xml:space="preserve">   Current</v>
          </cell>
          <cell r="E17">
            <v>1900.3</v>
          </cell>
          <cell r="G17">
            <v>2573</v>
          </cell>
          <cell r="I17">
            <v>2793</v>
          </cell>
          <cell r="K17">
            <v>3016.8307284116399</v>
          </cell>
          <cell r="M17">
            <v>3233.3473223083402</v>
          </cell>
        </row>
        <row r="18">
          <cell r="B18" t="str">
            <v xml:space="preserve">   Prior</v>
          </cell>
          <cell r="E18">
            <v>1900.3</v>
          </cell>
          <cell r="G18">
            <v>2573</v>
          </cell>
          <cell r="I18">
            <v>3020</v>
          </cell>
          <cell r="K18">
            <v>3292.3139849108829</v>
          </cell>
          <cell r="M18">
            <v>3541.0791290486823</v>
          </cell>
        </row>
        <row r="19">
          <cell r="B19" t="str">
            <v>Panitumumab</v>
          </cell>
        </row>
        <row r="20">
          <cell r="B20" t="str">
            <v xml:space="preserve">   Current</v>
          </cell>
          <cell r="E20">
            <v>0</v>
          </cell>
          <cell r="G20">
            <v>0</v>
          </cell>
          <cell r="I20">
            <v>35</v>
          </cell>
          <cell r="K20">
            <v>225</v>
          </cell>
          <cell r="M20">
            <v>475</v>
          </cell>
        </row>
        <row r="21">
          <cell r="B21" t="str">
            <v xml:space="preserve">   Prior</v>
          </cell>
          <cell r="E21">
            <v>0</v>
          </cell>
          <cell r="G21">
            <v>0</v>
          </cell>
          <cell r="I21">
            <v>40</v>
          </cell>
          <cell r="K21">
            <v>260</v>
          </cell>
          <cell r="M21">
            <v>500</v>
          </cell>
        </row>
        <row r="22">
          <cell r="B22" t="str">
            <v>Total Revenues ($MM)</v>
          </cell>
          <cell r="O22" t="str">
            <v>2006 guidance: $13.9B-$14.4B</v>
          </cell>
        </row>
        <row r="23">
          <cell r="B23" t="str">
            <v xml:space="preserve">   Current</v>
          </cell>
          <cell r="C23">
            <v>8356</v>
          </cell>
          <cell r="E23">
            <v>10549.9</v>
          </cell>
          <cell r="G23">
            <v>12430</v>
          </cell>
          <cell r="I23">
            <v>13779</v>
          </cell>
          <cell r="K23">
            <v>15089.778225807069</v>
          </cell>
          <cell r="M23">
            <v>16371.308428631663</v>
          </cell>
        </row>
        <row r="24">
          <cell r="B24" t="str">
            <v xml:space="preserve">   Prior</v>
          </cell>
          <cell r="C24">
            <v>8356</v>
          </cell>
          <cell r="E24">
            <v>10549.9</v>
          </cell>
          <cell r="G24">
            <v>12430</v>
          </cell>
          <cell r="I24">
            <v>14220</v>
          </cell>
          <cell r="K24">
            <v>15846.422986591579</v>
          </cell>
          <cell r="M24">
            <v>17265.642986777184</v>
          </cell>
        </row>
        <row r="25">
          <cell r="B25" t="str">
            <v>SG&amp;A ($MM)</v>
          </cell>
          <cell r="O25" t="str">
            <v>2006 Guidance: ~10% growth</v>
          </cell>
        </row>
        <row r="26">
          <cell r="B26" t="str">
            <v xml:space="preserve">   Current</v>
          </cell>
          <cell r="C26">
            <v>1952.6</v>
          </cell>
          <cell r="E26">
            <v>2556</v>
          </cell>
          <cell r="G26">
            <v>2792</v>
          </cell>
          <cell r="I26">
            <v>3027.1130000000003</v>
          </cell>
          <cell r="K26">
            <v>3266.9369858872305</v>
          </cell>
          <cell r="M26">
            <v>3544.388274798755</v>
          </cell>
        </row>
        <row r="27">
          <cell r="B27" t="str">
            <v xml:space="preserve">   Prior</v>
          </cell>
          <cell r="C27">
            <v>1952.6</v>
          </cell>
          <cell r="E27">
            <v>2556</v>
          </cell>
          <cell r="G27">
            <v>2792</v>
          </cell>
          <cell r="I27">
            <v>3075.85</v>
          </cell>
          <cell r="K27">
            <v>3422.8273651037807</v>
          </cell>
          <cell r="M27">
            <v>4100.5902093595814</v>
          </cell>
        </row>
        <row r="28">
          <cell r="B28" t="str">
            <v>R&amp;D ($MM)</v>
          </cell>
          <cell r="O28" t="str">
            <v xml:space="preserve">2006 Guidance: 30-40% YoY growth.  </v>
          </cell>
        </row>
        <row r="29">
          <cell r="B29" t="str">
            <v xml:space="preserve">   Current</v>
          </cell>
          <cell r="C29">
            <v>1655.4</v>
          </cell>
          <cell r="E29">
            <v>2028</v>
          </cell>
          <cell r="G29">
            <v>2302</v>
          </cell>
          <cell r="I29">
            <v>3009</v>
          </cell>
          <cell r="K29">
            <v>3327.2960987904589</v>
          </cell>
          <cell r="M29">
            <v>3601.6878542989657</v>
          </cell>
        </row>
        <row r="30">
          <cell r="B30" t="str">
            <v xml:space="preserve">   Prior</v>
          </cell>
          <cell r="C30">
            <v>1655.4</v>
          </cell>
          <cell r="E30">
            <v>2028</v>
          </cell>
          <cell r="G30">
            <v>2302</v>
          </cell>
          <cell r="I30">
            <v>3085</v>
          </cell>
          <cell r="K30">
            <v>3406.9809421171894</v>
          </cell>
          <cell r="M30">
            <v>3712.1132421570946</v>
          </cell>
        </row>
        <row r="31">
          <cell r="B31" t="str">
            <v>Interest, Other Income</v>
          </cell>
        </row>
        <row r="32">
          <cell r="B32" t="str">
            <v xml:space="preserve">   Current</v>
          </cell>
          <cell r="C32">
            <v>113.4</v>
          </cell>
          <cell r="D32">
            <v>-0.21359223300970864</v>
          </cell>
          <cell r="E32">
            <v>99.7</v>
          </cell>
          <cell r="F32">
            <v>0</v>
          </cell>
          <cell r="G32">
            <v>157</v>
          </cell>
          <cell r="H32">
            <v>0</v>
          </cell>
          <cell r="I32">
            <v>329</v>
          </cell>
          <cell r="J32">
            <v>0</v>
          </cell>
          <cell r="K32">
            <v>210.7171588806757</v>
          </cell>
          <cell r="L32">
            <v>0</v>
          </cell>
          <cell r="M32">
            <v>265.32581027251831</v>
          </cell>
        </row>
        <row r="33">
          <cell r="B33" t="str">
            <v xml:space="preserve">   Prior</v>
          </cell>
          <cell r="C33">
            <v>113.4</v>
          </cell>
          <cell r="E33">
            <v>99.7</v>
          </cell>
          <cell r="F33">
            <v>0</v>
          </cell>
          <cell r="G33">
            <v>157</v>
          </cell>
          <cell r="H33">
            <v>0</v>
          </cell>
          <cell r="I33">
            <v>150</v>
          </cell>
          <cell r="J33">
            <v>0</v>
          </cell>
          <cell r="K33">
            <v>315.22233834199102</v>
          </cell>
          <cell r="L33">
            <v>0</v>
          </cell>
          <cell r="M33">
            <v>365.3511463110907</v>
          </cell>
        </row>
        <row r="34">
          <cell r="B34" t="str">
            <v xml:space="preserve">Net Income ($MM) </v>
          </cell>
        </row>
        <row r="35">
          <cell r="B35" t="str">
            <v xml:space="preserve">   Current</v>
          </cell>
          <cell r="C35">
            <v>2595.2999999999993</v>
          </cell>
          <cell r="E35">
            <v>3106.7999999999993</v>
          </cell>
          <cell r="G35">
            <v>4023</v>
          </cell>
          <cell r="I35">
            <v>4335.4931825000003</v>
          </cell>
          <cell r="K35">
            <v>4671.2119694975627</v>
          </cell>
          <cell r="M35">
            <v>5157.5244034755797</v>
          </cell>
        </row>
        <row r="36">
          <cell r="B36" t="str">
            <v xml:space="preserve">   Prior</v>
          </cell>
          <cell r="C36">
            <v>2595.2999999999993</v>
          </cell>
          <cell r="E36">
            <v>3106.8</v>
          </cell>
          <cell r="G36">
            <v>4023</v>
          </cell>
          <cell r="I36">
            <v>4374.7203599999993</v>
          </cell>
          <cell r="K36">
            <v>5087.6113248185175</v>
          </cell>
          <cell r="M36">
            <v>5324.9044680685165</v>
          </cell>
        </row>
        <row r="37">
          <cell r="B37" t="str">
            <v>EPS, diluted</v>
          </cell>
          <cell r="O37" t="str">
            <v>2006 guidance: $3.60-$3.70;  Our number increases as we include the accretive effects of recent convertible debt deal (and corresponding increase in the share buyback program)</v>
          </cell>
        </row>
        <row r="38">
          <cell r="B38" t="str">
            <v xml:space="preserve">   Current</v>
          </cell>
          <cell r="C38">
            <v>1.9281575037147096</v>
          </cell>
          <cell r="D38">
            <v>0.26723815197704903</v>
          </cell>
          <cell r="E38">
            <v>2.36950115525927</v>
          </cell>
          <cell r="F38">
            <v>0.22889398334642563</v>
          </cell>
          <cell r="G38">
            <v>3.2027027027027026</v>
          </cell>
          <cell r="H38">
            <v>0.35163584773701628</v>
          </cell>
          <cell r="I38">
            <v>3.6698689952539394</v>
          </cell>
          <cell r="J38">
            <v>0.14586626856030183</v>
          </cell>
          <cell r="K38">
            <v>4.1013211403748855</v>
          </cell>
          <cell r="L38">
            <v>0.11756608905629107</v>
          </cell>
          <cell r="M38">
            <v>4.6347096976234399</v>
          </cell>
        </row>
        <row r="39">
          <cell r="B39" t="str">
            <v xml:space="preserve">   Prior</v>
          </cell>
          <cell r="C39">
            <v>1.93</v>
          </cell>
          <cell r="E39">
            <v>2.36950115525927</v>
          </cell>
          <cell r="F39">
            <v>0.22889398334642563</v>
          </cell>
          <cell r="G39">
            <v>3.2027027027027026</v>
          </cell>
          <cell r="H39">
            <v>0.35163584773701628</v>
          </cell>
          <cell r="I39">
            <v>3.5527748531150061</v>
          </cell>
          <cell r="J39">
            <v>0.10930522839877832</v>
          </cell>
          <cell r="K39">
            <v>4.2311682835580111</v>
          </cell>
          <cell r="L39">
            <v>0.19094748710242704</v>
          </cell>
          <cell r="M39">
            <v>4.52644990794027</v>
          </cell>
        </row>
        <row r="40">
          <cell r="B40" t="str">
            <v>EPS, diluted (incl options expense)</v>
          </cell>
        </row>
        <row r="41">
          <cell r="B41" t="str">
            <v xml:space="preserve">   Current</v>
          </cell>
          <cell r="C41">
            <v>1288.4000000000001</v>
          </cell>
          <cell r="D41">
            <v>0.11694841785869103</v>
          </cell>
          <cell r="E41">
            <v>1270.6500000000001</v>
          </cell>
          <cell r="F41">
            <v>-1.3776777398323503E-2</v>
          </cell>
          <cell r="H41">
            <v>0</v>
          </cell>
          <cell r="I41">
            <v>3.4469575326902331</v>
          </cell>
          <cell r="J41">
            <v>0</v>
          </cell>
          <cell r="K41">
            <v>3.8627394026015285</v>
          </cell>
          <cell r="L41">
            <v>0</v>
          </cell>
          <cell r="M41">
            <v>4.3704543642262941</v>
          </cell>
        </row>
        <row r="42">
          <cell r="B42" t="str">
            <v xml:space="preserve">   Prior</v>
          </cell>
          <cell r="C42">
            <v>1.93</v>
          </cell>
          <cell r="E42">
            <v>2.36950115525927</v>
          </cell>
          <cell r="F42">
            <v>0.22889398334642563</v>
          </cell>
          <cell r="H42">
            <v>0</v>
          </cell>
          <cell r="I42">
            <v>3.445528989912801</v>
          </cell>
          <cell r="J42">
            <v>0</v>
          </cell>
          <cell r="K42">
            <v>4.0830286251359063</v>
          </cell>
          <cell r="L42">
            <v>0</v>
          </cell>
          <cell r="M42">
            <v>4.3555918887894087</v>
          </cell>
        </row>
        <row r="43">
          <cell r="B43" t="str">
            <v>Basic Shares Outstanding</v>
          </cell>
        </row>
        <row r="44">
          <cell r="B44" t="str">
            <v xml:space="preserve">   Current</v>
          </cell>
          <cell r="C44">
            <v>1288.4000000000001</v>
          </cell>
          <cell r="D44">
            <v>0.11694841785869103</v>
          </cell>
          <cell r="E44">
            <v>1270.6500000000001</v>
          </cell>
          <cell r="F44">
            <v>-1.3776777398323503E-2</v>
          </cell>
          <cell r="G44">
            <v>1236</v>
          </cell>
          <cell r="H44">
            <v>-2.726950773226311E-2</v>
          </cell>
          <cell r="I44">
            <v>1161.7770232500002</v>
          </cell>
          <cell r="J44">
            <v>-6.0050952063106622E-2</v>
          </cell>
          <cell r="K44">
            <v>1120.8980000000001</v>
          </cell>
          <cell r="L44">
            <v>-3.5186634295489405E-2</v>
          </cell>
          <cell r="M44">
            <v>1095.4242875</v>
          </cell>
        </row>
        <row r="45">
          <cell r="B45" t="str">
            <v xml:space="preserve">   Prior</v>
          </cell>
          <cell r="C45">
            <v>1288.4000000000001</v>
          </cell>
          <cell r="D45">
            <v>1288.8</v>
          </cell>
          <cell r="E45">
            <v>1270.6500000000001</v>
          </cell>
          <cell r="F45">
            <v>-1.3776777398323503E-2</v>
          </cell>
          <cell r="G45">
            <v>1236</v>
          </cell>
          <cell r="H45">
            <v>-2.726950773226311E-2</v>
          </cell>
          <cell r="I45">
            <v>1210.68759275</v>
          </cell>
          <cell r="J45">
            <v>-2.0479293891585759E-2</v>
          </cell>
          <cell r="K45">
            <v>1186.1795999999999</v>
          </cell>
          <cell r="L45">
            <v>-2.0243036186016972E-2</v>
          </cell>
          <cell r="M45">
            <v>1161.278558</v>
          </cell>
        </row>
        <row r="46">
          <cell r="B46" t="str">
            <v>Diluted Shares Outstanding</v>
          </cell>
        </row>
        <row r="47">
          <cell r="B47" t="str">
            <v xml:space="preserve">   Current</v>
          </cell>
          <cell r="C47">
            <v>1346</v>
          </cell>
          <cell r="D47">
            <v>0.16688339835283927</v>
          </cell>
          <cell r="E47">
            <v>1320.05</v>
          </cell>
          <cell r="F47">
            <v>-1.9279346210995585E-2</v>
          </cell>
          <cell r="G47">
            <v>1258</v>
          </cell>
          <cell r="H47">
            <v>-4.7005795235028902E-2</v>
          </cell>
          <cell r="I47">
            <v>1173.37546275</v>
          </cell>
          <cell r="J47">
            <v>-6.726910751192372E-2</v>
          </cell>
          <cell r="K47">
            <v>1139.9282839554037</v>
          </cell>
          <cell r="L47">
            <v>-2.8505094793960795E-2</v>
          </cell>
          <cell r="M47">
            <v>1113.6672499945955</v>
          </cell>
        </row>
        <row r="48">
          <cell r="B48" t="str">
            <v xml:space="preserve">   Prior</v>
          </cell>
          <cell r="C48">
            <v>1346</v>
          </cell>
          <cell r="D48">
            <v>1321.4</v>
          </cell>
          <cell r="E48">
            <v>1320.05</v>
          </cell>
          <cell r="F48">
            <v>-1.9279346210995585E-2</v>
          </cell>
          <cell r="G48">
            <v>1258</v>
          </cell>
          <cell r="H48">
            <v>-4.7005795235028902E-2</v>
          </cell>
          <cell r="I48">
            <v>1224.4789892499998</v>
          </cell>
          <cell r="J48">
            <v>-2.6646272456279929E-2</v>
          </cell>
          <cell r="K48">
            <v>1203.3582650456426</v>
          </cell>
          <cell r="L48">
            <v>-1.724874366141127E-2</v>
          </cell>
          <cell r="M48">
            <v>1177.2812195978543</v>
          </cell>
        </row>
        <row r="49">
          <cell r="B49" t="str">
            <v>Cash Flow (Burn)</v>
          </cell>
          <cell r="O49" t="str">
            <v>Expect major future use of cash to remain share buybacks.</v>
          </cell>
        </row>
        <row r="50">
          <cell r="B50" t="str">
            <v xml:space="preserve">   Current</v>
          </cell>
          <cell r="C50">
            <v>2209.7999999999993</v>
          </cell>
          <cell r="E50">
            <v>2361</v>
          </cell>
          <cell r="G50">
            <v>4044</v>
          </cell>
          <cell r="I50">
            <v>1546.8396302380957</v>
          </cell>
          <cell r="K50">
            <v>3846.2174306950965</v>
          </cell>
          <cell r="M50">
            <v>4301.980800635979</v>
          </cell>
        </row>
        <row r="51">
          <cell r="B51" t="str">
            <v xml:space="preserve">   Prior</v>
          </cell>
          <cell r="C51">
            <v>2209.8000000000002</v>
          </cell>
          <cell r="E51">
            <v>2361</v>
          </cell>
          <cell r="G51">
            <v>4044</v>
          </cell>
          <cell r="I51">
            <v>1991.8408502380951</v>
          </cell>
          <cell r="K51">
            <v>4169.2864625840475</v>
          </cell>
          <cell r="M51">
            <v>4542.0155215014902</v>
          </cell>
        </row>
      </sheetData>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Epogen</v>
          </cell>
          <cell r="C6">
            <v>583</v>
          </cell>
          <cell r="D6">
            <v>610</v>
          </cell>
          <cell r="E6">
            <v>604</v>
          </cell>
          <cell r="F6">
            <v>-9.8360655737704805E-3</v>
          </cell>
          <cell r="G6">
            <v>3.6020583190394584E-2</v>
          </cell>
        </row>
        <row r="7">
          <cell r="B7" t="str">
            <v xml:space="preserve">Aranesp - US </v>
          </cell>
          <cell r="C7">
            <v>447</v>
          </cell>
          <cell r="D7">
            <v>615</v>
          </cell>
          <cell r="E7">
            <v>596</v>
          </cell>
          <cell r="F7">
            <v>-3.0894308943089421E-2</v>
          </cell>
          <cell r="G7">
            <v>0.33333333333333326</v>
          </cell>
          <cell r="H7" t="str">
            <v xml:space="preserve">Consistent with weak IMS trends for 1Q, as physician inventory drawdowns likely weighed on early quarter results.  Wholesale inventories ended 1Q modestly below trend. </v>
          </cell>
        </row>
        <row r="8">
          <cell r="B8" t="str">
            <v>Aranesp - ex US</v>
          </cell>
          <cell r="C8">
            <v>276</v>
          </cell>
          <cell r="D8">
            <v>310</v>
          </cell>
          <cell r="E8">
            <v>297</v>
          </cell>
          <cell r="F8">
            <v>-4.1935483870967794E-2</v>
          </cell>
          <cell r="G8">
            <v>7.6086956521739024E-2</v>
          </cell>
        </row>
        <row r="9">
          <cell r="B9" t="str">
            <v>Neupogen -WW</v>
          </cell>
          <cell r="C9">
            <v>294</v>
          </cell>
          <cell r="D9">
            <v>310</v>
          </cell>
          <cell r="E9">
            <v>288</v>
          </cell>
          <cell r="F9">
            <v>-7.096774193548383E-2</v>
          </cell>
          <cell r="G9">
            <v>-2.0408163265306145E-2</v>
          </cell>
        </row>
        <row r="10">
          <cell r="B10" t="str">
            <v>Neulasta - WW</v>
          </cell>
          <cell r="C10">
            <v>501</v>
          </cell>
          <cell r="D10">
            <v>640</v>
          </cell>
          <cell r="E10">
            <v>608</v>
          </cell>
          <cell r="F10">
            <v>-5.0000000000000044E-2</v>
          </cell>
          <cell r="G10">
            <v>0.21357285429141726</v>
          </cell>
          <cell r="H10" t="str">
            <v xml:space="preserve">Consistent with weak IMS trends for 1Q, as physician inventory drawdowns likely weighed on early quarter results.  Wholesale inventories ended 1Q modestly below trend. </v>
          </cell>
        </row>
        <row r="11">
          <cell r="B11" t="str">
            <v>Enbrel</v>
          </cell>
          <cell r="C11">
            <v>592</v>
          </cell>
          <cell r="D11">
            <v>710</v>
          </cell>
          <cell r="E11">
            <v>658</v>
          </cell>
          <cell r="F11">
            <v>-7.3239436619718323E-2</v>
          </cell>
          <cell r="G11">
            <v>0.1114864864864864</v>
          </cell>
          <cell r="H11" t="str">
            <v>Weakness due to competitive pressures in anti-TNF market with slowing market growth and meaningful share loss</v>
          </cell>
        </row>
        <row r="12">
          <cell r="B12" t="str">
            <v>Sensipar</v>
          </cell>
          <cell r="C12">
            <v>25</v>
          </cell>
          <cell r="D12">
            <v>56</v>
          </cell>
          <cell r="E12">
            <v>61</v>
          </cell>
          <cell r="F12">
            <v>8.9285714285714191E-2</v>
          </cell>
        </row>
        <row r="13">
          <cell r="B13" t="str">
            <v>Other Revenue</v>
          </cell>
          <cell r="C13">
            <v>111</v>
          </cell>
          <cell r="D13">
            <v>110</v>
          </cell>
          <cell r="E13">
            <v>92</v>
          </cell>
          <cell r="F13">
            <v>-0.16363636363636369</v>
          </cell>
          <cell r="G13">
            <v>-0.1711711711711712</v>
          </cell>
        </row>
        <row r="14">
          <cell r="B14" t="str">
            <v>Total Revenues</v>
          </cell>
          <cell r="C14">
            <v>2833</v>
          </cell>
          <cell r="D14">
            <v>3376</v>
          </cell>
          <cell r="E14">
            <v>3217</v>
          </cell>
          <cell r="F14">
            <v>-4.7097156398104301E-2</v>
          </cell>
          <cell r="G14">
            <v>0.13554535827744441</v>
          </cell>
        </row>
        <row r="15">
          <cell r="B15" t="str">
            <v>Operating Expenses:</v>
          </cell>
        </row>
        <row r="16">
          <cell r="B16" t="str">
            <v xml:space="preserve">   Cost of Product Revenue</v>
          </cell>
          <cell r="C16">
            <v>489</v>
          </cell>
          <cell r="D16">
            <v>559.34100000000001</v>
          </cell>
          <cell r="E16">
            <v>552</v>
          </cell>
          <cell r="F16">
            <v>-1.312437314625603E-2</v>
          </cell>
          <cell r="G16">
            <v>0.12883435582822078</v>
          </cell>
        </row>
        <row r="17">
          <cell r="B17" t="str">
            <v xml:space="preserve">   R&amp;D</v>
          </cell>
          <cell r="C17">
            <v>521</v>
          </cell>
          <cell r="D17">
            <v>675</v>
          </cell>
          <cell r="E17">
            <v>624</v>
          </cell>
          <cell r="F17">
            <v>-7.5555555555555598E-2</v>
          </cell>
          <cell r="G17">
            <v>0.19769673704414581</v>
          </cell>
          <cell r="H17" t="str">
            <v>R&amp;D expected to ramp significantly over rest of year</v>
          </cell>
        </row>
        <row r="18">
          <cell r="B18" t="str">
            <v xml:space="preserve">   SG&amp;A</v>
          </cell>
          <cell r="C18">
            <v>577</v>
          </cell>
          <cell r="D18">
            <v>666.76</v>
          </cell>
          <cell r="E18">
            <v>652</v>
          </cell>
          <cell r="F18">
            <v>-2.21369008338832E-2</v>
          </cell>
          <cell r="G18">
            <v>0.12998266897746968</v>
          </cell>
        </row>
        <row r="19">
          <cell r="B19" t="str">
            <v>Total Operating Expenses</v>
          </cell>
          <cell r="C19">
            <v>1587</v>
          </cell>
          <cell r="D19">
            <v>1901.1009999999999</v>
          </cell>
          <cell r="E19">
            <v>1828</v>
          </cell>
          <cell r="F19">
            <v>-3.8451928645558464E-2</v>
          </cell>
          <cell r="G19">
            <v>0.15185885318210457</v>
          </cell>
        </row>
        <row r="20">
          <cell r="B20" t="str">
            <v>Operating Income (Loss)</v>
          </cell>
          <cell r="C20">
            <v>1246</v>
          </cell>
          <cell r="D20">
            <v>1474.8990000000001</v>
          </cell>
          <cell r="E20">
            <v>1389</v>
          </cell>
          <cell r="F20">
            <v>-5.8240598169773006E-2</v>
          </cell>
          <cell r="G20">
            <v>0.1147672552166934</v>
          </cell>
        </row>
        <row r="21">
          <cell r="B21" t="str">
            <v xml:space="preserve">   Net Other Income</v>
          </cell>
          <cell r="C21">
            <v>10</v>
          </cell>
          <cell r="D21">
            <v>-4</v>
          </cell>
          <cell r="E21">
            <v>80</v>
          </cell>
          <cell r="F21">
            <v>-21</v>
          </cell>
          <cell r="G21">
            <v>7</v>
          </cell>
          <cell r="H21" t="str">
            <v>Significant increase to interest income following debt offering</v>
          </cell>
        </row>
        <row r="22">
          <cell r="B22" t="str">
            <v xml:space="preserve">   Tax Rate</v>
          </cell>
          <cell r="C22">
            <v>332</v>
          </cell>
          <cell r="D22">
            <v>353.01576</v>
          </cell>
          <cell r="E22">
            <v>368</v>
          </cell>
          <cell r="F22">
            <v>4.2446376898300553E-2</v>
          </cell>
          <cell r="G22">
            <v>0.10843373493975905</v>
          </cell>
        </row>
        <row r="23">
          <cell r="B23" t="str">
            <v xml:space="preserve">Net Income (Loss)                   </v>
          </cell>
          <cell r="C23">
            <v>924</v>
          </cell>
          <cell r="D23">
            <v>1117.8832400000001</v>
          </cell>
          <cell r="E23">
            <v>1101</v>
          </cell>
          <cell r="F23">
            <v>-1.5102865304609248E-2</v>
          </cell>
          <cell r="G23">
            <v>0.19155844155844148</v>
          </cell>
        </row>
        <row r="24">
          <cell r="B24" t="str">
            <v>EPS, Basic</v>
          </cell>
          <cell r="C24">
            <v>0.73979183346677346</v>
          </cell>
          <cell r="D24">
            <v>0.90958766476810426</v>
          </cell>
          <cell r="E24">
            <v>0.91597337770382692</v>
          </cell>
          <cell r="F24">
            <v>7.0204480371340861E-3</v>
          </cell>
          <cell r="G24">
            <v>0.23815016098709929</v>
          </cell>
        </row>
        <row r="25">
          <cell r="B25" t="str">
            <v>EPS, Diluted</v>
          </cell>
          <cell r="C25">
            <v>0.72024709302325585</v>
          </cell>
          <cell r="D25">
            <v>0.90014741753821415</v>
          </cell>
          <cell r="E25">
            <v>0.90691927512355852</v>
          </cell>
          <cell r="F25">
            <v>7.5230539502790794E-3</v>
          </cell>
          <cell r="G25">
            <v>0.25917797365448769</v>
          </cell>
        </row>
        <row r="26">
          <cell r="B26" t="str">
            <v>Consensus EPS</v>
          </cell>
          <cell r="D26">
            <v>0.88</v>
          </cell>
        </row>
        <row r="27">
          <cell r="B27" t="str">
            <v xml:space="preserve">Basic Shares Outstanding </v>
          </cell>
          <cell r="C27">
            <v>1249</v>
          </cell>
          <cell r="D27">
            <v>1229</v>
          </cell>
          <cell r="E27">
            <v>1202</v>
          </cell>
          <cell r="F27">
            <v>-2.1969080553295384E-2</v>
          </cell>
          <cell r="G27">
            <v>-3.7630104083266613E-2</v>
          </cell>
          <cell r="H27" t="str">
            <v>Company purchased 47 M shares in 1Q</v>
          </cell>
        </row>
        <row r="28">
          <cell r="B28" t="str">
            <v>Diluted Shares Outstanding</v>
          </cell>
          <cell r="C28">
            <v>1290</v>
          </cell>
          <cell r="D28">
            <v>1243</v>
          </cell>
          <cell r="E28">
            <v>1214</v>
          </cell>
          <cell r="F28">
            <v>-2.3330651649235756E-2</v>
          </cell>
          <cell r="G28">
            <v>-5.8914728682170514E-2</v>
          </cell>
        </row>
        <row r="30">
          <cell r="B30" t="str">
            <v>Source: Company data and Morgan Stanley Research</v>
          </cell>
        </row>
      </sheetData>
      <sheetData sheetId="4" refreshError="1">
        <row r="1">
          <cell r="B1" t="str">
            <v>Amgen Quarterly Income Statement</v>
          </cell>
        </row>
        <row r="2">
          <cell r="B2" t="str">
            <v>(Dollars in millions except per-share data)</v>
          </cell>
        </row>
        <row r="4">
          <cell r="C4" t="str">
            <v>1Q02A</v>
          </cell>
          <cell r="D4" t="str">
            <v>2Q02A</v>
          </cell>
          <cell r="E4" t="str">
            <v>3Q02A</v>
          </cell>
          <cell r="F4" t="str">
            <v>4Q02A</v>
          </cell>
          <cell r="G4" t="str">
            <v>2002A</v>
          </cell>
          <cell r="I4" t="str">
            <v>1Q03A</v>
          </cell>
          <cell r="K4" t="str">
            <v>2Q03A</v>
          </cell>
          <cell r="M4" t="str">
            <v>3Q03A</v>
          </cell>
          <cell r="O4" t="str">
            <v>4Q03A</v>
          </cell>
          <cell r="Q4" t="str">
            <v>2003A</v>
          </cell>
          <cell r="T4" t="str">
            <v>1Q04A</v>
          </cell>
          <cell r="U4" t="str">
            <v>% chg</v>
          </cell>
          <cell r="V4" t="str">
            <v>2Q04A</v>
          </cell>
          <cell r="W4" t="str">
            <v>% chg</v>
          </cell>
          <cell r="X4" t="str">
            <v>3Q04A</v>
          </cell>
          <cell r="Y4" t="str">
            <v>% chg</v>
          </cell>
          <cell r="Z4" t="str">
            <v>4Q04A</v>
          </cell>
          <cell r="AA4" t="str">
            <v>% chg</v>
          </cell>
          <cell r="AB4" t="str">
            <v>2004A</v>
          </cell>
          <cell r="AC4" t="str">
            <v>% chg</v>
          </cell>
          <cell r="AF4" t="str">
            <v>1Q05A</v>
          </cell>
          <cell r="AG4" t="str">
            <v>% chg</v>
          </cell>
          <cell r="AH4" t="str">
            <v>2Q05A</v>
          </cell>
          <cell r="AI4" t="str">
            <v>% chg</v>
          </cell>
          <cell r="AJ4" t="str">
            <v>3Q05A</v>
          </cell>
          <cell r="AK4" t="str">
            <v>% chg</v>
          </cell>
          <cell r="AL4" t="str">
            <v>4Q05A</v>
          </cell>
          <cell r="AM4" t="str">
            <v>% chg</v>
          </cell>
          <cell r="AN4" t="str">
            <v>2005A</v>
          </cell>
          <cell r="AO4" t="str">
            <v>% chg</v>
          </cell>
          <cell r="AR4" t="str">
            <v>1Q06A</v>
          </cell>
          <cell r="AS4" t="str">
            <v>% chg</v>
          </cell>
          <cell r="AT4" t="str">
            <v>2Q06E</v>
          </cell>
          <cell r="AU4" t="str">
            <v>% chg</v>
          </cell>
          <cell r="AV4" t="str">
            <v>3Q06E</v>
          </cell>
          <cell r="AW4" t="str">
            <v>% chg</v>
          </cell>
          <cell r="AX4" t="str">
            <v>4Q06E</v>
          </cell>
          <cell r="AY4" t="str">
            <v>% chg</v>
          </cell>
          <cell r="AZ4" t="str">
            <v>2006E</v>
          </cell>
          <cell r="BA4" t="str">
            <v>% chg</v>
          </cell>
          <cell r="BB4" t="str">
            <v>guidance</v>
          </cell>
        </row>
        <row r="5">
          <cell r="B5" t="str">
            <v>Epogen</v>
          </cell>
          <cell r="C5">
            <v>512</v>
          </cell>
          <cell r="D5">
            <v>570</v>
          </cell>
          <cell r="E5">
            <v>558</v>
          </cell>
          <cell r="F5">
            <v>620</v>
          </cell>
          <cell r="G5">
            <v>2260</v>
          </cell>
          <cell r="I5">
            <v>547.1</v>
          </cell>
          <cell r="K5">
            <v>611.1</v>
          </cell>
          <cell r="M5">
            <v>625.9</v>
          </cell>
          <cell r="O5">
            <v>650.59999999999991</v>
          </cell>
          <cell r="Q5">
            <v>2434.6999999999998</v>
          </cell>
          <cell r="T5">
            <v>590</v>
          </cell>
          <cell r="U5">
            <v>7.8413452750868196E-2</v>
          </cell>
          <cell r="V5">
            <v>632.6</v>
          </cell>
          <cell r="W5">
            <v>3.5182457862870331E-2</v>
          </cell>
          <cell r="X5">
            <v>681</v>
          </cell>
          <cell r="Y5">
            <v>8.8033232145710238E-2</v>
          </cell>
          <cell r="Z5">
            <v>697</v>
          </cell>
          <cell r="AA5">
            <v>7.1318782662158187E-2</v>
          </cell>
          <cell r="AB5">
            <v>2600.6</v>
          </cell>
          <cell r="AC5">
            <v>6.8139811886474666E-2</v>
          </cell>
          <cell r="AF5">
            <v>583</v>
          </cell>
          <cell r="AG5">
            <v>-1.1864406779661052E-2</v>
          </cell>
          <cell r="AH5">
            <v>647</v>
          </cell>
          <cell r="AI5">
            <v>2.2763199494151065E-2</v>
          </cell>
          <cell r="AJ5">
            <v>599</v>
          </cell>
          <cell r="AK5">
            <v>-0.1204111600587372</v>
          </cell>
          <cell r="AL5">
            <v>626</v>
          </cell>
          <cell r="AM5">
            <v>-0.10186513629842175</v>
          </cell>
          <cell r="AN5">
            <v>2455</v>
          </cell>
          <cell r="AO5">
            <v>-5.598707990463736E-2</v>
          </cell>
          <cell r="AR5">
            <v>604</v>
          </cell>
          <cell r="AS5">
            <v>3.6020583190394584E-2</v>
          </cell>
          <cell r="AT5">
            <v>630</v>
          </cell>
          <cell r="AU5">
            <v>-2.6275115919629055E-2</v>
          </cell>
          <cell r="AV5">
            <v>640</v>
          </cell>
          <cell r="AW5">
            <v>6.8447412353923154E-2</v>
          </cell>
          <cell r="AX5">
            <v>640</v>
          </cell>
          <cell r="AY5">
            <v>2.2364217252396124E-2</v>
          </cell>
          <cell r="AZ5">
            <v>2514</v>
          </cell>
          <cell r="BA5">
            <v>2.4032586558044855E-2</v>
          </cell>
        </row>
        <row r="6">
          <cell r="B6" t="str">
            <v xml:space="preserve">Aranesp - US </v>
          </cell>
          <cell r="F6">
            <v>150</v>
          </cell>
          <cell r="I6">
            <v>157.9</v>
          </cell>
          <cell r="K6">
            <v>216.6</v>
          </cell>
          <cell r="M6">
            <v>283.89999999999998</v>
          </cell>
          <cell r="O6">
            <v>321.5</v>
          </cell>
          <cell r="Q6">
            <v>979.9</v>
          </cell>
          <cell r="T6">
            <v>329.6</v>
          </cell>
          <cell r="V6">
            <v>380.7</v>
          </cell>
          <cell r="X6">
            <v>374</v>
          </cell>
          <cell r="Z6">
            <v>449</v>
          </cell>
          <cell r="AA6">
            <v>0.39657853810264387</v>
          </cell>
          <cell r="AB6">
            <v>1533.3</v>
          </cell>
          <cell r="AF6">
            <v>447</v>
          </cell>
          <cell r="AG6">
            <v>0.3561893203883495</v>
          </cell>
          <cell r="AH6">
            <v>536</v>
          </cell>
          <cell r="AI6">
            <v>0.40793275545048591</v>
          </cell>
          <cell r="AJ6">
            <v>542</v>
          </cell>
          <cell r="AK6">
            <v>0.44919786096256686</v>
          </cell>
          <cell r="AL6">
            <v>579</v>
          </cell>
          <cell r="AM6">
            <v>0.28953229398663693</v>
          </cell>
          <cell r="AN6">
            <v>2104</v>
          </cell>
          <cell r="AO6">
            <v>0.37220374355964259</v>
          </cell>
          <cell r="AR6">
            <v>596</v>
          </cell>
          <cell r="AS6">
            <v>0.33333333333333326</v>
          </cell>
          <cell r="AT6">
            <v>645</v>
          </cell>
          <cell r="AU6">
            <v>0.20335820895522394</v>
          </cell>
          <cell r="AV6">
            <v>665</v>
          </cell>
          <cell r="AW6">
            <v>0.22693726937269365</v>
          </cell>
          <cell r="AX6">
            <v>690</v>
          </cell>
          <cell r="AY6">
            <v>0.19170984455958551</v>
          </cell>
          <cell r="AZ6">
            <v>2596</v>
          </cell>
          <cell r="BA6">
            <v>0.23384030418250945</v>
          </cell>
        </row>
        <row r="7">
          <cell r="B7" t="str">
            <v>Aranesp - ex US</v>
          </cell>
          <cell r="F7">
            <v>57</v>
          </cell>
          <cell r="I7">
            <v>96.9</v>
          </cell>
          <cell r="K7">
            <v>131.1</v>
          </cell>
          <cell r="M7">
            <v>154.4</v>
          </cell>
          <cell r="O7">
            <v>181.5</v>
          </cell>
          <cell r="Q7">
            <v>563.9</v>
          </cell>
          <cell r="T7">
            <v>213</v>
          </cell>
          <cell r="V7">
            <v>236.6</v>
          </cell>
          <cell r="X7">
            <v>234</v>
          </cell>
          <cell r="Z7">
            <v>256</v>
          </cell>
          <cell r="AA7">
            <v>0.41046831955922869</v>
          </cell>
          <cell r="AB7">
            <v>939.6</v>
          </cell>
          <cell r="AF7">
            <v>276</v>
          </cell>
          <cell r="AG7">
            <v>0.29577464788732399</v>
          </cell>
          <cell r="AH7">
            <v>301</v>
          </cell>
          <cell r="AI7">
            <v>0.27218934911242609</v>
          </cell>
          <cell r="AJ7">
            <v>298</v>
          </cell>
          <cell r="AK7">
            <v>0.27350427350427342</v>
          </cell>
          <cell r="AL7">
            <v>294</v>
          </cell>
          <cell r="AM7">
            <v>0.1484375</v>
          </cell>
          <cell r="AN7">
            <v>1169</v>
          </cell>
          <cell r="AO7">
            <v>0.2441464452958706</v>
          </cell>
          <cell r="AR7">
            <v>297</v>
          </cell>
          <cell r="AS7">
            <v>7.6086956521739024E-2</v>
          </cell>
          <cell r="AT7">
            <v>320</v>
          </cell>
          <cell r="AU7">
            <v>6.3122923588039948E-2</v>
          </cell>
          <cell r="AV7">
            <v>340</v>
          </cell>
          <cell r="AW7">
            <v>0.14093959731543615</v>
          </cell>
          <cell r="AX7">
            <v>360</v>
          </cell>
          <cell r="AY7">
            <v>0.22448979591836737</v>
          </cell>
          <cell r="AZ7">
            <v>1317</v>
          </cell>
          <cell r="BA7">
            <v>0.1266039349871686</v>
          </cell>
        </row>
        <row r="8">
          <cell r="B8" t="str">
            <v>Aranesp-WW</v>
          </cell>
          <cell r="C8">
            <v>39</v>
          </cell>
          <cell r="D8">
            <v>56</v>
          </cell>
          <cell r="E8">
            <v>114</v>
          </cell>
          <cell r="F8">
            <v>207</v>
          </cell>
          <cell r="G8">
            <v>416</v>
          </cell>
          <cell r="I8">
            <v>254.8</v>
          </cell>
          <cell r="K8">
            <v>347.7</v>
          </cell>
          <cell r="M8">
            <v>438.29999999999995</v>
          </cell>
          <cell r="O8">
            <v>503</v>
          </cell>
          <cell r="Q8">
            <v>1543.8</v>
          </cell>
          <cell r="T8">
            <v>542.6</v>
          </cell>
          <cell r="U8">
            <v>1.1295133437990579</v>
          </cell>
          <cell r="V8">
            <v>617.29999999999995</v>
          </cell>
          <cell r="W8">
            <v>0.77538107563991931</v>
          </cell>
          <cell r="X8">
            <v>608</v>
          </cell>
          <cell r="Y8">
            <v>0.38717773214693141</v>
          </cell>
          <cell r="Z8">
            <v>705</v>
          </cell>
          <cell r="AA8">
            <v>0.40159045725646125</v>
          </cell>
          <cell r="AB8">
            <v>2472.9</v>
          </cell>
          <cell r="AC8">
            <v>0.60182666148464836</v>
          </cell>
          <cell r="AF8">
            <v>723</v>
          </cell>
          <cell r="AG8">
            <v>0.33247327681533356</v>
          </cell>
          <cell r="AH8">
            <v>837</v>
          </cell>
          <cell r="AI8">
            <v>0.35590474647659165</v>
          </cell>
          <cell r="AJ8">
            <v>840</v>
          </cell>
          <cell r="AK8">
            <v>0.38157894736842102</v>
          </cell>
          <cell r="AL8">
            <v>873</v>
          </cell>
          <cell r="AM8">
            <v>0.23829787234042543</v>
          </cell>
          <cell r="AN8">
            <v>3273</v>
          </cell>
          <cell r="AO8">
            <v>0.32354725221399971</v>
          </cell>
          <cell r="AR8">
            <v>893</v>
          </cell>
          <cell r="AS8">
            <v>0.23513139695712315</v>
          </cell>
          <cell r="AT8">
            <v>965</v>
          </cell>
          <cell r="AU8">
            <v>0.15292712066905612</v>
          </cell>
          <cell r="AV8">
            <v>1005</v>
          </cell>
          <cell r="AW8">
            <v>0.1964285714285714</v>
          </cell>
          <cell r="AX8">
            <v>1050</v>
          </cell>
          <cell r="AY8">
            <v>0.20274914089347074</v>
          </cell>
          <cell r="AZ8">
            <v>3913</v>
          </cell>
          <cell r="BA8">
            <v>0.19553926061717086</v>
          </cell>
        </row>
        <row r="9">
          <cell r="B9" t="str">
            <v xml:space="preserve">    Neupogen - US</v>
          </cell>
          <cell r="M9">
            <v>227.9</v>
          </cell>
          <cell r="O9">
            <v>225.3</v>
          </cell>
          <cell r="Q9">
            <v>880.5</v>
          </cell>
          <cell r="T9">
            <v>172.3</v>
          </cell>
          <cell r="V9">
            <v>194.5</v>
          </cell>
          <cell r="X9">
            <v>207</v>
          </cell>
          <cell r="Y9">
            <v>-9.1706888986397561E-2</v>
          </cell>
          <cell r="Z9">
            <v>204</v>
          </cell>
          <cell r="AA9">
            <v>-9.4540612516644473E-2</v>
          </cell>
          <cell r="AB9">
            <v>777.8</v>
          </cell>
          <cell r="AC9">
            <v>-0.11663827370812041</v>
          </cell>
          <cell r="AF9">
            <v>182</v>
          </cell>
          <cell r="AG9">
            <v>5.6297156123041203E-2</v>
          </cell>
          <cell r="AH9">
            <v>208</v>
          </cell>
          <cell r="AI9">
            <v>6.9408740359897081E-2</v>
          </cell>
          <cell r="AJ9">
            <v>205</v>
          </cell>
          <cell r="AK9">
            <v>-9.6618357487923134E-3</v>
          </cell>
          <cell r="AL9">
            <v>210</v>
          </cell>
          <cell r="AM9">
            <v>2.9411764705882248E-2</v>
          </cell>
          <cell r="AN9">
            <v>805</v>
          </cell>
          <cell r="AO9">
            <v>3.4970429416302462E-2</v>
          </cell>
          <cell r="AR9">
            <v>191</v>
          </cell>
          <cell r="AS9">
            <v>4.9450549450549497E-2</v>
          </cell>
          <cell r="AT9">
            <v>201</v>
          </cell>
          <cell r="AV9">
            <v>210</v>
          </cell>
          <cell r="AX9">
            <v>206.99999999999997</v>
          </cell>
          <cell r="AZ9">
            <v>809</v>
          </cell>
        </row>
        <row r="10">
          <cell r="B10" t="str">
            <v xml:space="preserve">    Neupogen - ex US</v>
          </cell>
          <cell r="M10">
            <v>102.5</v>
          </cell>
          <cell r="O10">
            <v>96.2</v>
          </cell>
          <cell r="Q10">
            <v>386.2</v>
          </cell>
          <cell r="T10">
            <v>96.7</v>
          </cell>
          <cell r="V10">
            <v>100.7</v>
          </cell>
          <cell r="X10">
            <v>95</v>
          </cell>
          <cell r="Y10">
            <v>-7.3170731707317027E-2</v>
          </cell>
          <cell r="Z10">
            <v>105</v>
          </cell>
          <cell r="AA10">
            <v>9.1476091476091481E-2</v>
          </cell>
          <cell r="AB10">
            <v>397.4</v>
          </cell>
          <cell r="AC10">
            <v>2.9000517866390352E-2</v>
          </cell>
          <cell r="AF10">
            <v>112</v>
          </cell>
          <cell r="AG10">
            <v>0.15822130299896586</v>
          </cell>
          <cell r="AH10">
            <v>104</v>
          </cell>
          <cell r="AI10">
            <v>3.2770605759682159E-2</v>
          </cell>
          <cell r="AJ10">
            <v>100</v>
          </cell>
          <cell r="AK10">
            <v>5.2631578947368363E-2</v>
          </cell>
          <cell r="AL10">
            <v>95</v>
          </cell>
          <cell r="AM10">
            <v>-9.5238095238095233E-2</v>
          </cell>
          <cell r="AN10">
            <v>411</v>
          </cell>
          <cell r="AO10">
            <v>3.4222445898339338E-2</v>
          </cell>
          <cell r="AR10">
            <v>97</v>
          </cell>
          <cell r="AS10">
            <v>-0.1339285714285714</v>
          </cell>
          <cell r="AT10">
            <v>98.999999999999986</v>
          </cell>
          <cell r="AV10">
            <v>90.000000000000014</v>
          </cell>
          <cell r="AX10">
            <v>93.000000000000014</v>
          </cell>
          <cell r="AZ10">
            <v>379</v>
          </cell>
        </row>
        <row r="11">
          <cell r="B11" t="str">
            <v>Neupogen -WW</v>
          </cell>
          <cell r="C11">
            <v>355</v>
          </cell>
          <cell r="D11">
            <v>363</v>
          </cell>
          <cell r="E11">
            <v>332</v>
          </cell>
          <cell r="F11">
            <v>329</v>
          </cell>
          <cell r="G11">
            <v>1379</v>
          </cell>
          <cell r="I11">
            <v>284</v>
          </cell>
          <cell r="K11">
            <v>330.8</v>
          </cell>
          <cell r="M11">
            <v>330.4</v>
          </cell>
          <cell r="O11">
            <v>321.5</v>
          </cell>
          <cell r="Q11">
            <v>1266.7</v>
          </cell>
          <cell r="T11">
            <v>269</v>
          </cell>
          <cell r="U11">
            <v>-5.2816901408450745E-2</v>
          </cell>
          <cell r="V11">
            <v>295.2</v>
          </cell>
          <cell r="W11">
            <v>-0.10761789600967353</v>
          </cell>
          <cell r="X11">
            <v>302</v>
          </cell>
          <cell r="Y11">
            <v>-8.5956416464890939E-2</v>
          </cell>
          <cell r="Z11">
            <v>309</v>
          </cell>
          <cell r="AA11">
            <v>-3.8880248833592534E-2</v>
          </cell>
          <cell r="AB11">
            <v>1175.1999999999998</v>
          </cell>
          <cell r="AC11">
            <v>-7.2234941185758461E-2</v>
          </cell>
          <cell r="AF11">
            <v>294</v>
          </cell>
          <cell r="AG11">
            <v>9.2936802973977661E-2</v>
          </cell>
          <cell r="AH11">
            <v>312</v>
          </cell>
          <cell r="AI11">
            <v>5.6910569105691033E-2</v>
          </cell>
          <cell r="AJ11">
            <v>305</v>
          </cell>
          <cell r="AK11">
            <v>9.9337748344370258E-3</v>
          </cell>
          <cell r="AL11">
            <v>305</v>
          </cell>
          <cell r="AM11">
            <v>-1.2944983818770184E-2</v>
          </cell>
          <cell r="AN11">
            <v>1216</v>
          </cell>
          <cell r="AO11">
            <v>3.4717494894486167E-2</v>
          </cell>
          <cell r="AR11">
            <v>288</v>
          </cell>
          <cell r="AS11">
            <v>-2.0408163265306145E-2</v>
          </cell>
          <cell r="AT11">
            <v>300</v>
          </cell>
          <cell r="AU11">
            <v>-3.8461538461538436E-2</v>
          </cell>
          <cell r="AV11">
            <v>300</v>
          </cell>
          <cell r="AW11">
            <v>-1.6393442622950838E-2</v>
          </cell>
          <cell r="AX11">
            <v>300</v>
          </cell>
          <cell r="AY11">
            <v>-1.6393442622950838E-2</v>
          </cell>
          <cell r="AZ11">
            <v>1188</v>
          </cell>
          <cell r="BA11">
            <v>-2.3026315789473673E-2</v>
          </cell>
        </row>
        <row r="12">
          <cell r="B12" t="str">
            <v xml:space="preserve">    Neulasta - US</v>
          </cell>
          <cell r="M12">
            <v>304.3</v>
          </cell>
          <cell r="O12">
            <v>328</v>
          </cell>
          <cell r="Q12">
            <v>1175.7</v>
          </cell>
          <cell r="T12">
            <v>336.3</v>
          </cell>
          <cell r="V12">
            <v>362.2</v>
          </cell>
          <cell r="X12">
            <v>384</v>
          </cell>
          <cell r="Y12">
            <v>0.26191258626355562</v>
          </cell>
          <cell r="Z12">
            <v>394</v>
          </cell>
          <cell r="AA12">
            <v>0.20121951219512191</v>
          </cell>
          <cell r="AB12">
            <v>1476.5</v>
          </cell>
          <cell r="AC12">
            <v>0.25584758016500797</v>
          </cell>
          <cell r="AF12">
            <v>416</v>
          </cell>
          <cell r="AG12">
            <v>0.23699078203984536</v>
          </cell>
          <cell r="AH12">
            <v>490</v>
          </cell>
          <cell r="AI12">
            <v>0.35284373274434011</v>
          </cell>
          <cell r="AJ12">
            <v>475</v>
          </cell>
          <cell r="AK12">
            <v>0.23697916666666674</v>
          </cell>
          <cell r="AL12">
            <v>519</v>
          </cell>
          <cell r="AM12">
            <v>0.31725888324873086</v>
          </cell>
          <cell r="AN12">
            <v>1900</v>
          </cell>
          <cell r="AO12">
            <v>0.28682695563833382</v>
          </cell>
          <cell r="AR12">
            <v>497</v>
          </cell>
          <cell r="AS12">
            <v>0.19471153846153855</v>
          </cell>
          <cell r="AT12">
            <v>531.19999999999993</v>
          </cell>
          <cell r="AV12">
            <v>543.59375</v>
          </cell>
          <cell r="AX12">
            <v>572.69999999999993</v>
          </cell>
          <cell r="AZ12">
            <v>2144.4937499999996</v>
          </cell>
        </row>
        <row r="13">
          <cell r="B13" t="str">
            <v xml:space="preserve">    Neulasta - ex US</v>
          </cell>
          <cell r="M13">
            <v>22.6</v>
          </cell>
          <cell r="O13">
            <v>38.700000000000003</v>
          </cell>
          <cell r="Q13">
            <v>79.3</v>
          </cell>
          <cell r="T13">
            <v>58.4</v>
          </cell>
          <cell r="V13">
            <v>63.7</v>
          </cell>
          <cell r="X13">
            <v>66</v>
          </cell>
          <cell r="Y13">
            <v>1.9203539823008846</v>
          </cell>
          <cell r="Z13">
            <v>75</v>
          </cell>
          <cell r="AA13">
            <v>0.9379844961240309</v>
          </cell>
          <cell r="AB13">
            <v>263.10000000000002</v>
          </cell>
          <cell r="AC13">
            <v>2.3177805800756626</v>
          </cell>
          <cell r="AF13">
            <v>85</v>
          </cell>
          <cell r="AG13">
            <v>0.45547945205479445</v>
          </cell>
          <cell r="AH13">
            <v>97</v>
          </cell>
          <cell r="AI13">
            <v>0.52276295133437989</v>
          </cell>
          <cell r="AJ13">
            <v>102</v>
          </cell>
          <cell r="AK13">
            <v>0.54545454545454541</v>
          </cell>
          <cell r="AL13">
            <v>104</v>
          </cell>
          <cell r="AM13">
            <v>0.38666666666666671</v>
          </cell>
          <cell r="AN13">
            <v>388</v>
          </cell>
          <cell r="AO13">
            <v>0.47472443937666275</v>
          </cell>
          <cell r="AR13">
            <v>111</v>
          </cell>
          <cell r="AS13">
            <v>0.30588235294117649</v>
          </cell>
          <cell r="AT13">
            <v>108.80000000000003</v>
          </cell>
          <cell r="AV13">
            <v>121.40624999999999</v>
          </cell>
          <cell r="AX13">
            <v>117.30000000000003</v>
          </cell>
          <cell r="AZ13">
            <v>458.50625000000002</v>
          </cell>
        </row>
        <row r="14">
          <cell r="B14" t="str">
            <v>Neulasta - WW</v>
          </cell>
          <cell r="C14">
            <v>0</v>
          </cell>
          <cell r="D14">
            <v>110</v>
          </cell>
          <cell r="E14">
            <v>142</v>
          </cell>
          <cell r="F14">
            <v>212</v>
          </cell>
          <cell r="G14">
            <v>464</v>
          </cell>
          <cell r="I14">
            <v>257.89999999999998</v>
          </cell>
          <cell r="K14">
            <v>303.5</v>
          </cell>
          <cell r="M14">
            <v>326.90000000000003</v>
          </cell>
          <cell r="O14">
            <v>366.7</v>
          </cell>
          <cell r="Q14">
            <v>1255</v>
          </cell>
          <cell r="T14">
            <v>394.7</v>
          </cell>
          <cell r="U14">
            <v>0.53043815432338115</v>
          </cell>
          <cell r="V14">
            <v>425.9</v>
          </cell>
          <cell r="W14">
            <v>0.40329489291598009</v>
          </cell>
          <cell r="X14">
            <v>450</v>
          </cell>
          <cell r="Y14">
            <v>0.37656775772407447</v>
          </cell>
          <cell r="Z14">
            <v>469</v>
          </cell>
          <cell r="AA14">
            <v>0.27897463866921202</v>
          </cell>
          <cell r="AB14">
            <v>1739.6</v>
          </cell>
          <cell r="AC14">
            <v>0.38613545816733064</v>
          </cell>
          <cell r="AF14">
            <v>501</v>
          </cell>
          <cell r="AG14">
            <v>0.26931846972384088</v>
          </cell>
          <cell r="AH14">
            <v>587</v>
          </cell>
          <cell r="AI14">
            <v>0.37825780699694778</v>
          </cell>
          <cell r="AJ14">
            <v>577</v>
          </cell>
          <cell r="AK14">
            <v>0.28222222222222215</v>
          </cell>
          <cell r="AL14">
            <v>623</v>
          </cell>
          <cell r="AM14">
            <v>0.32835820895522394</v>
          </cell>
          <cell r="AN14">
            <v>2288</v>
          </cell>
          <cell r="AO14">
            <v>0.31524488388135219</v>
          </cell>
          <cell r="AR14">
            <v>608</v>
          </cell>
          <cell r="AS14">
            <v>0.21357285429141726</v>
          </cell>
          <cell r="AT14">
            <v>640</v>
          </cell>
          <cell r="AU14">
            <v>9.028960817717202E-2</v>
          </cell>
          <cell r="AV14">
            <v>665</v>
          </cell>
          <cell r="AW14">
            <v>0.15251299826689779</v>
          </cell>
          <cell r="AX14">
            <v>690</v>
          </cell>
          <cell r="AY14">
            <v>0.1075441412520064</v>
          </cell>
          <cell r="AZ14">
            <v>2603</v>
          </cell>
          <cell r="BA14">
            <v>0.13767482517482521</v>
          </cell>
        </row>
        <row r="15">
          <cell r="B15" t="str">
            <v>Enbrel</v>
          </cell>
          <cell r="C15">
            <v>0</v>
          </cell>
          <cell r="D15">
            <v>0</v>
          </cell>
          <cell r="E15">
            <v>158</v>
          </cell>
          <cell r="F15">
            <v>204</v>
          </cell>
          <cell r="G15">
            <v>362</v>
          </cell>
          <cell r="I15">
            <v>274</v>
          </cell>
          <cell r="K15">
            <v>304</v>
          </cell>
          <cell r="M15">
            <v>341.6</v>
          </cell>
          <cell r="O15">
            <v>380.4</v>
          </cell>
          <cell r="Q15">
            <v>1300</v>
          </cell>
          <cell r="T15">
            <v>397.3</v>
          </cell>
          <cell r="U15">
            <v>0.44999999999999996</v>
          </cell>
          <cell r="V15">
            <v>440</v>
          </cell>
          <cell r="W15">
            <v>0.44736842105263164</v>
          </cell>
          <cell r="X15">
            <v>496</v>
          </cell>
          <cell r="Y15">
            <v>0.45199063231850101</v>
          </cell>
          <cell r="Z15">
            <v>567</v>
          </cell>
          <cell r="AA15">
            <v>0.49053627760252372</v>
          </cell>
          <cell r="AB15">
            <v>1900.3</v>
          </cell>
          <cell r="AC15">
            <v>0.46176923076923071</v>
          </cell>
          <cell r="AF15">
            <v>592</v>
          </cell>
          <cell r="AG15">
            <v>0.49005789076264783</v>
          </cell>
          <cell r="AH15">
            <v>639</v>
          </cell>
          <cell r="AI15">
            <v>0.45227272727272738</v>
          </cell>
          <cell r="AJ15">
            <v>668</v>
          </cell>
          <cell r="AK15">
            <v>0.34677419354838701</v>
          </cell>
          <cell r="AL15">
            <v>674</v>
          </cell>
          <cell r="AM15">
            <v>0.18871252204585542</v>
          </cell>
          <cell r="AN15">
            <v>2573</v>
          </cell>
          <cell r="AO15">
            <v>0.35399673735725945</v>
          </cell>
          <cell r="AR15">
            <v>658</v>
          </cell>
          <cell r="AS15">
            <v>0.1114864864864864</v>
          </cell>
          <cell r="AT15">
            <v>680</v>
          </cell>
          <cell r="AU15">
            <v>6.4162754303599412E-2</v>
          </cell>
          <cell r="AV15">
            <v>715</v>
          </cell>
          <cell r="AW15">
            <v>7.0359281437125665E-2</v>
          </cell>
          <cell r="AX15">
            <v>740</v>
          </cell>
          <cell r="AY15">
            <v>9.7922848664688367E-2</v>
          </cell>
          <cell r="AZ15">
            <v>2793</v>
          </cell>
          <cell r="BA15">
            <v>8.5503303536727637E-2</v>
          </cell>
        </row>
        <row r="16">
          <cell r="B16" t="str">
            <v>Sensipar</v>
          </cell>
          <cell r="I16">
            <v>0</v>
          </cell>
          <cell r="K16">
            <v>0</v>
          </cell>
          <cell r="M16">
            <v>0</v>
          </cell>
          <cell r="O16">
            <v>0</v>
          </cell>
          <cell r="Q16">
            <v>0</v>
          </cell>
          <cell r="T16">
            <v>0</v>
          </cell>
          <cell r="V16">
            <v>7</v>
          </cell>
          <cell r="X16">
            <v>10</v>
          </cell>
          <cell r="Z16">
            <v>18</v>
          </cell>
          <cell r="AB16">
            <v>35</v>
          </cell>
          <cell r="AF16">
            <v>25</v>
          </cell>
          <cell r="AH16">
            <v>35</v>
          </cell>
          <cell r="AI16">
            <v>4</v>
          </cell>
          <cell r="AJ16">
            <v>40</v>
          </cell>
          <cell r="AK16">
            <v>3</v>
          </cell>
          <cell r="AL16">
            <v>51</v>
          </cell>
          <cell r="AM16">
            <v>1.8333333333333335</v>
          </cell>
          <cell r="AN16">
            <v>151</v>
          </cell>
          <cell r="AO16">
            <v>3.3142857142857141</v>
          </cell>
          <cell r="AR16">
            <v>61</v>
          </cell>
          <cell r="AS16">
            <v>1.44</v>
          </cell>
          <cell r="AT16">
            <v>65</v>
          </cell>
          <cell r="AU16">
            <v>0.85714285714285721</v>
          </cell>
          <cell r="AV16">
            <v>73</v>
          </cell>
          <cell r="AW16">
            <v>0.82499999999999996</v>
          </cell>
          <cell r="AX16">
            <v>84</v>
          </cell>
          <cell r="AY16">
            <v>0.64705882352941169</v>
          </cell>
          <cell r="AZ16">
            <v>283</v>
          </cell>
          <cell r="BA16">
            <v>0.8741721854304636</v>
          </cell>
        </row>
        <row r="17">
          <cell r="B17" t="str">
            <v>Panitumumab</v>
          </cell>
          <cell r="AX17">
            <v>35</v>
          </cell>
          <cell r="AZ17">
            <v>35</v>
          </cell>
        </row>
        <row r="18">
          <cell r="B18" t="str">
            <v>Palifermin</v>
          </cell>
          <cell r="AF18">
            <v>4</v>
          </cell>
          <cell r="AH18">
            <v>7</v>
          </cell>
          <cell r="AJ18">
            <v>8</v>
          </cell>
          <cell r="AL18">
            <v>13</v>
          </cell>
          <cell r="AN18">
            <v>32</v>
          </cell>
          <cell r="AR18">
            <v>13</v>
          </cell>
          <cell r="AT18">
            <v>18</v>
          </cell>
          <cell r="AU18">
            <v>1.5714285714285716</v>
          </cell>
          <cell r="AV18">
            <v>20</v>
          </cell>
          <cell r="AW18">
            <v>1.5</v>
          </cell>
          <cell r="AX18">
            <v>22</v>
          </cell>
          <cell r="AY18">
            <v>0.69230769230769229</v>
          </cell>
          <cell r="AZ18">
            <v>73</v>
          </cell>
        </row>
        <row r="19">
          <cell r="B19" t="str">
            <v xml:space="preserve">Other </v>
          </cell>
          <cell r="C19">
            <v>2.6</v>
          </cell>
          <cell r="D19">
            <v>16.2</v>
          </cell>
          <cell r="E19">
            <v>41.8</v>
          </cell>
          <cell r="F19">
            <v>49.6</v>
          </cell>
          <cell r="G19">
            <v>110.19999999999999</v>
          </cell>
          <cell r="I19">
            <v>18.100000000000001</v>
          </cell>
          <cell r="K19">
            <v>19.399999999999999</v>
          </cell>
          <cell r="M19">
            <v>15</v>
          </cell>
          <cell r="O19">
            <v>15.5</v>
          </cell>
          <cell r="Q19">
            <v>68</v>
          </cell>
          <cell r="T19">
            <v>14.2</v>
          </cell>
          <cell r="U19">
            <v>-0.21546961325966862</v>
          </cell>
          <cell r="V19">
            <v>13</v>
          </cell>
          <cell r="W19">
            <v>-0.32989690721649478</v>
          </cell>
          <cell r="X19">
            <v>13</v>
          </cell>
          <cell r="Y19">
            <v>-0.1333333333333333</v>
          </cell>
          <cell r="Z19">
            <v>13</v>
          </cell>
          <cell r="AA19">
            <v>-0.16129032258064513</v>
          </cell>
          <cell r="AB19">
            <v>53.2</v>
          </cell>
          <cell r="AC19">
            <v>-0.21764705882352942</v>
          </cell>
          <cell r="AF19">
            <v>13</v>
          </cell>
          <cell r="AG19">
            <v>-8.4507042253521125E-2</v>
          </cell>
          <cell r="AH19">
            <v>8</v>
          </cell>
          <cell r="AI19">
            <v>-0.38461538461538458</v>
          </cell>
          <cell r="AJ19">
            <v>12</v>
          </cell>
          <cell r="AK19">
            <v>-7.6923076923076872E-2</v>
          </cell>
          <cell r="AL19">
            <v>3</v>
          </cell>
          <cell r="AM19">
            <v>-0.76923076923076916</v>
          </cell>
          <cell r="AN19">
            <v>34</v>
          </cell>
          <cell r="AO19">
            <v>-0.36090225563909772</v>
          </cell>
          <cell r="AR19">
            <v>2</v>
          </cell>
          <cell r="AS19">
            <v>-0.84615384615384615</v>
          </cell>
          <cell r="AT19">
            <v>5</v>
          </cell>
          <cell r="AU19">
            <v>-0.375</v>
          </cell>
          <cell r="AV19">
            <v>5</v>
          </cell>
          <cell r="AW19">
            <v>-0.58333333333333326</v>
          </cell>
          <cell r="AX19">
            <v>5</v>
          </cell>
          <cell r="AY19">
            <v>0.66666666666666674</v>
          </cell>
          <cell r="AZ19">
            <v>17</v>
          </cell>
          <cell r="BA19">
            <v>-0.5</v>
          </cell>
        </row>
        <row r="20">
          <cell r="B20" t="str">
            <v>Total Product Sales</v>
          </cell>
          <cell r="C20">
            <v>908.6</v>
          </cell>
          <cell r="D20">
            <v>1115.2</v>
          </cell>
          <cell r="E20">
            <v>1345.8</v>
          </cell>
          <cell r="F20">
            <v>1621.6</v>
          </cell>
          <cell r="G20">
            <v>4991.2</v>
          </cell>
          <cell r="I20">
            <v>1635.8999999999996</v>
          </cell>
          <cell r="K20">
            <v>1916.5</v>
          </cell>
          <cell r="M20">
            <v>2078.1000000000004</v>
          </cell>
          <cell r="O20">
            <v>2237.6999999999998</v>
          </cell>
          <cell r="Q20">
            <v>7868.2</v>
          </cell>
          <cell r="T20">
            <v>2207.8000000000002</v>
          </cell>
          <cell r="U20">
            <v>0.34959349593495981</v>
          </cell>
          <cell r="V20">
            <v>2431</v>
          </cell>
          <cell r="W20">
            <v>0.26845812679363412</v>
          </cell>
          <cell r="X20">
            <v>2560</v>
          </cell>
          <cell r="Y20">
            <v>0.23189451903180758</v>
          </cell>
          <cell r="Z20">
            <v>2778</v>
          </cell>
          <cell r="AA20">
            <v>0.24145327791929216</v>
          </cell>
          <cell r="AB20">
            <v>9976.7999999999993</v>
          </cell>
          <cell r="AC20">
            <v>0.26799013751556888</v>
          </cell>
          <cell r="AF20">
            <v>2735</v>
          </cell>
          <cell r="AG20">
            <v>0.23878974544795706</v>
          </cell>
          <cell r="AH20">
            <v>3072</v>
          </cell>
          <cell r="AI20">
            <v>0.26367749897161663</v>
          </cell>
          <cell r="AJ20">
            <v>3049</v>
          </cell>
          <cell r="AK20">
            <v>0.19101562499999991</v>
          </cell>
          <cell r="AL20">
            <v>3168</v>
          </cell>
          <cell r="AM20">
            <v>0.14038876889848817</v>
          </cell>
          <cell r="AN20">
            <v>12022</v>
          </cell>
          <cell r="AO20">
            <v>0.20499558976826249</v>
          </cell>
          <cell r="AR20">
            <v>3127</v>
          </cell>
          <cell r="AS20">
            <v>0.1433272394881171</v>
          </cell>
          <cell r="AT20">
            <v>3303</v>
          </cell>
          <cell r="AU20">
            <v>7.51953125E-2</v>
          </cell>
          <cell r="AV20">
            <v>3423</v>
          </cell>
          <cell r="AW20">
            <v>0.12266316825188595</v>
          </cell>
          <cell r="AX20">
            <v>3566</v>
          </cell>
          <cell r="AY20">
            <v>0.12563131313131315</v>
          </cell>
          <cell r="AZ20">
            <v>13419</v>
          </cell>
          <cell r="BA20">
            <v>0.11620362668441198</v>
          </cell>
        </row>
        <row r="21">
          <cell r="B21" t="str">
            <v>Corporate Partner Rev.</v>
          </cell>
          <cell r="C21">
            <v>31.5</v>
          </cell>
          <cell r="D21">
            <v>53.9</v>
          </cell>
          <cell r="E21">
            <v>62.8</v>
          </cell>
          <cell r="F21">
            <v>52.1</v>
          </cell>
          <cell r="G21">
            <v>200.3</v>
          </cell>
          <cell r="I21">
            <v>33.9</v>
          </cell>
          <cell r="K21">
            <v>32.700000000000003</v>
          </cell>
          <cell r="M21">
            <v>28.8</v>
          </cell>
          <cell r="O21">
            <v>9.3000000000000007</v>
          </cell>
          <cell r="Q21">
            <v>104.69999999999999</v>
          </cell>
          <cell r="T21">
            <v>35</v>
          </cell>
          <cell r="U21">
            <v>3.2448377581121068E-2</v>
          </cell>
          <cell r="V21">
            <v>43.9</v>
          </cell>
          <cell r="W21">
            <v>0.34250764525993871</v>
          </cell>
          <cell r="X21">
            <v>38</v>
          </cell>
          <cell r="Y21">
            <v>0.31944444444444442</v>
          </cell>
          <cell r="Z21">
            <v>21</v>
          </cell>
          <cell r="AA21">
            <v>1.258064516129032</v>
          </cell>
          <cell r="AB21">
            <v>137.9</v>
          </cell>
          <cell r="AC21">
            <v>0.31709646609360087</v>
          </cell>
          <cell r="AF21">
            <v>0</v>
          </cell>
          <cell r="AG21">
            <v>-1</v>
          </cell>
          <cell r="AH21">
            <v>0</v>
          </cell>
          <cell r="AI21">
            <v>-1</v>
          </cell>
          <cell r="AK21">
            <v>-1</v>
          </cell>
          <cell r="AM21">
            <v>-1</v>
          </cell>
          <cell r="AN21">
            <v>0</v>
          </cell>
          <cell r="AO21">
            <v>-1</v>
          </cell>
          <cell r="AR21">
            <v>0</v>
          </cell>
          <cell r="AS21" t="e">
            <v>#DIV/0!</v>
          </cell>
          <cell r="AT21">
            <v>0</v>
          </cell>
          <cell r="AU21" t="e">
            <v>#DIV/0!</v>
          </cell>
          <cell r="AW21" t="e">
            <v>#DIV/0!</v>
          </cell>
          <cell r="AY21" t="e">
            <v>#DIV/0!</v>
          </cell>
          <cell r="AZ21">
            <v>0</v>
          </cell>
          <cell r="BA21" t="e">
            <v>#DIV/0!</v>
          </cell>
        </row>
        <row r="22">
          <cell r="B22" t="str">
            <v>Royalties/Corporate Partner</v>
          </cell>
          <cell r="C22">
            <v>68.400000000000006</v>
          </cell>
          <cell r="D22">
            <v>80</v>
          </cell>
          <cell r="E22">
            <v>90.7</v>
          </cell>
          <cell r="F22">
            <v>92.4</v>
          </cell>
          <cell r="G22">
            <v>331.5</v>
          </cell>
          <cell r="I22">
            <v>91.4</v>
          </cell>
          <cell r="K22">
            <v>91.9</v>
          </cell>
          <cell r="M22">
            <v>100.5</v>
          </cell>
          <cell r="O22">
            <v>99.3</v>
          </cell>
          <cell r="Q22">
            <v>383.1</v>
          </cell>
          <cell r="T22">
            <v>100.2</v>
          </cell>
          <cell r="U22">
            <v>9.6280087527352176E-2</v>
          </cell>
          <cell r="V22">
            <v>110</v>
          </cell>
          <cell r="W22">
            <v>0.19695321001088129</v>
          </cell>
          <cell r="X22">
            <v>115</v>
          </cell>
          <cell r="Y22">
            <v>0.14427860696517403</v>
          </cell>
          <cell r="Z22">
            <v>110</v>
          </cell>
          <cell r="AA22">
            <v>0.10775427995971798</v>
          </cell>
          <cell r="AB22">
            <v>435.2</v>
          </cell>
          <cell r="AC22">
            <v>0.13599582354476625</v>
          </cell>
          <cell r="AF22">
            <v>98</v>
          </cell>
          <cell r="AG22">
            <v>-2.1956087824351322E-2</v>
          </cell>
          <cell r="AH22">
            <v>100</v>
          </cell>
          <cell r="AI22">
            <v>-9.0909090909090939E-2</v>
          </cell>
          <cell r="AJ22">
            <v>107</v>
          </cell>
          <cell r="AK22">
            <v>-6.956521739130439E-2</v>
          </cell>
          <cell r="AL22">
            <v>103</v>
          </cell>
          <cell r="AM22">
            <v>-6.3636363636363602E-2</v>
          </cell>
          <cell r="AN22">
            <v>408</v>
          </cell>
          <cell r="AO22">
            <v>-6.25E-2</v>
          </cell>
          <cell r="AR22">
            <v>90</v>
          </cell>
          <cell r="AS22">
            <v>-8.1632653061224469E-2</v>
          </cell>
          <cell r="AT22">
            <v>90</v>
          </cell>
          <cell r="AU22">
            <v>-9.9999999999999978E-2</v>
          </cell>
          <cell r="AV22">
            <v>90</v>
          </cell>
          <cell r="AW22">
            <v>-0.15887850467289721</v>
          </cell>
          <cell r="AX22">
            <v>90</v>
          </cell>
          <cell r="AY22">
            <v>-0.12621359223300976</v>
          </cell>
          <cell r="AZ22">
            <v>360</v>
          </cell>
          <cell r="BA22">
            <v>-0.11764705882352944</v>
          </cell>
        </row>
        <row r="23">
          <cell r="B23" t="str">
            <v>Total Revenues</v>
          </cell>
          <cell r="C23">
            <v>1008.5</v>
          </cell>
          <cell r="D23">
            <v>1249.1000000000001</v>
          </cell>
          <cell r="E23">
            <v>1499.3</v>
          </cell>
          <cell r="F23">
            <v>1766.1</v>
          </cell>
          <cell r="G23">
            <v>5523</v>
          </cell>
          <cell r="I23">
            <v>1761.1999999999998</v>
          </cell>
          <cell r="K23">
            <v>2041.1000000000001</v>
          </cell>
          <cell r="M23">
            <v>2207.4000000000005</v>
          </cell>
          <cell r="O23">
            <v>2346.3000000000002</v>
          </cell>
          <cell r="Q23">
            <v>8356</v>
          </cell>
          <cell r="T23">
            <v>2343</v>
          </cell>
          <cell r="U23">
            <v>0.33034294799000685</v>
          </cell>
          <cell r="V23">
            <v>2584.9</v>
          </cell>
          <cell r="W23">
            <v>0.26642496692959683</v>
          </cell>
          <cell r="X23">
            <v>2713</v>
          </cell>
          <cell r="Y23">
            <v>0.22904774848237719</v>
          </cell>
          <cell r="Z23">
            <v>2909</v>
          </cell>
          <cell r="AA23">
            <v>0.23982440438136621</v>
          </cell>
          <cell r="AB23">
            <v>10549.9</v>
          </cell>
          <cell r="AC23">
            <v>0.26255385351842975</v>
          </cell>
          <cell r="AF23">
            <v>2833</v>
          </cell>
          <cell r="AG23">
            <v>8574.9360605018901</v>
          </cell>
          <cell r="AH23">
            <v>3172</v>
          </cell>
          <cell r="AI23">
            <v>0.22712677473016352</v>
          </cell>
          <cell r="AJ23">
            <v>3156</v>
          </cell>
          <cell r="AK23">
            <v>0.16328787320309623</v>
          </cell>
          <cell r="AL23">
            <v>3271</v>
          </cell>
          <cell r="AM23">
            <v>0.12444138879339972</v>
          </cell>
          <cell r="AN23">
            <v>12430</v>
          </cell>
          <cell r="AO23">
            <v>0.17821022000208542</v>
          </cell>
          <cell r="AR23">
            <v>3217</v>
          </cell>
          <cell r="AS23">
            <v>0.13554535827744441</v>
          </cell>
          <cell r="AT23">
            <v>3393</v>
          </cell>
          <cell r="AU23">
            <v>6.9672131147541005E-2</v>
          </cell>
          <cell r="AV23">
            <v>3513</v>
          </cell>
          <cell r="AW23">
            <v>0.1131178707224334</v>
          </cell>
          <cell r="AX23">
            <v>3656</v>
          </cell>
          <cell r="AY23">
            <v>0.11770100886579038</v>
          </cell>
          <cell r="AZ23">
            <v>13779</v>
          </cell>
          <cell r="BA23">
            <v>0.10852775543041027</v>
          </cell>
        </row>
        <row r="24">
          <cell r="B24" t="str">
            <v>Operating Expenses:</v>
          </cell>
          <cell r="AC24">
            <v>11921.386999999999</v>
          </cell>
        </row>
        <row r="25">
          <cell r="B25" t="str">
            <v xml:space="preserve">   Cost of Sales</v>
          </cell>
          <cell r="C25">
            <v>103.6</v>
          </cell>
          <cell r="D25">
            <v>131.9</v>
          </cell>
          <cell r="E25">
            <v>226.4</v>
          </cell>
          <cell r="F25">
            <v>278.39999999999998</v>
          </cell>
          <cell r="G25">
            <v>740.3</v>
          </cell>
          <cell r="I25">
            <v>283.3</v>
          </cell>
          <cell r="K25">
            <v>329.1</v>
          </cell>
          <cell r="M25">
            <v>340</v>
          </cell>
          <cell r="O25">
            <v>388.3</v>
          </cell>
          <cell r="Q25">
            <v>1340.7</v>
          </cell>
          <cell r="T25">
            <v>371.5</v>
          </cell>
          <cell r="U25">
            <v>0.31133074479350498</v>
          </cell>
          <cell r="V25">
            <v>435</v>
          </cell>
          <cell r="W25">
            <v>0.32178669097538726</v>
          </cell>
          <cell r="X25">
            <v>447</v>
          </cell>
          <cell r="Y25">
            <v>0.31470588235294117</v>
          </cell>
          <cell r="Z25">
            <v>476</v>
          </cell>
          <cell r="AA25">
            <v>0.22585629667782636</v>
          </cell>
          <cell r="AB25">
            <v>1729.5</v>
          </cell>
          <cell r="AC25">
            <v>0.28999776236294461</v>
          </cell>
          <cell r="AF25">
            <v>489</v>
          </cell>
          <cell r="AG25">
            <v>0.31628532974428003</v>
          </cell>
          <cell r="AH25">
            <v>530</v>
          </cell>
          <cell r="AI25">
            <v>0.21839080459770122</v>
          </cell>
          <cell r="AJ25">
            <v>505</v>
          </cell>
          <cell r="AK25">
            <v>0.12975391498881428</v>
          </cell>
          <cell r="AL25">
            <v>511</v>
          </cell>
          <cell r="AM25">
            <v>7.3529411764705843E-2</v>
          </cell>
          <cell r="AN25">
            <v>2035</v>
          </cell>
          <cell r="AO25">
            <v>0.17664064758600762</v>
          </cell>
          <cell r="AR25">
            <v>552</v>
          </cell>
          <cell r="AS25">
            <v>0.12883435582822078</v>
          </cell>
          <cell r="AT25">
            <v>561.51</v>
          </cell>
          <cell r="AU25">
            <v>5.9452830188679195E-2</v>
          </cell>
          <cell r="AV25">
            <v>573.35250000000008</v>
          </cell>
          <cell r="AW25">
            <v>0.13535148514851492</v>
          </cell>
          <cell r="AX25">
            <v>588.39</v>
          </cell>
          <cell r="AY25">
            <v>0.15144814090019576</v>
          </cell>
          <cell r="AZ25">
            <v>2275.2525000000001</v>
          </cell>
          <cell r="BA25">
            <v>0.11806019656019662</v>
          </cell>
        </row>
        <row r="26">
          <cell r="B26" t="str">
            <v xml:space="preserve">   % of Product Revenues</v>
          </cell>
          <cell r="C26">
            <v>0.11402157164869028</v>
          </cell>
          <cell r="D26">
            <v>0.11827474892395982</v>
          </cell>
          <cell r="E26">
            <v>0.16822707683162433</v>
          </cell>
          <cell r="F26">
            <v>0.17168228909718797</v>
          </cell>
          <cell r="G26">
            <v>0.1483210450392691</v>
          </cell>
          <cell r="I26">
            <v>0.17018155143957453</v>
          </cell>
          <cell r="K26">
            <v>0.16916253587268457</v>
          </cell>
          <cell r="M26">
            <v>0.16149367210432608</v>
          </cell>
          <cell r="O26">
            <v>0.17138132904321401</v>
          </cell>
          <cell r="Q26">
            <v>0.1679799700058463</v>
          </cell>
          <cell r="T26">
            <v>0.16826705317510643</v>
          </cell>
          <cell r="V26">
            <v>0.17893870835047307</v>
          </cell>
          <cell r="X26">
            <v>0.17460937500000001</v>
          </cell>
          <cell r="Z26">
            <v>0.17134629229661627</v>
          </cell>
          <cell r="AB26">
            <v>0.17335217705075778</v>
          </cell>
          <cell r="AF26">
            <v>0.17879341864716636</v>
          </cell>
          <cell r="AH26">
            <v>0.17252604166666666</v>
          </cell>
          <cell r="AJ26">
            <v>0.16562807477861594</v>
          </cell>
          <cell r="AL26">
            <v>0.16130050505050506</v>
          </cell>
          <cell r="AN26">
            <v>0.16927299950091498</v>
          </cell>
          <cell r="AR26">
            <v>0.17652702270546849</v>
          </cell>
          <cell r="AT26">
            <v>0.17</v>
          </cell>
          <cell r="AV26">
            <v>0.16750000000000001</v>
          </cell>
          <cell r="AX26">
            <v>0.16500000000000001</v>
          </cell>
          <cell r="AZ26">
            <v>0.16955454951933827</v>
          </cell>
        </row>
        <row r="27">
          <cell r="B27" t="str">
            <v xml:space="preserve">   R&amp;D</v>
          </cell>
          <cell r="C27">
            <v>203.4</v>
          </cell>
          <cell r="D27">
            <v>233.6</v>
          </cell>
          <cell r="E27">
            <v>312.60000000000002</v>
          </cell>
          <cell r="F27">
            <v>367</v>
          </cell>
          <cell r="G27">
            <v>1116.5999999999999</v>
          </cell>
          <cell r="I27">
            <v>351.3</v>
          </cell>
          <cell r="K27">
            <v>393.7</v>
          </cell>
          <cell r="M27">
            <v>407.5</v>
          </cell>
          <cell r="O27">
            <v>502.9</v>
          </cell>
          <cell r="Q27">
            <v>1655.4</v>
          </cell>
          <cell r="T27">
            <v>432.9</v>
          </cell>
          <cell r="U27">
            <v>0.23228010247651576</v>
          </cell>
          <cell r="V27">
            <v>460.4</v>
          </cell>
          <cell r="W27">
            <v>0.16941833883667767</v>
          </cell>
          <cell r="X27">
            <v>495</v>
          </cell>
          <cell r="Y27">
            <v>0.21472392638036819</v>
          </cell>
          <cell r="Z27">
            <v>608</v>
          </cell>
          <cell r="AA27">
            <v>0.20898787035195876</v>
          </cell>
          <cell r="AB27">
            <v>1996.3</v>
          </cell>
          <cell r="AC27">
            <v>0.20593210100277859</v>
          </cell>
          <cell r="AF27">
            <v>521</v>
          </cell>
          <cell r="AG27">
            <v>0.20351120351120366</v>
          </cell>
          <cell r="AH27">
            <v>564</v>
          </cell>
          <cell r="AI27">
            <v>0.22502172024326672</v>
          </cell>
          <cell r="AJ27">
            <v>559</v>
          </cell>
          <cell r="AK27">
            <v>0.12929292929292924</v>
          </cell>
          <cell r="AL27">
            <v>658</v>
          </cell>
          <cell r="AM27">
            <v>8.2236842105263053E-2</v>
          </cell>
          <cell r="AN27">
            <v>2302</v>
          </cell>
          <cell r="AO27">
            <v>0.15313329659870756</v>
          </cell>
          <cell r="AR27">
            <v>624</v>
          </cell>
          <cell r="AS27">
            <v>0.19769673704414581</v>
          </cell>
          <cell r="AT27">
            <v>725</v>
          </cell>
          <cell r="AU27">
            <v>0.28546099290780136</v>
          </cell>
          <cell r="AV27">
            <v>785</v>
          </cell>
          <cell r="AW27">
            <v>0.40429338103756707</v>
          </cell>
          <cell r="AX27">
            <v>875</v>
          </cell>
          <cell r="AY27">
            <v>0.32978723404255317</v>
          </cell>
          <cell r="AZ27">
            <v>3009</v>
          </cell>
          <cell r="BA27">
            <v>0.30712423979148573</v>
          </cell>
        </row>
        <row r="28">
          <cell r="B28" t="str">
            <v xml:space="preserve">   % of Total Revenues</v>
          </cell>
          <cell r="G28">
            <v>0.20217273221075502</v>
          </cell>
          <cell r="Q28">
            <v>0.19810914313068456</v>
          </cell>
          <cell r="T28">
            <v>0.18476312419974392</v>
          </cell>
          <cell r="V28">
            <v>0.17811133892993924</v>
          </cell>
          <cell r="X28">
            <v>0.18245484703280501</v>
          </cell>
          <cell r="Z28">
            <v>0.20900653145410794</v>
          </cell>
          <cell r="AB28">
            <v>0.18922454241272429</v>
          </cell>
          <cell r="AF28">
            <v>0.18390398870455349</v>
          </cell>
          <cell r="AH28">
            <v>0.17780580075662042</v>
          </cell>
          <cell r="AJ28">
            <v>0.17712294043092522</v>
          </cell>
          <cell r="AL28">
            <v>0.20116172424335066</v>
          </cell>
          <cell r="AN28">
            <v>0.18519710378117457</v>
          </cell>
          <cell r="AR28">
            <v>0.19396953683556109</v>
          </cell>
          <cell r="AT28">
            <v>0.21367521367521367</v>
          </cell>
          <cell r="AV28">
            <v>0.22345573583831482</v>
          </cell>
          <cell r="AX28">
            <v>0.23933260393873085</v>
          </cell>
          <cell r="AZ28">
            <v>0.21837578924450252</v>
          </cell>
        </row>
        <row r="29">
          <cell r="B29" t="str">
            <v xml:space="preserve">   SG&amp;A</v>
          </cell>
          <cell r="C29">
            <v>245.8</v>
          </cell>
          <cell r="D29">
            <v>320.5</v>
          </cell>
          <cell r="E29">
            <v>394.9</v>
          </cell>
          <cell r="F29">
            <v>500.9</v>
          </cell>
          <cell r="G29">
            <v>1462.1</v>
          </cell>
          <cell r="I29">
            <v>390.1</v>
          </cell>
          <cell r="K29">
            <v>453.5</v>
          </cell>
          <cell r="M29">
            <v>483</v>
          </cell>
          <cell r="O29">
            <v>626</v>
          </cell>
          <cell r="Q29">
            <v>1952.6</v>
          </cell>
          <cell r="T29">
            <v>512.4</v>
          </cell>
          <cell r="U29">
            <v>0.31350935657523693</v>
          </cell>
          <cell r="V29">
            <v>586.70000000000005</v>
          </cell>
          <cell r="W29">
            <v>0.29371554575523717</v>
          </cell>
          <cell r="X29">
            <v>635</v>
          </cell>
          <cell r="Y29">
            <v>0.31469979296066253</v>
          </cell>
          <cell r="Z29">
            <v>813</v>
          </cell>
          <cell r="AA29">
            <v>0.29872204472843444</v>
          </cell>
          <cell r="AB29">
            <v>2547.1</v>
          </cell>
          <cell r="AC29">
            <v>0.30446584041790437</v>
          </cell>
          <cell r="AF29">
            <v>577</v>
          </cell>
          <cell r="AG29">
            <v>0.12607338017174086</v>
          </cell>
          <cell r="AH29">
            <v>646</v>
          </cell>
          <cell r="AI29">
            <v>0.10107380262485077</v>
          </cell>
          <cell r="AJ29">
            <v>656</v>
          </cell>
          <cell r="AK29">
            <v>3.3070866141732269E-2</v>
          </cell>
          <cell r="AL29">
            <v>913</v>
          </cell>
          <cell r="AM29">
            <v>0.12300123001230023</v>
          </cell>
          <cell r="AN29">
            <v>2792</v>
          </cell>
          <cell r="AO29">
            <v>9.6148561108711839E-2</v>
          </cell>
          <cell r="AR29">
            <v>652</v>
          </cell>
          <cell r="AS29">
            <v>0.12998266897746968</v>
          </cell>
          <cell r="AT29">
            <v>695.56499999999994</v>
          </cell>
          <cell r="AU29">
            <v>7.6726006191950358E-2</v>
          </cell>
          <cell r="AV29">
            <v>772.86</v>
          </cell>
          <cell r="AW29">
            <v>0.1781402439024391</v>
          </cell>
          <cell r="AX29">
            <v>906.68799999999999</v>
          </cell>
          <cell r="AY29">
            <v>-6.9134720700986252E-3</v>
          </cell>
          <cell r="AZ29">
            <v>3027.1130000000003</v>
          </cell>
          <cell r="BA29">
            <v>8.4209527220630465E-2</v>
          </cell>
        </row>
        <row r="30">
          <cell r="B30" t="str">
            <v xml:space="preserve">   % of Total Revenues</v>
          </cell>
          <cell r="G30">
            <v>0.26472931377874342</v>
          </cell>
          <cell r="Q30">
            <v>0.23367640019147917</v>
          </cell>
          <cell r="T30">
            <v>0.21869398207426374</v>
          </cell>
          <cell r="V30">
            <v>0.22697202986575885</v>
          </cell>
          <cell r="X30">
            <v>0.23405823811279028</v>
          </cell>
          <cell r="Z30">
            <v>0.27947748367136471</v>
          </cell>
          <cell r="AB30">
            <v>0.2414335680906928</v>
          </cell>
          <cell r="AF30">
            <v>0.20367102012001412</v>
          </cell>
          <cell r="AH30">
            <v>0.20365699873896595</v>
          </cell>
          <cell r="AJ30">
            <v>0.20785804816223066</v>
          </cell>
          <cell r="AL30">
            <v>0.27911953531030265</v>
          </cell>
          <cell r="AN30">
            <v>0.2246178600160901</v>
          </cell>
          <cell r="AR30">
            <v>0.20267329810382345</v>
          </cell>
          <cell r="AT30">
            <v>0.20499999999999999</v>
          </cell>
          <cell r="AV30">
            <v>0.22</v>
          </cell>
          <cell r="AX30">
            <v>0.248</v>
          </cell>
          <cell r="AZ30">
            <v>0.21969032585819001</v>
          </cell>
        </row>
        <row r="31">
          <cell r="B31" t="str">
            <v xml:space="preserve">   Loss of Affiliates, Net</v>
          </cell>
          <cell r="C31">
            <v>-1.7</v>
          </cell>
          <cell r="D31">
            <v>-1.7</v>
          </cell>
          <cell r="E31">
            <v>-3.4</v>
          </cell>
          <cell r="F31">
            <v>-5.8</v>
          </cell>
          <cell r="G31">
            <v>-12.6</v>
          </cell>
          <cell r="I31">
            <v>-9.6</v>
          </cell>
          <cell r="K31">
            <v>-12.3</v>
          </cell>
          <cell r="M31">
            <v>36.200000000000003</v>
          </cell>
          <cell r="O31">
            <v>-10</v>
          </cell>
          <cell r="Q31">
            <v>4.3000000000000043</v>
          </cell>
          <cell r="T31">
            <v>0</v>
          </cell>
          <cell r="U31">
            <v>-1</v>
          </cell>
          <cell r="V31">
            <v>0</v>
          </cell>
          <cell r="W31">
            <v>-1</v>
          </cell>
          <cell r="X31">
            <v>0</v>
          </cell>
          <cell r="Y31">
            <v>-1</v>
          </cell>
          <cell r="Z31">
            <v>0</v>
          </cell>
          <cell r="AA31">
            <v>-1</v>
          </cell>
          <cell r="AB31">
            <v>0</v>
          </cell>
          <cell r="AC31">
            <v>-1</v>
          </cell>
          <cell r="AF31">
            <v>0</v>
          </cell>
          <cell r="AH31">
            <v>0</v>
          </cell>
          <cell r="AJ31">
            <v>0</v>
          </cell>
          <cell r="AL31">
            <v>0</v>
          </cell>
          <cell r="AN31">
            <v>0</v>
          </cell>
          <cell r="AR31">
            <v>0</v>
          </cell>
          <cell r="AT31">
            <v>0</v>
          </cell>
          <cell r="AV31">
            <v>0</v>
          </cell>
          <cell r="AX31">
            <v>0</v>
          </cell>
          <cell r="AZ31">
            <v>0</v>
          </cell>
        </row>
        <row r="32">
          <cell r="B32" t="str">
            <v xml:space="preserve">   Other </v>
          </cell>
          <cell r="C32">
            <v>0</v>
          </cell>
          <cell r="D32">
            <v>0</v>
          </cell>
          <cell r="E32">
            <v>-35.5</v>
          </cell>
          <cell r="F32">
            <v>0</v>
          </cell>
          <cell r="G32">
            <v>0</v>
          </cell>
          <cell r="K32">
            <v>-24</v>
          </cell>
          <cell r="Q32">
            <v>-24</v>
          </cell>
          <cell r="T32">
            <v>0</v>
          </cell>
          <cell r="V32">
            <v>0</v>
          </cell>
          <cell r="X32">
            <v>0</v>
          </cell>
          <cell r="Z32">
            <v>0</v>
          </cell>
          <cell r="AB32">
            <v>0</v>
          </cell>
          <cell r="AF32">
            <v>0</v>
          </cell>
          <cell r="AH32">
            <v>0</v>
          </cell>
          <cell r="AJ32">
            <v>0</v>
          </cell>
          <cell r="AL32">
            <v>0</v>
          </cell>
          <cell r="AN32">
            <v>0</v>
          </cell>
          <cell r="AR32">
            <v>0</v>
          </cell>
          <cell r="AT32">
            <v>0</v>
          </cell>
          <cell r="AV32">
            <v>0</v>
          </cell>
          <cell r="AX32">
            <v>0</v>
          </cell>
          <cell r="AZ32">
            <v>0</v>
          </cell>
        </row>
        <row r="33">
          <cell r="B33" t="str">
            <v xml:space="preserve">   Options Expense</v>
          </cell>
        </row>
        <row r="34">
          <cell r="B34" t="str">
            <v>Total Operating Expenses</v>
          </cell>
          <cell r="C34">
            <v>551.1</v>
          </cell>
          <cell r="D34">
            <v>684.3</v>
          </cell>
          <cell r="E34">
            <v>895</v>
          </cell>
          <cell r="F34">
            <v>1140.5</v>
          </cell>
          <cell r="G34">
            <v>3461.6</v>
          </cell>
          <cell r="I34">
            <v>1015.1</v>
          </cell>
          <cell r="K34">
            <v>1140</v>
          </cell>
          <cell r="M34">
            <v>1266.7</v>
          </cell>
          <cell r="O34">
            <v>1507.2</v>
          </cell>
          <cell r="Q34">
            <v>4929.0000000000009</v>
          </cell>
          <cell r="T34">
            <v>1316.8</v>
          </cell>
          <cell r="U34">
            <v>0.76491086985658807</v>
          </cell>
          <cell r="V34">
            <v>1482.1</v>
          </cell>
          <cell r="W34">
            <v>0.64476750638108937</v>
          </cell>
          <cell r="X34">
            <v>1577</v>
          </cell>
          <cell r="Y34">
            <v>0.67641118316147453</v>
          </cell>
          <cell r="Z34">
            <v>1897</v>
          </cell>
          <cell r="AA34">
            <v>1.2607555714455962</v>
          </cell>
          <cell r="AB34">
            <v>6272.9</v>
          </cell>
          <cell r="AC34">
            <v>0.83043478260869508</v>
          </cell>
          <cell r="AF34">
            <v>1587</v>
          </cell>
          <cell r="AG34">
            <v>0.20519441069258804</v>
          </cell>
          <cell r="AH34">
            <v>1740</v>
          </cell>
          <cell r="AI34">
            <v>0.17400985088725474</v>
          </cell>
          <cell r="AJ34">
            <v>1720</v>
          </cell>
          <cell r="AK34">
            <v>9.0678503487634732E-2</v>
          </cell>
          <cell r="AL34">
            <v>2082</v>
          </cell>
          <cell r="AM34">
            <v>9.7522403795466506E-2</v>
          </cell>
          <cell r="AN34">
            <v>7129</v>
          </cell>
          <cell r="AO34">
            <v>0.13647595211146357</v>
          </cell>
          <cell r="AR34">
            <v>1828</v>
          </cell>
          <cell r="AS34">
            <v>0.15185885318210457</v>
          </cell>
          <cell r="AT34">
            <v>1982.0749999999998</v>
          </cell>
          <cell r="AU34">
            <v>0.1391235632183907</v>
          </cell>
          <cell r="AV34">
            <v>2131.2125000000001</v>
          </cell>
          <cell r="AW34">
            <v>0.23907703488372101</v>
          </cell>
          <cell r="AX34">
            <v>2370.078</v>
          </cell>
          <cell r="AY34">
            <v>0.13836599423631113</v>
          </cell>
          <cell r="AZ34">
            <v>8311.3654999999999</v>
          </cell>
          <cell r="BA34">
            <v>0.16585292467386736</v>
          </cell>
        </row>
        <row r="35">
          <cell r="B35" t="str">
            <v xml:space="preserve">Operating Income (Loss) </v>
          </cell>
          <cell r="C35">
            <v>457.4</v>
          </cell>
          <cell r="D35">
            <v>564.80000000000018</v>
          </cell>
          <cell r="E35">
            <v>604.29999999999995</v>
          </cell>
          <cell r="F35">
            <v>625.59999999999991</v>
          </cell>
          <cell r="G35">
            <v>2061.4</v>
          </cell>
          <cell r="I35">
            <v>746.0999999999998</v>
          </cell>
          <cell r="K35">
            <v>901.10000000000014</v>
          </cell>
          <cell r="M35">
            <v>940.7000000000005</v>
          </cell>
          <cell r="O35">
            <v>839.10000000000014</v>
          </cell>
          <cell r="Q35">
            <v>3427.0000000000009</v>
          </cell>
          <cell r="T35">
            <v>1026.2</v>
          </cell>
          <cell r="U35">
            <v>0.3754188446588933</v>
          </cell>
          <cell r="V35">
            <v>1102.8000000000002</v>
          </cell>
          <cell r="W35">
            <v>0.22383753190544886</v>
          </cell>
          <cell r="X35">
            <v>1136</v>
          </cell>
          <cell r="Y35">
            <v>0.20761135324758095</v>
          </cell>
          <cell r="Z35">
            <v>1012</v>
          </cell>
          <cell r="AA35">
            <v>0.20605410558932169</v>
          </cell>
          <cell r="AB35">
            <v>4277</v>
          </cell>
          <cell r="AC35">
            <v>0.24803034724248585</v>
          </cell>
          <cell r="AF35">
            <v>1246</v>
          </cell>
          <cell r="AG35">
            <v>0.2141882673942701</v>
          </cell>
          <cell r="AH35">
            <v>1432</v>
          </cell>
          <cell r="AI35">
            <v>0.29851287631483481</v>
          </cell>
          <cell r="AJ35">
            <v>1436</v>
          </cell>
          <cell r="AK35">
            <v>0.2640845070422535</v>
          </cell>
          <cell r="AL35">
            <v>1189</v>
          </cell>
          <cell r="AM35">
            <v>0.17490118577075098</v>
          </cell>
          <cell r="AN35">
            <v>5301</v>
          </cell>
          <cell r="AO35">
            <v>0.23942015431377128</v>
          </cell>
          <cell r="AR35">
            <v>1389</v>
          </cell>
          <cell r="AS35">
            <v>0.1147672552166934</v>
          </cell>
          <cell r="AT35">
            <v>1410.9250000000002</v>
          </cell>
          <cell r="AU35">
            <v>-1.4717178770949579E-2</v>
          </cell>
          <cell r="AV35">
            <v>1381.7874999999999</v>
          </cell>
          <cell r="AW35">
            <v>-3.7752437325905386E-2</v>
          </cell>
          <cell r="AX35">
            <v>1285.922</v>
          </cell>
          <cell r="AY35">
            <v>8.1515559293523943E-2</v>
          </cell>
          <cell r="AZ35">
            <v>5467.6345000000001</v>
          </cell>
          <cell r="BA35">
            <v>3.143454065270701E-2</v>
          </cell>
        </row>
        <row r="36">
          <cell r="B36" t="str">
            <v xml:space="preserve">   Interest, Other Income</v>
          </cell>
          <cell r="C36">
            <v>43.7</v>
          </cell>
          <cell r="D36">
            <v>45.5</v>
          </cell>
          <cell r="E36">
            <v>23.7</v>
          </cell>
          <cell r="F36">
            <v>31.299999999999983</v>
          </cell>
          <cell r="G36">
            <v>144.19999999999999</v>
          </cell>
          <cell r="I36">
            <v>32.799999999999997</v>
          </cell>
          <cell r="K36">
            <v>40.4</v>
          </cell>
          <cell r="M36">
            <v>17.2</v>
          </cell>
          <cell r="O36">
            <v>23</v>
          </cell>
          <cell r="Q36">
            <v>113.39999999999999</v>
          </cell>
          <cell r="T36">
            <v>28.6</v>
          </cell>
          <cell r="U36">
            <v>-0.12804878048780477</v>
          </cell>
          <cell r="V36">
            <v>17.600000000000001</v>
          </cell>
          <cell r="W36">
            <v>-0.5643564356435643</v>
          </cell>
          <cell r="X36">
            <v>22.5</v>
          </cell>
          <cell r="Y36">
            <v>0.30813953488372103</v>
          </cell>
          <cell r="Z36">
            <v>31</v>
          </cell>
          <cell r="AA36">
            <v>0.34782608695652173</v>
          </cell>
          <cell r="AB36">
            <v>99.7</v>
          </cell>
          <cell r="AC36">
            <v>-0.120811287477954</v>
          </cell>
          <cell r="AF36">
            <v>45</v>
          </cell>
          <cell r="AH36">
            <v>20</v>
          </cell>
          <cell r="AJ36">
            <v>48</v>
          </cell>
          <cell r="AL36">
            <v>44</v>
          </cell>
          <cell r="AN36">
            <v>157</v>
          </cell>
          <cell r="AR36">
            <v>114</v>
          </cell>
          <cell r="AT36">
            <v>80</v>
          </cell>
          <cell r="AV36">
            <v>70</v>
          </cell>
          <cell r="AX36">
            <v>65</v>
          </cell>
          <cell r="AZ36">
            <v>329</v>
          </cell>
        </row>
        <row r="37">
          <cell r="B37" t="str">
            <v xml:space="preserve">   Interest, Other Expense</v>
          </cell>
          <cell r="C37">
            <v>-7</v>
          </cell>
          <cell r="D37">
            <v>-12.7</v>
          </cell>
          <cell r="E37">
            <v>-11.6</v>
          </cell>
          <cell r="F37">
            <v>-12.900000000000002</v>
          </cell>
          <cell r="G37">
            <v>-44.2</v>
          </cell>
          <cell r="I37">
            <v>-6.9</v>
          </cell>
          <cell r="K37">
            <v>-8.8000000000000007</v>
          </cell>
          <cell r="M37">
            <v>-7.8</v>
          </cell>
          <cell r="O37">
            <v>-8</v>
          </cell>
          <cell r="Q37">
            <v>-31.5</v>
          </cell>
          <cell r="T37">
            <v>-7.5</v>
          </cell>
          <cell r="U37">
            <v>8.6956521739130377E-2</v>
          </cell>
          <cell r="V37">
            <v>-7.5</v>
          </cell>
          <cell r="W37">
            <v>-0.14772727272727282</v>
          </cell>
          <cell r="X37">
            <v>-7.5</v>
          </cell>
          <cell r="Y37">
            <v>-3.8461538461538436E-2</v>
          </cell>
          <cell r="Z37">
            <v>-30</v>
          </cell>
          <cell r="AA37">
            <v>2.75</v>
          </cell>
          <cell r="AB37">
            <v>-52.5</v>
          </cell>
          <cell r="AC37">
            <v>0.66666666666666674</v>
          </cell>
          <cell r="AF37">
            <v>-35</v>
          </cell>
          <cell r="AH37">
            <v>-34</v>
          </cell>
          <cell r="AJ37">
            <v>-34</v>
          </cell>
          <cell r="AL37">
            <v>-34</v>
          </cell>
          <cell r="AN37">
            <v>-137</v>
          </cell>
          <cell r="AR37">
            <v>-34</v>
          </cell>
          <cell r="AT37">
            <v>-34</v>
          </cell>
          <cell r="AV37">
            <v>-34</v>
          </cell>
          <cell r="AX37">
            <v>-34</v>
          </cell>
          <cell r="AZ37">
            <v>-136</v>
          </cell>
        </row>
        <row r="38">
          <cell r="B38" t="str">
            <v xml:space="preserve">  One-Time Gains / (Charges)</v>
          </cell>
          <cell r="C38">
            <v>0</v>
          </cell>
          <cell r="D38">
            <v>0</v>
          </cell>
          <cell r="E38">
            <v>-2991.8</v>
          </cell>
          <cell r="F38">
            <v>0</v>
          </cell>
          <cell r="G38">
            <v>-2991.8</v>
          </cell>
          <cell r="I38" t="e">
            <v>#REF!</v>
          </cell>
          <cell r="K38" t="e">
            <v>#REF!</v>
          </cell>
          <cell r="M38" t="e">
            <v>#REF!</v>
          </cell>
          <cell r="O38" t="e">
            <v>#REF!</v>
          </cell>
          <cell r="Q38" t="e">
            <v>#REF!</v>
          </cell>
          <cell r="V38">
            <v>0</v>
          </cell>
          <cell r="X38">
            <v>0</v>
          </cell>
          <cell r="AH38">
            <v>0</v>
          </cell>
          <cell r="AJ38">
            <v>0</v>
          </cell>
          <cell r="AO38" t="e">
            <v>#DIV/0!</v>
          </cell>
          <cell r="AT38">
            <v>0</v>
          </cell>
          <cell r="AV38">
            <v>0</v>
          </cell>
          <cell r="BA38" t="e">
            <v>#DIV/0!</v>
          </cell>
        </row>
        <row r="39">
          <cell r="B39" t="str">
            <v xml:space="preserve">  Other Adjustments</v>
          </cell>
          <cell r="E39">
            <v>-11.5</v>
          </cell>
          <cell r="F39">
            <v>-36.5</v>
          </cell>
          <cell r="G39">
            <v>-48</v>
          </cell>
          <cell r="I39" t="e">
            <v>#REF!</v>
          </cell>
          <cell r="K39" t="e">
            <v>#REF!</v>
          </cell>
          <cell r="M39" t="e">
            <v>#REF!</v>
          </cell>
          <cell r="O39" t="e">
            <v>#REF!</v>
          </cell>
          <cell r="Q39" t="e">
            <v>#REF!</v>
          </cell>
          <cell r="T39">
            <v>0</v>
          </cell>
          <cell r="V39">
            <v>0</v>
          </cell>
          <cell r="X39">
            <v>0</v>
          </cell>
          <cell r="Z39">
            <v>0</v>
          </cell>
          <cell r="AB39">
            <v>0</v>
          </cell>
          <cell r="AF39">
            <v>0</v>
          </cell>
          <cell r="AH39">
            <v>0</v>
          </cell>
          <cell r="AJ39">
            <v>0</v>
          </cell>
          <cell r="AL39">
            <v>0</v>
          </cell>
          <cell r="AN39">
            <v>0</v>
          </cell>
          <cell r="AO39" t="e">
            <v>#DIV/0!</v>
          </cell>
          <cell r="AR39">
            <v>0</v>
          </cell>
          <cell r="AT39">
            <v>0</v>
          </cell>
          <cell r="AV39">
            <v>0</v>
          </cell>
          <cell r="AX39">
            <v>0</v>
          </cell>
          <cell r="AZ39">
            <v>0</v>
          </cell>
          <cell r="BA39" t="e">
            <v>#DIV/0!</v>
          </cell>
        </row>
        <row r="40">
          <cell r="B40" t="str">
            <v xml:space="preserve">Pretax Income (Loss) </v>
          </cell>
          <cell r="C40">
            <v>494.09999999999997</v>
          </cell>
          <cell r="D40">
            <v>597.60000000000014</v>
          </cell>
          <cell r="E40">
            <v>616.4</v>
          </cell>
          <cell r="F40">
            <v>643.99999999999989</v>
          </cell>
          <cell r="G40">
            <v>2161.4</v>
          </cell>
          <cell r="I40">
            <v>771.99999999999977</v>
          </cell>
          <cell r="K40">
            <v>932.70000000000016</v>
          </cell>
          <cell r="M40">
            <v>950.10000000000059</v>
          </cell>
          <cell r="O40">
            <v>854.10000000000014</v>
          </cell>
          <cell r="Q40">
            <v>3508.900000000001</v>
          </cell>
          <cell r="T40">
            <v>1047.3</v>
          </cell>
          <cell r="U40">
            <v>0.35660621761658073</v>
          </cell>
          <cell r="V40">
            <v>1112.9000000000001</v>
          </cell>
          <cell r="W40">
            <v>0.19320253028840995</v>
          </cell>
          <cell r="X40">
            <v>1151</v>
          </cell>
          <cell r="Y40">
            <v>0.21145142616566592</v>
          </cell>
          <cell r="Z40">
            <v>1013</v>
          </cell>
          <cell r="AA40">
            <v>0.18604378878351469</v>
          </cell>
          <cell r="AB40">
            <v>4324.2</v>
          </cell>
          <cell r="AC40">
            <v>0.23235201915130066</v>
          </cell>
          <cell r="AF40">
            <v>1256</v>
          </cell>
          <cell r="AG40">
            <v>0.19927432445335636</v>
          </cell>
          <cell r="AH40">
            <v>1418</v>
          </cell>
          <cell r="AI40">
            <v>0.27414862072063961</v>
          </cell>
          <cell r="AJ40">
            <v>1450</v>
          </cell>
          <cell r="AK40">
            <v>0.2597741094700261</v>
          </cell>
          <cell r="AL40">
            <v>1199</v>
          </cell>
          <cell r="AM40">
            <v>0.18361303060217171</v>
          </cell>
          <cell r="AN40">
            <v>5321</v>
          </cell>
          <cell r="AO40">
            <v>0.23051662735303635</v>
          </cell>
          <cell r="AR40">
            <v>1469</v>
          </cell>
          <cell r="AS40">
            <v>0.16958598726114649</v>
          </cell>
          <cell r="AT40">
            <v>1456.9250000000002</v>
          </cell>
          <cell r="AU40">
            <v>2.7450634696756016E-2</v>
          </cell>
          <cell r="AV40">
            <v>1417.7874999999999</v>
          </cell>
          <cell r="AW40">
            <v>-2.2215517241379379E-2</v>
          </cell>
          <cell r="AX40">
            <v>1316.922</v>
          </cell>
          <cell r="AY40">
            <v>9.8350291909925058E-2</v>
          </cell>
          <cell r="AZ40">
            <v>5660.6345000000001</v>
          </cell>
          <cell r="BA40">
            <v>6.3829073482428056E-2</v>
          </cell>
        </row>
        <row r="41">
          <cell r="B41" t="str">
            <v xml:space="preserve">   Provision For Income Taxes</v>
          </cell>
          <cell r="C41">
            <v>153.19999999999999</v>
          </cell>
          <cell r="D41">
            <v>185.2</v>
          </cell>
          <cell r="E41">
            <v>155.6</v>
          </cell>
          <cell r="F41">
            <v>172.7</v>
          </cell>
          <cell r="G41">
            <v>707.4</v>
          </cell>
          <cell r="I41">
            <v>194.8</v>
          </cell>
          <cell r="K41">
            <v>241.5</v>
          </cell>
          <cell r="M41">
            <v>254.1</v>
          </cell>
          <cell r="O41">
            <v>223.2</v>
          </cell>
          <cell r="Q41">
            <v>913.59999999999991</v>
          </cell>
          <cell r="T41">
            <v>295</v>
          </cell>
          <cell r="U41">
            <v>0.51437371663244336</v>
          </cell>
          <cell r="V41">
            <v>304.3</v>
          </cell>
          <cell r="W41">
            <v>0.26004140786749486</v>
          </cell>
          <cell r="X41">
            <v>312</v>
          </cell>
          <cell r="Y41">
            <v>0.22786304604486429</v>
          </cell>
          <cell r="Z41">
            <v>264</v>
          </cell>
          <cell r="AA41">
            <v>0.18279569892473124</v>
          </cell>
          <cell r="AB41">
            <v>1175.3</v>
          </cell>
          <cell r="AC41">
            <v>0.28644921190893169</v>
          </cell>
          <cell r="AF41">
            <v>332</v>
          </cell>
          <cell r="AG41">
            <v>0.12542372881355934</v>
          </cell>
          <cell r="AH41">
            <v>314</v>
          </cell>
          <cell r="AI41">
            <v>3.1876437725928408E-2</v>
          </cell>
          <cell r="AJ41">
            <v>381</v>
          </cell>
          <cell r="AK41">
            <v>0.22115384615384626</v>
          </cell>
          <cell r="AL41">
            <v>271</v>
          </cell>
          <cell r="AM41">
            <v>2.6515151515151603E-2</v>
          </cell>
          <cell r="AN41">
            <v>1298</v>
          </cell>
          <cell r="AO41">
            <v>0.10439887688249816</v>
          </cell>
          <cell r="AR41">
            <v>368</v>
          </cell>
          <cell r="AS41">
            <v>0.10843373493975905</v>
          </cell>
          <cell r="AT41">
            <v>331.45043750000008</v>
          </cell>
          <cell r="AU41">
            <v>5.5574641719745577E-2</v>
          </cell>
          <cell r="AV41">
            <v>326.09112499999998</v>
          </cell>
          <cell r="AW41">
            <v>-0.14411778215223103</v>
          </cell>
          <cell r="AX41">
            <v>299.59975500000002</v>
          </cell>
          <cell r="AY41">
            <v>0.10553415129151289</v>
          </cell>
          <cell r="AZ41">
            <v>1325.1413175</v>
          </cell>
          <cell r="BA41">
            <v>2.0910105932203438E-2</v>
          </cell>
        </row>
        <row r="42">
          <cell r="B42" t="str">
            <v xml:space="preserve">   Effective Tax Rate</v>
          </cell>
          <cell r="C42">
            <v>0.3100586925723538</v>
          </cell>
          <cell r="D42">
            <v>0.30990629183400259</v>
          </cell>
          <cell r="E42">
            <v>0.25243348475016225</v>
          </cell>
          <cell r="F42">
            <v>0.26816770186335409</v>
          </cell>
          <cell r="G42">
            <v>0.32728786897381323</v>
          </cell>
          <cell r="I42">
            <v>0.25233160621761669</v>
          </cell>
          <cell r="K42">
            <v>0.25892569958185907</v>
          </cell>
          <cell r="M42">
            <v>0.26744553204925781</v>
          </cell>
          <cell r="O42">
            <v>0.26132771338250788</v>
          </cell>
          <cell r="Q42">
            <v>0.26036649662287314</v>
          </cell>
          <cell r="T42">
            <v>0.2816766924472453</v>
          </cell>
          <cell r="V42">
            <v>0.27342977805732771</v>
          </cell>
          <cell r="X42">
            <v>0.27106863596872283</v>
          </cell>
          <cell r="Z42">
            <v>0.26061204343534056</v>
          </cell>
          <cell r="AB42">
            <v>0.27179593913325006</v>
          </cell>
          <cell r="AF42">
            <v>0.2643312101910828</v>
          </cell>
          <cell r="AH42">
            <v>0.22143864598025387</v>
          </cell>
          <cell r="AJ42">
            <v>0.26275862068965516</v>
          </cell>
          <cell r="AL42">
            <v>0.22602168473728107</v>
          </cell>
          <cell r="AN42">
            <v>0.24393910919000189</v>
          </cell>
          <cell r="AR42">
            <v>0.25051055139550715</v>
          </cell>
          <cell r="AT42">
            <v>0.22750000000000001</v>
          </cell>
          <cell r="AV42">
            <v>0.23</v>
          </cell>
          <cell r="AX42">
            <v>0.22750000000000001</v>
          </cell>
          <cell r="AZ42">
            <v>0.2340976647582528</v>
          </cell>
          <cell r="BB42" t="str">
            <v>&lt;24%</v>
          </cell>
        </row>
        <row r="43">
          <cell r="B43" t="str">
            <v>Net Income (Loss), pro forma</v>
          </cell>
          <cell r="C43">
            <v>340.9</v>
          </cell>
          <cell r="D43">
            <v>412.40000000000015</v>
          </cell>
          <cell r="E43">
            <v>460.79999999999995</v>
          </cell>
          <cell r="F43">
            <v>471.2999999999999</v>
          </cell>
          <cell r="G43">
            <v>1454</v>
          </cell>
          <cell r="I43">
            <v>577.19999999999982</v>
          </cell>
          <cell r="K43">
            <v>691.20000000000016</v>
          </cell>
          <cell r="M43">
            <v>696.00000000000057</v>
          </cell>
          <cell r="O43">
            <v>630.90000000000009</v>
          </cell>
          <cell r="Q43">
            <v>2595.3000000000011</v>
          </cell>
          <cell r="T43">
            <v>752.3</v>
          </cell>
          <cell r="U43">
            <v>0.30336105336105379</v>
          </cell>
          <cell r="V43">
            <v>808.60000000000014</v>
          </cell>
          <cell r="W43">
            <v>0.16984953703703698</v>
          </cell>
          <cell r="X43">
            <v>839</v>
          </cell>
          <cell r="Y43">
            <v>0.20545977011494165</v>
          </cell>
          <cell r="Z43">
            <v>749</v>
          </cell>
          <cell r="AA43">
            <v>0.18719289903312708</v>
          </cell>
          <cell r="AB43">
            <v>3148.8999999999996</v>
          </cell>
          <cell r="AC43">
            <v>0.21330867337109316</v>
          </cell>
          <cell r="AF43">
            <v>924</v>
          </cell>
          <cell r="AG43">
            <v>0.22823341751960657</v>
          </cell>
          <cell r="AH43">
            <v>1104</v>
          </cell>
          <cell r="AI43">
            <v>0.36532278011377661</v>
          </cell>
          <cell r="AJ43">
            <v>1069</v>
          </cell>
          <cell r="AK43">
            <v>0.27413587604290823</v>
          </cell>
          <cell r="AL43">
            <v>928</v>
          </cell>
          <cell r="AM43">
            <v>0.23898531375166887</v>
          </cell>
          <cell r="AN43">
            <v>4023</v>
          </cell>
          <cell r="AO43">
            <v>0.27758899933310066</v>
          </cell>
          <cell r="AR43">
            <v>1101</v>
          </cell>
          <cell r="AS43">
            <v>0.19155844155844148</v>
          </cell>
          <cell r="AT43">
            <v>1125.4745625</v>
          </cell>
          <cell r="AU43">
            <v>1.9451596467391363E-2</v>
          </cell>
          <cell r="AV43">
            <v>1091.696375</v>
          </cell>
          <cell r="AW43">
            <v>2.123140785781108E-2</v>
          </cell>
          <cell r="AX43">
            <v>1017.3222450000001</v>
          </cell>
          <cell r="AY43">
            <v>9.6252419181034554E-2</v>
          </cell>
          <cell r="AZ43">
            <v>4335.4931825000003</v>
          </cell>
          <cell r="BA43">
            <v>7.7676654859557548E-2</v>
          </cell>
        </row>
        <row r="45">
          <cell r="B45" t="str">
            <v>EPS, basic</v>
          </cell>
          <cell r="C45">
            <v>0.32665772326561904</v>
          </cell>
          <cell r="D45">
            <v>0.39707298286154458</v>
          </cell>
          <cell r="E45">
            <v>0.37110413143271315</v>
          </cell>
          <cell r="F45">
            <v>0.36654223051796542</v>
          </cell>
          <cell r="G45">
            <v>1.2605114867793672</v>
          </cell>
          <cell r="I45">
            <v>0.44726850058116996</v>
          </cell>
          <cell r="K45">
            <v>0.53668763102725381</v>
          </cell>
          <cell r="M45">
            <v>0.53978594695207116</v>
          </cell>
          <cell r="O45">
            <v>0.49081997821689749</v>
          </cell>
          <cell r="Q45">
            <v>2.0143588947531827</v>
          </cell>
          <cell r="T45">
            <v>0.58801000468969822</v>
          </cell>
          <cell r="V45">
            <v>0.63759659359722454</v>
          </cell>
          <cell r="X45">
            <v>0.65959119496855345</v>
          </cell>
          <cell r="Z45">
            <v>0.59303246239113228</v>
          </cell>
          <cell r="AB45">
            <v>2.4781804588202885</v>
          </cell>
          <cell r="AF45">
            <v>0.73979183346677346</v>
          </cell>
          <cell r="AH45">
            <v>0.89537712895377131</v>
          </cell>
          <cell r="AJ45">
            <v>0.86699107866991076</v>
          </cell>
          <cell r="AL45">
            <v>0.75508543531326278</v>
          </cell>
          <cell r="AM45">
            <v>3.2572454764037184</v>
          </cell>
          <cell r="AN45">
            <v>3.2548543689320391</v>
          </cell>
          <cell r="AR45">
            <v>0.91597337770382692</v>
          </cell>
          <cell r="AT45">
            <v>0.97029524410955836</v>
          </cell>
          <cell r="AV45">
            <v>0.95068117137336827</v>
          </cell>
          <cell r="AX45">
            <v>0.89486262735353794</v>
          </cell>
          <cell r="AZ45">
            <v>3.731777351192334</v>
          </cell>
        </row>
        <row r="46">
          <cell r="B46" t="str">
            <v>EPS, diluted</v>
          </cell>
          <cell r="C46">
            <v>0.3187350313190862</v>
          </cell>
          <cell r="D46">
            <v>0.37997702038587561</v>
          </cell>
          <cell r="E46">
            <v>0.37522650398647012</v>
          </cell>
          <cell r="F46">
            <v>0.35358375389639296</v>
          </cell>
          <cell r="G46">
            <v>1.2782618118768962</v>
          </cell>
          <cell r="I46">
            <v>0.4313791762352765</v>
          </cell>
          <cell r="K46">
            <v>0.5169404231625836</v>
          </cell>
          <cell r="M46">
            <v>0.52015635432895657</v>
          </cell>
          <cell r="O46">
            <v>0.4746408582089553</v>
          </cell>
          <cell r="Q46">
            <v>1.9433692421991091</v>
          </cell>
          <cell r="T46">
            <v>0.56841932457786115</v>
          </cell>
          <cell r="V46">
            <v>0.61752959702511956</v>
          </cell>
          <cell r="X46">
            <v>0.63948390151515144</v>
          </cell>
          <cell r="Z46">
            <v>0.57566316793893124</v>
          </cell>
          <cell r="AB46">
            <v>2.4009507215635768</v>
          </cell>
          <cell r="AF46">
            <v>0.72024709302325585</v>
          </cell>
          <cell r="AH46">
            <v>0.88400000000000001</v>
          </cell>
          <cell r="AJ46">
            <v>0.85652522017614086</v>
          </cell>
          <cell r="AL46">
            <v>0.74658085277554309</v>
          </cell>
          <cell r="AN46">
            <v>3.2027027027027026</v>
          </cell>
          <cell r="AR46">
            <v>0.90691927512355852</v>
          </cell>
          <cell r="AS46">
            <v>0.25917797365448769</v>
          </cell>
          <cell r="AT46">
            <v>0.9607041873308807</v>
          </cell>
          <cell r="AU46">
            <v>8.6769442681991826E-2</v>
          </cell>
          <cell r="AV46">
            <v>0.9412839934026267</v>
          </cell>
          <cell r="AW46">
            <v>9.8956541185156954E-2</v>
          </cell>
          <cell r="AX46">
            <v>0.8860171977586101</v>
          </cell>
          <cell r="AY46">
            <v>0.18676656984262108</v>
          </cell>
          <cell r="AZ46">
            <v>3.6698689952539394</v>
          </cell>
          <cell r="BA46">
            <v>0.14586626856030183</v>
          </cell>
          <cell r="BB46" t="str">
            <v>3.60-3.70</v>
          </cell>
        </row>
        <row r="48">
          <cell r="B48" t="str">
            <v xml:space="preserve">  Options expense</v>
          </cell>
          <cell r="AR48">
            <v>68</v>
          </cell>
          <cell r="AT48">
            <v>69.372624999999999</v>
          </cell>
          <cell r="AV48">
            <v>74.592437500000017</v>
          </cell>
          <cell r="AX48">
            <v>82.952730000000003</v>
          </cell>
          <cell r="AZ48">
            <v>294.91779250000002</v>
          </cell>
        </row>
        <row r="49">
          <cell r="B49" t="str">
            <v>% of operating expense</v>
          </cell>
          <cell r="AR49">
            <v>3.7199124726477024E-2</v>
          </cell>
          <cell r="AT49">
            <v>3.5000000000000003E-2</v>
          </cell>
          <cell r="AV49">
            <v>3.5000000000000003E-2</v>
          </cell>
          <cell r="AX49">
            <v>3.5000000000000003E-2</v>
          </cell>
          <cell r="AZ49">
            <v>3.5483675035107048E-2</v>
          </cell>
        </row>
        <row r="50">
          <cell r="B50" t="str">
            <v>Net Income (incl options exp)</v>
          </cell>
          <cell r="AR50">
            <v>1050.0347174948945</v>
          </cell>
          <cell r="AT50">
            <v>1071.8842096875001</v>
          </cell>
          <cell r="AV50">
            <v>1034.260198125</v>
          </cell>
          <cell r="AX50">
            <v>953.24126107500001</v>
          </cell>
          <cell r="AZ50">
            <v>4040.5753900000004</v>
          </cell>
        </row>
        <row r="52">
          <cell r="B52" t="str">
            <v>EPS, diluted (incl option exp)</v>
          </cell>
          <cell r="AR52">
            <v>0.8676518883415435</v>
          </cell>
          <cell r="AT52">
            <v>0.92221351610314906</v>
          </cell>
          <cell r="AV52">
            <v>0.8994791153375481</v>
          </cell>
          <cell r="AX52">
            <v>0.83905724506666113</v>
          </cell>
          <cell r="AZ52">
            <v>3.5315180425397048</v>
          </cell>
        </row>
        <row r="53">
          <cell r="B53" t="str">
            <v>EPS, Reported GAAP</v>
          </cell>
          <cell r="C53">
            <v>0.32665772326561904</v>
          </cell>
          <cell r="D53">
            <v>0.39707298286154458</v>
          </cell>
          <cell r="E53">
            <v>-2.0951920753805271</v>
          </cell>
          <cell r="F53">
            <v>0.30074661689220716</v>
          </cell>
          <cell r="G53">
            <v>-1.467706978760295</v>
          </cell>
          <cell r="I53">
            <v>0.38225493994575732</v>
          </cell>
          <cell r="K53">
            <v>0.47146517586769165</v>
          </cell>
          <cell r="M53">
            <v>0.4747169225996592</v>
          </cell>
          <cell r="O53">
            <v>0.42547067060837096</v>
          </cell>
          <cell r="Q53">
            <v>1.7537255510710965</v>
          </cell>
          <cell r="T53">
            <v>0.53947162732530862</v>
          </cell>
          <cell r="V53">
            <v>0.58989118435577992</v>
          </cell>
          <cell r="X53">
            <v>0.18600628930817609</v>
          </cell>
          <cell r="Z53">
            <v>0.54758511480601746</v>
          </cell>
          <cell r="AB53">
            <v>1.8498406327470192</v>
          </cell>
          <cell r="AF53">
            <v>0.68374699759807844</v>
          </cell>
          <cell r="AH53">
            <v>0.85482562854825628</v>
          </cell>
          <cell r="AJ53">
            <v>0.78588807785888082</v>
          </cell>
          <cell r="AL53">
            <v>0.67046379170056958</v>
          </cell>
          <cell r="AN53">
            <v>2.9724919093851132</v>
          </cell>
          <cell r="AR53">
            <v>0.8327787021630616</v>
          </cell>
          <cell r="AT53">
            <v>0.38232872888881225</v>
          </cell>
          <cell r="AV53">
            <v>0.92281463432093214</v>
          </cell>
          <cell r="AX53">
            <v>0.86671461012885487</v>
          </cell>
          <cell r="AZ53">
            <v>3.1196891571852658</v>
          </cell>
        </row>
        <row r="54">
          <cell r="B54" t="str">
            <v>EPS, Reported GAAP -Diluted</v>
          </cell>
          <cell r="C54">
            <v>0.3187350313190862</v>
          </cell>
          <cell r="D54">
            <v>0.37997702038587561</v>
          </cell>
          <cell r="E54">
            <v>-2.0910697028267697</v>
          </cell>
          <cell r="F54">
            <v>0.29079616298055505</v>
          </cell>
          <cell r="G54">
            <v>-1.4499566536627657</v>
          </cell>
          <cell r="I54">
            <v>0.36922642417956869</v>
          </cell>
          <cell r="K54">
            <v>0.4545796213808464</v>
          </cell>
          <cell r="M54">
            <v>0.45791138066622195</v>
          </cell>
          <cell r="O54">
            <v>0.41195429104477616</v>
          </cell>
          <cell r="Q54">
            <v>1.6938893016344732</v>
          </cell>
          <cell r="T54">
            <v>0.52181519699812373</v>
          </cell>
          <cell r="V54">
            <v>0.57161626318585423</v>
          </cell>
          <cell r="X54">
            <v>0.18312026515151514</v>
          </cell>
          <cell r="Z54">
            <v>0.53184637404580148</v>
          </cell>
          <cell r="AB54">
            <v>1.7961251467747434</v>
          </cell>
          <cell r="AF54">
            <v>0.66598352713178288</v>
          </cell>
          <cell r="AH54">
            <v>0.84399999999999997</v>
          </cell>
          <cell r="AJ54">
            <v>0.77646116893514805</v>
          </cell>
          <cell r="AL54">
            <v>0.66291230893000808</v>
          </cell>
          <cell r="AN54">
            <v>2.9252782193958664</v>
          </cell>
          <cell r="AR54">
            <v>0.82183908045977017</v>
          </cell>
          <cell r="AS54">
            <v>0.23402313567606758</v>
          </cell>
          <cell r="AT54">
            <v>0.31933311495420447</v>
          </cell>
          <cell r="AU54">
            <v>-0.62164322872724587</v>
          </cell>
          <cell r="AV54">
            <v>0.9136929081167714</v>
          </cell>
          <cell r="AW54">
            <v>0.17673998993384976</v>
          </cell>
          <cell r="AX54">
            <v>0.85814741464158462</v>
          </cell>
          <cell r="AY54">
            <v>0.29451120922268159</v>
          </cell>
          <cell r="AZ54">
            <v>3.0888520320730564</v>
          </cell>
          <cell r="BA54">
            <v>5.5917352268452403E-2</v>
          </cell>
        </row>
        <row r="55">
          <cell r="B55" t="str">
            <v xml:space="preserve">Basic Shares Outstanding </v>
          </cell>
          <cell r="C55">
            <v>1043.5999999999999</v>
          </cell>
          <cell r="D55">
            <v>1038.5999999999999</v>
          </cell>
          <cell r="E55">
            <v>1241.7</v>
          </cell>
          <cell r="F55">
            <v>1285.8</v>
          </cell>
          <cell r="G55">
            <v>1153.5</v>
          </cell>
          <cell r="I55">
            <v>1290.5</v>
          </cell>
          <cell r="K55">
            <v>1287.9000000000001</v>
          </cell>
          <cell r="M55">
            <v>1289.4000000000001</v>
          </cell>
          <cell r="O55">
            <v>1285.4000000000001</v>
          </cell>
          <cell r="Q55">
            <v>1288.4000000000001</v>
          </cell>
          <cell r="T55">
            <v>1279.4000000000001</v>
          </cell>
          <cell r="U55">
            <v>-8.6013173188685954E-3</v>
          </cell>
          <cell r="V55">
            <v>1268.2</v>
          </cell>
          <cell r="W55">
            <v>-1.5296218650516336E-2</v>
          </cell>
          <cell r="X55">
            <v>1272</v>
          </cell>
          <cell r="Y55">
            <v>-1.349464867380179E-2</v>
          </cell>
          <cell r="Z55">
            <v>1263</v>
          </cell>
          <cell r="AA55">
            <v>-1.7426482028940482E-2</v>
          </cell>
          <cell r="AB55">
            <v>1270.6500000000001</v>
          </cell>
          <cell r="AC55">
            <v>-1.3776777398323503E-2</v>
          </cell>
          <cell r="AF55">
            <v>1249</v>
          </cell>
          <cell r="AG55">
            <v>-2.3761138033453255E-2</v>
          </cell>
          <cell r="AH55">
            <v>1233</v>
          </cell>
          <cell r="AI55">
            <v>-2.7755874467749631E-2</v>
          </cell>
          <cell r="AJ55">
            <v>1233</v>
          </cell>
          <cell r="AK55">
            <v>-3.0660377358490587E-2</v>
          </cell>
          <cell r="AL55">
            <v>1229</v>
          </cell>
          <cell r="AM55">
            <v>-2.6920031670625511E-2</v>
          </cell>
          <cell r="AN55">
            <v>1236</v>
          </cell>
          <cell r="AO55">
            <v>-2.726950773226311E-2</v>
          </cell>
          <cell r="AR55">
            <v>1202</v>
          </cell>
          <cell r="AS55">
            <v>-3.7630104083266613E-2</v>
          </cell>
          <cell r="AT55">
            <v>1159.93</v>
          </cell>
          <cell r="AU55">
            <v>-5.926196269261963E-2</v>
          </cell>
          <cell r="AV55">
            <v>1148.3307</v>
          </cell>
          <cell r="AW55">
            <v>-6.86693430656935E-2</v>
          </cell>
          <cell r="AX55">
            <v>1136.847393</v>
          </cell>
          <cell r="AY55">
            <v>-7.4981779495524759E-2</v>
          </cell>
          <cell r="AZ55">
            <v>1161.7770232500002</v>
          </cell>
          <cell r="BA55">
            <v>-6.0050952063106622E-2</v>
          </cell>
        </row>
        <row r="56">
          <cell r="B56" t="str">
            <v>Diluted Shares Outstanding</v>
          </cell>
          <cell r="C56">
            <v>1085.5999999999999</v>
          </cell>
          <cell r="D56">
            <v>1098.8</v>
          </cell>
          <cell r="E56">
            <v>1241.7</v>
          </cell>
          <cell r="F56">
            <v>1347.4</v>
          </cell>
          <cell r="G56">
            <v>1153.5</v>
          </cell>
          <cell r="I56">
            <v>1349.9</v>
          </cell>
          <cell r="K56">
            <v>1347</v>
          </cell>
          <cell r="M56">
            <v>1347.9</v>
          </cell>
          <cell r="O56">
            <v>1340</v>
          </cell>
          <cell r="Q56">
            <v>1346</v>
          </cell>
          <cell r="T56">
            <v>1332.5</v>
          </cell>
          <cell r="U56">
            <v>-1.2889843692125424E-2</v>
          </cell>
          <cell r="V56">
            <v>1317.7</v>
          </cell>
          <cell r="W56">
            <v>-2.1752041573867786E-2</v>
          </cell>
          <cell r="X56">
            <v>1320</v>
          </cell>
          <cell r="Y56">
            <v>-2.069886490095707E-2</v>
          </cell>
          <cell r="Z56">
            <v>1310</v>
          </cell>
          <cell r="AA56">
            <v>-2.2388059701492491E-2</v>
          </cell>
          <cell r="AB56">
            <v>1320.05</v>
          </cell>
          <cell r="AC56">
            <v>-1.9279346210995585E-2</v>
          </cell>
          <cell r="AF56">
            <v>1290</v>
          </cell>
          <cell r="AG56">
            <v>-3.1894934333958735E-2</v>
          </cell>
          <cell r="AH56">
            <v>1250</v>
          </cell>
          <cell r="AI56">
            <v>-5.1377400015177987E-2</v>
          </cell>
          <cell r="AJ56">
            <v>1249</v>
          </cell>
          <cell r="AK56">
            <v>-5.3787878787878829E-2</v>
          </cell>
          <cell r="AL56">
            <v>1243</v>
          </cell>
          <cell r="AM56">
            <v>-5.1145038167938917E-2</v>
          </cell>
          <cell r="AN56">
            <v>1258</v>
          </cell>
          <cell r="AO56">
            <v>-4.7005795235028902E-2</v>
          </cell>
          <cell r="AR56">
            <v>1214</v>
          </cell>
          <cell r="AS56">
            <v>-5.8914728682170514E-2</v>
          </cell>
          <cell r="AT56">
            <v>1171.51</v>
          </cell>
          <cell r="AU56">
            <v>-6.2791999999999959E-2</v>
          </cell>
          <cell r="AV56">
            <v>1159.7948999999999</v>
          </cell>
          <cell r="AW56">
            <v>-7.1421216973578949E-2</v>
          </cell>
          <cell r="AX56">
            <v>1148.1969509999999</v>
          </cell>
          <cell r="AY56">
            <v>-7.6269548672566412E-2</v>
          </cell>
          <cell r="AZ56">
            <v>1173.37546275</v>
          </cell>
          <cell r="BA56">
            <v>-6.726910751192372E-2</v>
          </cell>
        </row>
        <row r="58">
          <cell r="B58" t="str">
            <v>Amortization of Acquired Intangibles</v>
          </cell>
          <cell r="E58">
            <v>70.599999999999994</v>
          </cell>
          <cell r="F58">
            <v>84.6</v>
          </cell>
          <cell r="G58">
            <v>155.19999999999999</v>
          </cell>
          <cell r="I58">
            <v>83.9</v>
          </cell>
          <cell r="K58">
            <v>84</v>
          </cell>
          <cell r="M58">
            <v>83.9</v>
          </cell>
          <cell r="O58">
            <v>84</v>
          </cell>
          <cell r="Q58">
            <v>335.8</v>
          </cell>
          <cell r="T58">
            <v>-98.1</v>
          </cell>
          <cell r="V58">
            <v>-96.100000000000009</v>
          </cell>
          <cell r="X58">
            <v>-100</v>
          </cell>
          <cell r="Z58">
            <v>-93</v>
          </cell>
          <cell r="AB58">
            <v>-387.2</v>
          </cell>
          <cell r="AF58">
            <v>-87</v>
          </cell>
          <cell r="AH58">
            <v>-87</v>
          </cell>
          <cell r="AJ58">
            <v>-86</v>
          </cell>
          <cell r="AL58">
            <v>-87</v>
          </cell>
          <cell r="AN58">
            <v>-347</v>
          </cell>
          <cell r="AR58">
            <v>-87</v>
          </cell>
          <cell r="AT58">
            <v>-87</v>
          </cell>
          <cell r="AV58">
            <v>-87</v>
          </cell>
          <cell r="AX58">
            <v>-87</v>
          </cell>
          <cell r="AZ58">
            <v>-97</v>
          </cell>
        </row>
        <row r="59">
          <cell r="B59" t="str">
            <v>Write off of IPR&amp;D</v>
          </cell>
          <cell r="E59">
            <v>2991.8</v>
          </cell>
          <cell r="G59">
            <v>2991.8</v>
          </cell>
          <cell r="X59">
            <v>-554</v>
          </cell>
          <cell r="AB59">
            <v>-554</v>
          </cell>
          <cell r="AN59">
            <v>0</v>
          </cell>
          <cell r="AT59">
            <v>-650</v>
          </cell>
          <cell r="AZ59">
            <v>-650</v>
          </cell>
        </row>
        <row r="60">
          <cell r="B60" t="str">
            <v>legal settlements</v>
          </cell>
          <cell r="AN60">
            <v>-49</v>
          </cell>
        </row>
        <row r="61">
          <cell r="B61" t="str">
            <v>COGS</v>
          </cell>
          <cell r="X61">
            <v>4</v>
          </cell>
          <cell r="AJ61">
            <v>-47</v>
          </cell>
          <cell r="AN61">
            <v>-47</v>
          </cell>
        </row>
        <row r="62">
          <cell r="B62" t="str">
            <v>R&amp;D</v>
          </cell>
          <cell r="X62">
            <v>8</v>
          </cell>
          <cell r="AF62">
            <v>-3</v>
          </cell>
          <cell r="AH62">
            <v>-3</v>
          </cell>
          <cell r="AJ62">
            <v>-3</v>
          </cell>
          <cell r="AL62">
            <v>-3</v>
          </cell>
          <cell r="AN62">
            <v>-12</v>
          </cell>
        </row>
        <row r="63">
          <cell r="B63" t="str">
            <v>SG&amp;A</v>
          </cell>
          <cell r="X63">
            <v>4</v>
          </cell>
          <cell r="AL63">
            <v>2</v>
          </cell>
          <cell r="AN63">
            <v>2</v>
          </cell>
        </row>
        <row r="64">
          <cell r="B64" t="str">
            <v>Interest expense</v>
          </cell>
          <cell r="AF64">
            <v>-20</v>
          </cell>
          <cell r="AN64">
            <v>0</v>
          </cell>
        </row>
        <row r="65">
          <cell r="B65" t="str">
            <v>Tax provision</v>
          </cell>
          <cell r="T65">
            <v>36</v>
          </cell>
          <cell r="V65">
            <v>35.6</v>
          </cell>
          <cell r="X65">
            <v>35.6</v>
          </cell>
          <cell r="Z65">
            <v>35.6</v>
          </cell>
          <cell r="AB65">
            <v>142.79999999999998</v>
          </cell>
          <cell r="AF65">
            <v>40</v>
          </cell>
          <cell r="AH65">
            <v>40</v>
          </cell>
          <cell r="AJ65">
            <v>36</v>
          </cell>
          <cell r="AL65">
            <v>-16</v>
          </cell>
          <cell r="AN65">
            <v>104</v>
          </cell>
          <cell r="AR65">
            <v>55</v>
          </cell>
          <cell r="AT65">
            <v>55</v>
          </cell>
          <cell r="AV65">
            <v>55</v>
          </cell>
          <cell r="AX65">
            <v>55</v>
          </cell>
          <cell r="AZ65">
            <v>35.89</v>
          </cell>
        </row>
        <row r="66">
          <cell r="B66" t="str">
            <v>implied tax rate</v>
          </cell>
          <cell r="T66">
            <v>-0.3669724770642202</v>
          </cell>
          <cell r="V66">
            <v>-0.37044745057232048</v>
          </cell>
          <cell r="X66">
            <v>-0.35600000000000004</v>
          </cell>
          <cell r="Z66">
            <v>-0.3827956989247312</v>
          </cell>
          <cell r="AB66">
            <v>-0.36880165289256195</v>
          </cell>
          <cell r="AF66">
            <v>-0.45977011494252873</v>
          </cell>
          <cell r="AH66">
            <v>-0.45977011494252873</v>
          </cell>
          <cell r="AJ66">
            <v>-0.41860465116279072</v>
          </cell>
          <cell r="AL66">
            <v>0.18390804597701149</v>
          </cell>
          <cell r="AN66">
            <v>-0.29971181556195964</v>
          </cell>
          <cell r="AR66">
            <v>-0.63218390804597702</v>
          </cell>
          <cell r="AT66">
            <v>-0.63218390804597702</v>
          </cell>
          <cell r="AV66">
            <v>-0.63218390804597702</v>
          </cell>
          <cell r="AX66">
            <v>-0.63218390804597702</v>
          </cell>
        </row>
        <row r="67">
          <cell r="B67" t="str">
            <v>GAAP net income</v>
          </cell>
          <cell r="AR67">
            <v>1001</v>
          </cell>
          <cell r="AT67">
            <v>374.10193750000008</v>
          </cell>
          <cell r="AV67">
            <v>985.10393750000003</v>
          </cell>
          <cell r="AX67">
            <v>902.36951500000009</v>
          </cell>
          <cell r="AZ67">
            <v>3329.4653900000003</v>
          </cell>
        </row>
        <row r="68">
          <cell r="B68" t="str">
            <v>GAAP diluted share count</v>
          </cell>
          <cell r="AR68">
            <v>1218</v>
          </cell>
          <cell r="AT68">
            <v>1171.51</v>
          </cell>
          <cell r="AV68">
            <v>1159.7948999999999</v>
          </cell>
          <cell r="AX68">
            <v>1148.1969509999999</v>
          </cell>
          <cell r="AZ68">
            <v>1173.37546275</v>
          </cell>
        </row>
        <row r="69">
          <cell r="AR69">
            <v>1.0133111480865225</v>
          </cell>
        </row>
        <row r="70">
          <cell r="B70" t="str">
            <v>Convertible interest add-back</v>
          </cell>
          <cell r="C70">
            <v>5.1187500000000004</v>
          </cell>
          <cell r="D70">
            <v>5.1187500000000004</v>
          </cell>
          <cell r="E70">
            <v>5.1187500000000004</v>
          </cell>
          <cell r="F70">
            <v>5.1187500000000004</v>
          </cell>
          <cell r="G70">
            <v>20.475000000000001</v>
          </cell>
          <cell r="I70">
            <v>5.1187500000000004</v>
          </cell>
          <cell r="K70">
            <v>5.1187500000000004</v>
          </cell>
          <cell r="M70">
            <v>5.1187500000000004</v>
          </cell>
          <cell r="O70">
            <v>5.1187500000000004</v>
          </cell>
          <cell r="Q70">
            <v>20.475000000000001</v>
          </cell>
          <cell r="T70">
            <v>5.1187500000000004</v>
          </cell>
          <cell r="V70">
            <v>5.1187500000000004</v>
          </cell>
          <cell r="X70">
            <v>5.1187500000000004</v>
          </cell>
          <cell r="Z70">
            <v>5.1187500000000004</v>
          </cell>
          <cell r="AB70">
            <v>20.475000000000001</v>
          </cell>
          <cell r="AF70">
            <v>5.1187500000000004</v>
          </cell>
          <cell r="AH70">
            <v>1</v>
          </cell>
          <cell r="AJ70">
            <v>0.8</v>
          </cell>
          <cell r="AN70">
            <v>6</v>
          </cell>
          <cell r="AR70">
            <v>0</v>
          </cell>
          <cell r="AT70">
            <v>0</v>
          </cell>
          <cell r="AV70">
            <v>0</v>
          </cell>
          <cell r="AX70">
            <v>0</v>
          </cell>
          <cell r="AZ70">
            <v>0</v>
          </cell>
        </row>
        <row r="72">
          <cell r="B72" t="str">
            <v>EPS, GAAP</v>
          </cell>
          <cell r="Q72">
            <v>1.6938893016344732</v>
          </cell>
        </row>
        <row r="74">
          <cell r="B74" t="str">
            <v>CHECK GAAP</v>
          </cell>
          <cell r="E74">
            <v>3957.4</v>
          </cell>
        </row>
      </sheetData>
      <sheetData sheetId="5" refreshError="1"/>
      <sheetData sheetId="6" refreshError="1">
        <row r="1">
          <cell r="B1" t="str">
            <v>Amgen Annual Income Statement</v>
          </cell>
          <cell r="AO1" t="str">
            <v>ElementName</v>
          </cell>
          <cell r="AP1" t="str">
            <v>ScaleOverride</v>
          </cell>
          <cell r="AQ1" t="str">
            <v>UnitOverride</v>
          </cell>
          <cell r="AR1" t="str">
            <v>ReverseSign</v>
          </cell>
          <cell r="AS1" t="str">
            <v>IsDrivingAssumption</v>
          </cell>
          <cell r="AT1" t="str">
            <v>SegmentID</v>
          </cell>
        </row>
        <row r="2">
          <cell r="B2" t="str">
            <v>(Dollars in thousands except per-share data)</v>
          </cell>
        </row>
        <row r="4">
          <cell r="C4" t="str">
            <v>1993</v>
          </cell>
          <cell r="E4" t="str">
            <v>1994</v>
          </cell>
          <cell r="G4" t="str">
            <v>1995</v>
          </cell>
          <cell r="I4" t="str">
            <v>1996</v>
          </cell>
          <cell r="K4" t="str">
            <v>1997</v>
          </cell>
          <cell r="M4" t="str">
            <v>1998</v>
          </cell>
          <cell r="O4" t="str">
            <v>1999</v>
          </cell>
          <cell r="Q4" t="str">
            <v>2000</v>
          </cell>
          <cell r="S4" t="str">
            <v>2001A</v>
          </cell>
          <cell r="U4" t="str">
            <v>2002A</v>
          </cell>
          <cell r="W4" t="str">
            <v>2003A</v>
          </cell>
          <cell r="X4" t="str">
            <v>% chg</v>
          </cell>
          <cell r="Y4" t="str">
            <v>2004A</v>
          </cell>
          <cell r="Z4" t="str">
            <v>% chg</v>
          </cell>
          <cell r="AA4" t="str">
            <v>2005A</v>
          </cell>
          <cell r="AB4" t="str">
            <v>% chg</v>
          </cell>
          <cell r="AC4" t="str">
            <v>2006E</v>
          </cell>
          <cell r="AD4" t="str">
            <v>% chg</v>
          </cell>
          <cell r="AE4" t="str">
            <v>2007E</v>
          </cell>
          <cell r="AF4" t="str">
            <v>% chg</v>
          </cell>
          <cell r="AG4" t="str">
            <v>2008E</v>
          </cell>
          <cell r="AH4" t="str">
            <v>% chg</v>
          </cell>
          <cell r="AI4" t="str">
            <v>2009E</v>
          </cell>
          <cell r="AJ4" t="str">
            <v>% chg</v>
          </cell>
          <cell r="AK4" t="str">
            <v>2010E</v>
          </cell>
          <cell r="AL4" t="str">
            <v>% chg</v>
          </cell>
        </row>
        <row r="5">
          <cell r="B5" t="str">
            <v>Epogen</v>
          </cell>
          <cell r="C5">
            <v>586.9</v>
          </cell>
          <cell r="E5">
            <v>720.6</v>
          </cell>
          <cell r="G5">
            <v>882.6</v>
          </cell>
          <cell r="I5">
            <v>1071.9000000000001</v>
          </cell>
          <cell r="K5">
            <v>1160.8</v>
          </cell>
          <cell r="M5">
            <v>1382.1</v>
          </cell>
          <cell r="O5">
            <v>1759.1</v>
          </cell>
          <cell r="Q5">
            <v>1962.2</v>
          </cell>
          <cell r="S5">
            <v>2108.5</v>
          </cell>
          <cell r="U5">
            <v>2260.6</v>
          </cell>
          <cell r="W5">
            <v>2434.6999999999998</v>
          </cell>
          <cell r="X5">
            <v>7.701495178271256E-2</v>
          </cell>
          <cell r="Y5">
            <v>2600.6</v>
          </cell>
          <cell r="Z5">
            <v>6.8139811886474666E-2</v>
          </cell>
          <cell r="AA5">
            <v>2455</v>
          </cell>
          <cell r="AB5">
            <v>-5.598707990463736E-2</v>
          </cell>
          <cell r="AC5">
            <v>2514</v>
          </cell>
          <cell r="AD5">
            <v>2.4032586558044855E-2</v>
          </cell>
          <cell r="AE5">
            <v>2572.1174973954289</v>
          </cell>
          <cell r="AF5">
            <v>2.3117540730083208E-2</v>
          </cell>
          <cell r="AG5">
            <v>2632.2299063233218</v>
          </cell>
          <cell r="AH5">
            <v>2.3370786516853759E-2</v>
          </cell>
          <cell r="AI5">
            <v>2708.8786464932482</v>
          </cell>
          <cell r="AJ5">
            <v>2.9119318181818343E-2</v>
          </cell>
          <cell r="AK5">
            <v>2787.6683168398231</v>
          </cell>
          <cell r="AL5">
            <v>2.9085714285714159E-2</v>
          </cell>
        </row>
        <row r="6">
          <cell r="B6" t="str">
            <v>Aranesp - US</v>
          </cell>
          <cell r="S6">
            <v>27</v>
          </cell>
          <cell r="U6">
            <v>284.7</v>
          </cell>
          <cell r="W6">
            <v>979.9</v>
          </cell>
          <cell r="Y6">
            <v>1533.3</v>
          </cell>
          <cell r="AA6">
            <v>2104</v>
          </cell>
          <cell r="AB6">
            <v>0.37220374355964259</v>
          </cell>
          <cell r="AC6">
            <v>2596</v>
          </cell>
          <cell r="AD6">
            <v>0.23384030418250945</v>
          </cell>
          <cell r="AE6">
            <v>2975</v>
          </cell>
          <cell r="AF6">
            <v>0.14599383667180277</v>
          </cell>
          <cell r="AG6">
            <v>3300</v>
          </cell>
          <cell r="AH6">
            <v>0.10924369747899165</v>
          </cell>
          <cell r="AI6">
            <v>3600</v>
          </cell>
          <cell r="AJ6">
            <v>9.0909090909090828E-2</v>
          </cell>
          <cell r="AK6">
            <v>3850</v>
          </cell>
          <cell r="AL6">
            <v>6.944444444444442E-2</v>
          </cell>
        </row>
        <row r="7">
          <cell r="B7" t="str">
            <v>Aranesp, Intl.</v>
          </cell>
          <cell r="S7">
            <v>14.5</v>
          </cell>
          <cell r="U7">
            <v>130.9</v>
          </cell>
          <cell r="W7">
            <v>563.9</v>
          </cell>
          <cell r="Y7">
            <v>939.6</v>
          </cell>
          <cell r="AA7">
            <v>1169</v>
          </cell>
          <cell r="AB7">
            <v>0.2441464452958706</v>
          </cell>
          <cell r="AC7">
            <v>1317</v>
          </cell>
          <cell r="AD7">
            <v>0.1266039349871686</v>
          </cell>
          <cell r="AE7">
            <v>1375</v>
          </cell>
          <cell r="AF7">
            <v>4.4039483675019087E-2</v>
          </cell>
          <cell r="AG7">
            <v>1425</v>
          </cell>
          <cell r="AH7">
            <v>3.6363636363636376E-2</v>
          </cell>
          <cell r="AI7">
            <v>1450</v>
          </cell>
          <cell r="AJ7">
            <v>1.7543859649122862E-2</v>
          </cell>
          <cell r="AK7">
            <v>1485</v>
          </cell>
          <cell r="AL7">
            <v>2.4137931034482696E-2</v>
          </cell>
        </row>
        <row r="8">
          <cell r="B8" t="str">
            <v>Aranesp</v>
          </cell>
          <cell r="C8">
            <v>0</v>
          </cell>
          <cell r="E8">
            <v>0</v>
          </cell>
          <cell r="G8">
            <v>0</v>
          </cell>
          <cell r="I8">
            <v>0</v>
          </cell>
          <cell r="K8">
            <v>0</v>
          </cell>
          <cell r="M8">
            <v>0</v>
          </cell>
          <cell r="O8">
            <v>0</v>
          </cell>
          <cell r="Q8">
            <v>0</v>
          </cell>
          <cell r="S8">
            <v>41.5</v>
          </cell>
          <cell r="U8">
            <v>415.6</v>
          </cell>
          <cell r="W8">
            <v>1543.8</v>
          </cell>
          <cell r="X8">
            <v>2.7146294513955724</v>
          </cell>
          <cell r="Y8">
            <v>2472.9</v>
          </cell>
          <cell r="Z8">
            <v>0.60182666148464836</v>
          </cell>
          <cell r="AA8">
            <v>3273</v>
          </cell>
          <cell r="AB8">
            <v>0.32354725221399971</v>
          </cell>
          <cell r="AC8">
            <v>3913</v>
          </cell>
          <cell r="AD8">
            <v>0.19553926061717086</v>
          </cell>
          <cell r="AE8">
            <v>4350</v>
          </cell>
          <cell r="AF8">
            <v>0.1116790186557628</v>
          </cell>
          <cell r="AG8">
            <v>4725</v>
          </cell>
          <cell r="AH8">
            <v>8.6206896551724199E-2</v>
          </cell>
          <cell r="AI8">
            <v>5050</v>
          </cell>
          <cell r="AJ8">
            <v>6.8783068783068835E-2</v>
          </cell>
          <cell r="AK8">
            <v>5335</v>
          </cell>
          <cell r="AL8">
            <v>5.6435643564356486E-2</v>
          </cell>
        </row>
        <row r="9">
          <cell r="B9" t="str">
            <v>Neupogen, U.S.</v>
          </cell>
          <cell r="C9">
            <v>545.5</v>
          </cell>
          <cell r="E9">
            <v>617.20000000000005</v>
          </cell>
          <cell r="G9">
            <v>661.8</v>
          </cell>
          <cell r="I9">
            <v>731.6</v>
          </cell>
          <cell r="K9">
            <v>790</v>
          </cell>
          <cell r="M9">
            <v>853.2</v>
          </cell>
          <cell r="O9">
            <v>921.45600000000013</v>
          </cell>
          <cell r="Q9">
            <v>985.95792000000017</v>
          </cell>
          <cell r="S9">
            <v>1050.5999999999999</v>
          </cell>
          <cell r="U9">
            <v>1041.7</v>
          </cell>
          <cell r="W9">
            <v>880.5</v>
          </cell>
          <cell r="X9">
            <v>-0.15474704809446105</v>
          </cell>
          <cell r="Y9">
            <v>777.8</v>
          </cell>
          <cell r="AA9">
            <v>805</v>
          </cell>
          <cell r="AB9">
            <v>3.4970429416302462E-2</v>
          </cell>
          <cell r="AC9">
            <v>809</v>
          </cell>
          <cell r="AD9">
            <v>4.9689440993789802E-3</v>
          </cell>
          <cell r="AE9">
            <v>819.71999999999991</v>
          </cell>
          <cell r="AF9">
            <v>1.3250927070457275E-2</v>
          </cell>
          <cell r="AG9">
            <v>831.59999999999991</v>
          </cell>
          <cell r="AH9">
            <v>1.449275362318847E-2</v>
          </cell>
          <cell r="AI9">
            <v>831.59999999999991</v>
          </cell>
          <cell r="AJ9">
            <v>0</v>
          </cell>
          <cell r="AK9">
            <v>831.59999999999991</v>
          </cell>
          <cell r="AL9">
            <v>0</v>
          </cell>
        </row>
        <row r="10">
          <cell r="B10" t="str">
            <v>Neupogen, Intl.</v>
          </cell>
          <cell r="C10">
            <v>173.9</v>
          </cell>
          <cell r="E10">
            <v>211.7</v>
          </cell>
          <cell r="G10">
            <v>274.2</v>
          </cell>
          <cell r="I10">
            <v>284.7</v>
          </cell>
          <cell r="K10">
            <v>294.66449999999998</v>
          </cell>
          <cell r="M10">
            <v>309.39772499999998</v>
          </cell>
          <cell r="O10">
            <v>324.86761124999998</v>
          </cell>
          <cell r="Q10">
            <v>341.1109918125</v>
          </cell>
          <cell r="S10">
            <v>295.8</v>
          </cell>
          <cell r="U10">
            <v>337.9</v>
          </cell>
          <cell r="W10">
            <v>386.2</v>
          </cell>
          <cell r="X10">
            <v>0.14294169872743412</v>
          </cell>
          <cell r="Y10">
            <v>397.4</v>
          </cell>
          <cell r="AA10">
            <v>411</v>
          </cell>
          <cell r="AB10">
            <v>3.4222445898339338E-2</v>
          </cell>
          <cell r="AC10">
            <v>379</v>
          </cell>
          <cell r="AD10">
            <v>-7.7858880778588824E-2</v>
          </cell>
          <cell r="AE10">
            <v>368.28000000000009</v>
          </cell>
          <cell r="AF10">
            <v>-2.828496042216333E-2</v>
          </cell>
          <cell r="AG10">
            <v>356.40000000000003</v>
          </cell>
          <cell r="AH10">
            <v>-3.2258064516129115E-2</v>
          </cell>
          <cell r="AI10">
            <v>356.40000000000003</v>
          </cell>
          <cell r="AJ10">
            <v>0</v>
          </cell>
          <cell r="AK10">
            <v>356.40000000000003</v>
          </cell>
          <cell r="AL10">
            <v>0</v>
          </cell>
        </row>
        <row r="11">
          <cell r="B11" t="str">
            <v>Neupogen</v>
          </cell>
          <cell r="C11">
            <v>719.4</v>
          </cell>
          <cell r="E11">
            <v>828.90000000000009</v>
          </cell>
          <cell r="G11">
            <v>936</v>
          </cell>
          <cell r="I11">
            <v>1016.3</v>
          </cell>
          <cell r="K11">
            <v>1055.7</v>
          </cell>
          <cell r="M11">
            <v>1116.5999999999999</v>
          </cell>
          <cell r="O11">
            <v>1256.5999999999999</v>
          </cell>
          <cell r="Q11">
            <v>1223.7</v>
          </cell>
          <cell r="S11">
            <v>1346.3999999999999</v>
          </cell>
          <cell r="U11">
            <v>1379.6</v>
          </cell>
          <cell r="W11">
            <v>1266.7</v>
          </cell>
          <cell r="X11">
            <v>-8.1835314583937224E-2</v>
          </cell>
          <cell r="Y11">
            <v>1175.1999999999998</v>
          </cell>
          <cell r="Z11">
            <v>-7.2234941185758461E-2</v>
          </cell>
          <cell r="AA11">
            <v>1216</v>
          </cell>
          <cell r="AB11">
            <v>3.4717494894486167E-2</v>
          </cell>
          <cell r="AC11">
            <v>1188</v>
          </cell>
          <cell r="AD11">
            <v>-2.3026315789473673E-2</v>
          </cell>
          <cell r="AE11">
            <v>1188</v>
          </cell>
          <cell r="AF11">
            <v>0</v>
          </cell>
          <cell r="AG11">
            <v>1188</v>
          </cell>
          <cell r="AH11">
            <v>0</v>
          </cell>
          <cell r="AI11">
            <v>1188</v>
          </cell>
          <cell r="AJ11">
            <v>0</v>
          </cell>
          <cell r="AK11">
            <v>1188</v>
          </cell>
          <cell r="AL11">
            <v>0</v>
          </cell>
        </row>
        <row r="12">
          <cell r="B12" t="str">
            <v>Neulasta, U.S.</v>
          </cell>
          <cell r="Y12">
            <v>1476.5</v>
          </cell>
          <cell r="AA12">
            <v>1900</v>
          </cell>
          <cell r="AB12">
            <v>0.28682695563833382</v>
          </cell>
          <cell r="AC12">
            <v>2144.4937499999996</v>
          </cell>
          <cell r="AD12">
            <v>0.1286809210526314</v>
          </cell>
          <cell r="AE12">
            <v>2613.9768510000004</v>
          </cell>
          <cell r="AF12">
            <v>0.2189249099000643</v>
          </cell>
          <cell r="AG12">
            <v>2737.4321432400006</v>
          </cell>
          <cell r="AH12">
            <v>4.7228915662650639E-2</v>
          </cell>
          <cell r="AI12">
            <v>2764.1387982960005</v>
          </cell>
          <cell r="AJ12">
            <v>9.7560975609756184E-3</v>
          </cell>
          <cell r="AK12">
            <v>2764.1387982960005</v>
          </cell>
          <cell r="AL12">
            <v>0</v>
          </cell>
        </row>
        <row r="13">
          <cell r="B13" t="str">
            <v>Neulasta, Intl.</v>
          </cell>
          <cell r="Y13">
            <v>263.10000000000002</v>
          </cell>
          <cell r="AA13">
            <v>388</v>
          </cell>
          <cell r="AB13">
            <v>0.47472443937666275</v>
          </cell>
          <cell r="AC13">
            <v>458.50625000000002</v>
          </cell>
          <cell r="AD13">
            <v>0.18171713917525789</v>
          </cell>
          <cell r="AE13">
            <v>535.39284900000018</v>
          </cell>
          <cell r="AF13">
            <v>0.16768931503114759</v>
          </cell>
          <cell r="AG13">
            <v>600.89973876000033</v>
          </cell>
          <cell r="AH13">
            <v>0.12235294117647078</v>
          </cell>
          <cell r="AI13">
            <v>691.034699574</v>
          </cell>
          <cell r="AJ13">
            <v>0.14999999999999947</v>
          </cell>
          <cell r="AK13">
            <v>691.034699574</v>
          </cell>
          <cell r="AL13">
            <v>0</v>
          </cell>
        </row>
        <row r="14">
          <cell r="B14" t="str">
            <v>Neulasta</v>
          </cell>
          <cell r="C14">
            <v>0</v>
          </cell>
          <cell r="E14">
            <v>0</v>
          </cell>
          <cell r="G14">
            <v>0</v>
          </cell>
          <cell r="I14">
            <v>0</v>
          </cell>
          <cell r="K14">
            <v>0</v>
          </cell>
          <cell r="M14">
            <v>0</v>
          </cell>
          <cell r="O14">
            <v>0</v>
          </cell>
          <cell r="Q14">
            <v>0</v>
          </cell>
          <cell r="S14">
            <v>0</v>
          </cell>
          <cell r="U14">
            <v>463.5</v>
          </cell>
          <cell r="W14">
            <v>1255</v>
          </cell>
          <cell r="X14">
            <v>1.7076591154261056</v>
          </cell>
          <cell r="Y14">
            <v>1739.6</v>
          </cell>
          <cell r="Z14">
            <v>0.38613545816733064</v>
          </cell>
          <cell r="AA14">
            <v>2288</v>
          </cell>
          <cell r="AB14">
            <v>0.31524488388135219</v>
          </cell>
          <cell r="AC14">
            <v>2603</v>
          </cell>
          <cell r="AD14">
            <v>0.13767482517482521</v>
          </cell>
          <cell r="AE14">
            <v>2889.3300000000004</v>
          </cell>
          <cell r="AF14">
            <v>0.11</v>
          </cell>
          <cell r="AG14">
            <v>3149.3697000000006</v>
          </cell>
          <cell r="AH14">
            <v>0.09</v>
          </cell>
          <cell r="AI14">
            <v>3338.3318820000009</v>
          </cell>
          <cell r="AJ14">
            <v>0.06</v>
          </cell>
          <cell r="AK14">
            <v>3455.1734978700006</v>
          </cell>
          <cell r="AL14">
            <v>3.5000000000000003E-2</v>
          </cell>
        </row>
        <row r="15">
          <cell r="B15" t="str">
            <v xml:space="preserve">Enbrel </v>
          </cell>
          <cell r="C15">
            <v>0</v>
          </cell>
          <cell r="E15">
            <v>0</v>
          </cell>
          <cell r="G15">
            <v>0</v>
          </cell>
          <cell r="I15">
            <v>0</v>
          </cell>
          <cell r="K15">
            <v>0</v>
          </cell>
          <cell r="M15">
            <v>0</v>
          </cell>
          <cell r="O15">
            <v>0</v>
          </cell>
          <cell r="Q15">
            <v>0</v>
          </cell>
          <cell r="S15">
            <v>0</v>
          </cell>
          <cell r="U15">
            <v>362.09999999999997</v>
          </cell>
          <cell r="W15">
            <v>1300</v>
          </cell>
          <cell r="X15">
            <v>2.5901684617508978</v>
          </cell>
          <cell r="Y15">
            <v>1900.3</v>
          </cell>
          <cell r="Z15">
            <v>0.46176923076923071</v>
          </cell>
          <cell r="AA15">
            <v>2573</v>
          </cell>
          <cell r="AB15">
            <v>0.35399673735725945</v>
          </cell>
          <cell r="AC15">
            <v>2793</v>
          </cell>
          <cell r="AD15">
            <v>8.5503303536727637E-2</v>
          </cell>
          <cell r="AE15">
            <v>3016.8307284116399</v>
          </cell>
          <cell r="AF15">
            <v>8.013989560030077E-2</v>
          </cell>
          <cell r="AG15">
            <v>3233.3473223083402</v>
          </cell>
          <cell r="AH15">
            <v>7.1769553345373271E-2</v>
          </cell>
          <cell r="AI15">
            <v>3421.4242764919281</v>
          </cell>
          <cell r="AJ15">
            <v>5.8167878497295655E-2</v>
          </cell>
          <cell r="AK15">
            <v>3609.367628534259</v>
          </cell>
          <cell r="AL15">
            <v>5.4931320074408818E-2</v>
          </cell>
          <cell r="AM15">
            <v>0.19989101492097358</v>
          </cell>
          <cell r="AN15">
            <v>7.0035697760095078E-2</v>
          </cell>
        </row>
        <row r="16">
          <cell r="B16" t="str">
            <v>Sensipar</v>
          </cell>
          <cell r="C16">
            <v>0</v>
          </cell>
          <cell r="E16">
            <v>0</v>
          </cell>
          <cell r="G16">
            <v>0</v>
          </cell>
          <cell r="I16">
            <v>0</v>
          </cell>
          <cell r="K16">
            <v>0</v>
          </cell>
          <cell r="M16">
            <v>0</v>
          </cell>
          <cell r="O16">
            <v>0</v>
          </cell>
          <cell r="Q16">
            <v>0</v>
          </cell>
          <cell r="S16">
            <v>0</v>
          </cell>
          <cell r="U16">
            <v>0</v>
          </cell>
          <cell r="W16">
            <v>0</v>
          </cell>
          <cell r="Y16">
            <v>35</v>
          </cell>
          <cell r="Z16" t="str">
            <v>NM</v>
          </cell>
          <cell r="AA16">
            <v>151</v>
          </cell>
          <cell r="AB16">
            <v>3.3142857142857141</v>
          </cell>
          <cell r="AC16">
            <v>283</v>
          </cell>
          <cell r="AD16">
            <v>0.8741721854304636</v>
          </cell>
          <cell r="AE16">
            <v>382.05</v>
          </cell>
          <cell r="AF16">
            <v>0.35</v>
          </cell>
          <cell r="AG16">
            <v>458.46</v>
          </cell>
          <cell r="AH16">
            <v>0.2</v>
          </cell>
          <cell r="AI16">
            <v>495.13679999999999</v>
          </cell>
          <cell r="AJ16">
            <v>0.08</v>
          </cell>
          <cell r="AK16">
            <v>519.89364</v>
          </cell>
          <cell r="AL16">
            <v>0.05</v>
          </cell>
        </row>
        <row r="17">
          <cell r="B17" t="str">
            <v>Palifermin</v>
          </cell>
          <cell r="C17">
            <v>0</v>
          </cell>
          <cell r="E17">
            <v>0</v>
          </cell>
          <cell r="G17">
            <v>0</v>
          </cell>
          <cell r="I17">
            <v>0</v>
          </cell>
          <cell r="K17">
            <v>0</v>
          </cell>
          <cell r="M17">
            <v>0</v>
          </cell>
          <cell r="O17">
            <v>0</v>
          </cell>
          <cell r="Q17">
            <v>0</v>
          </cell>
          <cell r="S17">
            <v>0</v>
          </cell>
          <cell r="U17">
            <v>0</v>
          </cell>
          <cell r="W17">
            <v>0</v>
          </cell>
          <cell r="Y17">
            <v>0</v>
          </cell>
          <cell r="Z17" t="str">
            <v>NM</v>
          </cell>
          <cell r="AA17">
            <v>32</v>
          </cell>
          <cell r="AC17">
            <v>73</v>
          </cell>
          <cell r="AE17">
            <v>98.550000000000011</v>
          </cell>
          <cell r="AF17">
            <v>0.35</v>
          </cell>
          <cell r="AG17">
            <v>123.18750000000001</v>
          </cell>
          <cell r="AH17">
            <v>0.25</v>
          </cell>
          <cell r="AI17">
            <v>166.30312500000002</v>
          </cell>
          <cell r="AJ17">
            <v>0.35</v>
          </cell>
          <cell r="AK17">
            <v>224.50921875000006</v>
          </cell>
          <cell r="AL17">
            <v>0.35</v>
          </cell>
        </row>
        <row r="18">
          <cell r="B18" t="str">
            <v>Panitumumab</v>
          </cell>
          <cell r="U18">
            <v>0</v>
          </cell>
          <cell r="W18">
            <v>0</v>
          </cell>
          <cell r="Y18">
            <v>0</v>
          </cell>
          <cell r="Z18" t="str">
            <v>NM</v>
          </cell>
          <cell r="AA18">
            <v>0</v>
          </cell>
          <cell r="AC18">
            <v>35</v>
          </cell>
          <cell r="AE18">
            <v>225</v>
          </cell>
          <cell r="AG18">
            <v>475</v>
          </cell>
          <cell r="AI18">
            <v>700</v>
          </cell>
          <cell r="AK18">
            <v>850</v>
          </cell>
        </row>
        <row r="19">
          <cell r="B19" t="str">
            <v>AMG162</v>
          </cell>
          <cell r="AC19">
            <v>0</v>
          </cell>
          <cell r="AG19">
            <v>0</v>
          </cell>
          <cell r="AI19">
            <v>350</v>
          </cell>
          <cell r="AK19">
            <v>850</v>
          </cell>
        </row>
        <row r="20">
          <cell r="B20" t="str">
            <v xml:space="preserve">Other </v>
          </cell>
          <cell r="C20">
            <v>0</v>
          </cell>
          <cell r="E20">
            <v>0</v>
          </cell>
          <cell r="G20">
            <v>0</v>
          </cell>
          <cell r="I20">
            <v>0</v>
          </cell>
          <cell r="K20">
            <v>3.3</v>
          </cell>
          <cell r="M20">
            <v>15.8</v>
          </cell>
          <cell r="O20">
            <v>27.1</v>
          </cell>
          <cell r="Q20">
            <v>16.3</v>
          </cell>
          <cell r="S20">
            <v>14.600000000000001</v>
          </cell>
          <cell r="U20">
            <v>109.8</v>
          </cell>
          <cell r="W20">
            <v>68</v>
          </cell>
          <cell r="X20">
            <v>-0.38069216757741342</v>
          </cell>
          <cell r="Y20">
            <v>53.2</v>
          </cell>
          <cell r="Z20">
            <v>-0.21764705882352942</v>
          </cell>
          <cell r="AA20">
            <v>34</v>
          </cell>
          <cell r="AB20">
            <v>-0.36090225563909772</v>
          </cell>
          <cell r="AC20">
            <v>17</v>
          </cell>
          <cell r="AD20">
            <v>-0.5</v>
          </cell>
          <cell r="AE20">
            <v>18.700000000000003</v>
          </cell>
          <cell r="AF20">
            <v>0.1</v>
          </cell>
          <cell r="AG20">
            <v>65.450000000000017</v>
          </cell>
          <cell r="AH20">
            <v>2.5</v>
          </cell>
          <cell r="AI20">
            <v>196.35000000000005</v>
          </cell>
          <cell r="AJ20">
            <v>2</v>
          </cell>
          <cell r="AK20">
            <v>392.7000000000001</v>
          </cell>
          <cell r="AL20">
            <v>1</v>
          </cell>
        </row>
        <row r="21">
          <cell r="B21" t="str">
            <v>Total Product Sales</v>
          </cell>
          <cell r="C21">
            <v>1306.3</v>
          </cell>
          <cell r="E21">
            <v>1549.5</v>
          </cell>
          <cell r="G21">
            <v>1818.6</v>
          </cell>
          <cell r="I21">
            <v>2088.1999999999998</v>
          </cell>
          <cell r="K21">
            <v>2219.8000000000002</v>
          </cell>
          <cell r="M21">
            <v>2514.5</v>
          </cell>
          <cell r="O21">
            <v>3042.7999999999997</v>
          </cell>
          <cell r="Q21">
            <v>3202.2</v>
          </cell>
          <cell r="S21">
            <v>3511</v>
          </cell>
          <cell r="U21">
            <v>4991.1999999999989</v>
          </cell>
          <cell r="W21">
            <v>7868.2</v>
          </cell>
          <cell r="X21">
            <v>0.57641448950152308</v>
          </cell>
          <cell r="Y21">
            <v>9976.7999999999993</v>
          </cell>
          <cell r="Z21">
            <v>0.26799013751556888</v>
          </cell>
          <cell r="AA21">
            <v>12022</v>
          </cell>
          <cell r="AB21">
            <v>0.20499558976826249</v>
          </cell>
          <cell r="AC21">
            <v>13419</v>
          </cell>
          <cell r="AD21">
            <v>0.11620362668441198</v>
          </cell>
          <cell r="AE21">
            <v>14740.578225807069</v>
          </cell>
          <cell r="AF21">
            <v>9.8485596974966061E-2</v>
          </cell>
          <cell r="AG21">
            <v>16050.044428631663</v>
          </cell>
          <cell r="AH21">
            <v>8.883411374813277E-2</v>
          </cell>
          <cell r="AI21">
            <v>17614.424729985178</v>
          </cell>
          <cell r="AJ21">
            <v>9.7468907846935071E-2</v>
          </cell>
          <cell r="AK21">
            <v>19212.312301994083</v>
          </cell>
          <cell r="AL21">
            <v>9.0714717994099914E-2</v>
          </cell>
        </row>
        <row r="22">
          <cell r="B22" t="str">
            <v>Corporate Partner Rev.</v>
          </cell>
          <cell r="C22">
            <v>48.6</v>
          </cell>
          <cell r="E22">
            <v>70.400000000000006</v>
          </cell>
          <cell r="G22">
            <v>85.2</v>
          </cell>
          <cell r="I22">
            <v>109.9</v>
          </cell>
          <cell r="K22">
            <v>125.9</v>
          </cell>
          <cell r="M22">
            <v>127.9</v>
          </cell>
          <cell r="O22">
            <v>161.4</v>
          </cell>
          <cell r="Q22">
            <v>246.2</v>
          </cell>
          <cell r="S22">
            <v>252</v>
          </cell>
          <cell r="U22">
            <v>200.3</v>
          </cell>
          <cell r="W22">
            <v>104.69999999999999</v>
          </cell>
          <cell r="X22">
            <v>-0.47728407388916638</v>
          </cell>
          <cell r="Y22">
            <v>137.9</v>
          </cell>
          <cell r="Z22">
            <v>0.31709646609360087</v>
          </cell>
          <cell r="AA22">
            <v>0</v>
          </cell>
          <cell r="AC22">
            <v>0</v>
          </cell>
          <cell r="AE22">
            <v>0</v>
          </cell>
          <cell r="AG22">
            <v>0</v>
          </cell>
          <cell r="AI22">
            <v>0</v>
          </cell>
          <cell r="AK22">
            <v>0</v>
          </cell>
        </row>
        <row r="23">
          <cell r="B23" t="str">
            <v>Royalties</v>
          </cell>
          <cell r="C23">
            <v>18.899999999999999</v>
          </cell>
          <cell r="E23">
            <v>27.9</v>
          </cell>
          <cell r="G23">
            <v>36.1</v>
          </cell>
          <cell r="I23">
            <v>41.7</v>
          </cell>
          <cell r="K23">
            <v>55.3</v>
          </cell>
          <cell r="M23">
            <v>75.900000000000006</v>
          </cell>
          <cell r="O23">
            <v>135.9</v>
          </cell>
          <cell r="Q23">
            <v>181</v>
          </cell>
          <cell r="S23">
            <v>252.7</v>
          </cell>
          <cell r="U23">
            <v>331.5</v>
          </cell>
          <cell r="W23">
            <v>383.1</v>
          </cell>
          <cell r="X23">
            <v>0.15565610859728518</v>
          </cell>
          <cell r="Y23">
            <v>435.2</v>
          </cell>
          <cell r="Z23">
            <v>0.13599582354476625</v>
          </cell>
          <cell r="AA23">
            <v>408</v>
          </cell>
          <cell r="AB23">
            <v>-6.25E-2</v>
          </cell>
          <cell r="AC23">
            <v>360</v>
          </cell>
          <cell r="AD23">
            <v>-0.11764705882352944</v>
          </cell>
          <cell r="AE23">
            <v>349.2</v>
          </cell>
          <cell r="AF23">
            <v>-0.03</v>
          </cell>
          <cell r="AG23">
            <v>321.26400000000001</v>
          </cell>
          <cell r="AH23">
            <v>-0.08</v>
          </cell>
          <cell r="AI23">
            <v>305.20080000000002</v>
          </cell>
          <cell r="AJ23">
            <v>-0.05</v>
          </cell>
          <cell r="AK23">
            <v>289.94076000000001</v>
          </cell>
          <cell r="AL23">
            <v>-0.05</v>
          </cell>
        </row>
        <row r="24">
          <cell r="B24" t="str">
            <v>Total Revenues</v>
          </cell>
          <cell r="C24">
            <v>1373.8</v>
          </cell>
          <cell r="D24" t="e">
            <v>#DIV/0!</v>
          </cell>
          <cell r="E24">
            <v>1647.8</v>
          </cell>
          <cell r="F24">
            <v>0.19944678992575349</v>
          </cell>
          <cell r="G24">
            <v>1939.8999999999999</v>
          </cell>
          <cell r="H24">
            <v>0.17726665857506974</v>
          </cell>
          <cell r="I24">
            <v>2239.7999999999997</v>
          </cell>
          <cell r="J24">
            <v>0.15459559771122211</v>
          </cell>
          <cell r="K24">
            <v>2401</v>
          </cell>
          <cell r="L24">
            <v>7.1970711670684917E-2</v>
          </cell>
          <cell r="M24">
            <v>2718.2</v>
          </cell>
          <cell r="N24">
            <v>0.13211162015826727</v>
          </cell>
          <cell r="O24">
            <v>3340.1</v>
          </cell>
          <cell r="P24">
            <v>0.22879111176513867</v>
          </cell>
          <cell r="Q24">
            <v>3629.3999999999996</v>
          </cell>
          <cell r="R24">
            <v>8.6614173228346303E-2</v>
          </cell>
          <cell r="S24">
            <v>4015.7</v>
          </cell>
          <cell r="T24">
            <v>0.10643632556345417</v>
          </cell>
          <cell r="U24">
            <v>5522.9999999999991</v>
          </cell>
          <cell r="V24">
            <v>0.37535174440321728</v>
          </cell>
          <cell r="W24">
            <v>8356</v>
          </cell>
          <cell r="X24">
            <v>0.51294586275574883</v>
          </cell>
          <cell r="Y24">
            <v>10549.9</v>
          </cell>
          <cell r="Z24">
            <v>0.26255385351842975</v>
          </cell>
          <cell r="AA24">
            <v>12430</v>
          </cell>
          <cell r="AB24">
            <v>0.17821022000208542</v>
          </cell>
          <cell r="AC24">
            <v>13779</v>
          </cell>
          <cell r="AD24">
            <v>0.10852775543041027</v>
          </cell>
          <cell r="AE24">
            <v>15089.778225807069</v>
          </cell>
          <cell r="AF24">
            <v>9.5128690457004783E-2</v>
          </cell>
          <cell r="AG24">
            <v>16371.308428631663</v>
          </cell>
          <cell r="AH24">
            <v>8.4927040255162511E-2</v>
          </cell>
          <cell r="AI24">
            <v>17919.625529985176</v>
          </cell>
          <cell r="AJ24">
            <v>9.4575037059693612E-2</v>
          </cell>
          <cell r="AK24">
            <v>19502.253061994084</v>
          </cell>
          <cell r="AL24">
            <v>8.8318114090089272E-2</v>
          </cell>
          <cell r="AO24" t="str">
            <v>mstag:revenueNet</v>
          </cell>
          <cell r="AP24">
            <v>6</v>
          </cell>
          <cell r="AQ24" t="str">
            <v>ISO4217:USD</v>
          </cell>
          <cell r="AR24" t="b">
            <v>0</v>
          </cell>
          <cell r="AS24" t="b">
            <v>0</v>
          </cell>
        </row>
        <row r="25">
          <cell r="B25" t="str">
            <v>Operating Expenses:</v>
          </cell>
        </row>
        <row r="26">
          <cell r="B26" t="str">
            <v xml:space="preserve">   Cost of Sales</v>
          </cell>
          <cell r="C26">
            <v>220</v>
          </cell>
          <cell r="E26">
            <v>238.1</v>
          </cell>
          <cell r="G26">
            <v>272.89999999999998</v>
          </cell>
          <cell r="I26">
            <v>283.2</v>
          </cell>
          <cell r="K26">
            <v>300.8</v>
          </cell>
          <cell r="M26">
            <v>345.2</v>
          </cell>
          <cell r="O26">
            <v>402.1</v>
          </cell>
          <cell r="Q26">
            <v>408.4</v>
          </cell>
          <cell r="S26">
            <v>443</v>
          </cell>
          <cell r="U26">
            <v>735.7</v>
          </cell>
          <cell r="W26">
            <v>1340.7</v>
          </cell>
          <cell r="X26">
            <v>0.82234606497213525</v>
          </cell>
          <cell r="Y26">
            <v>1731</v>
          </cell>
          <cell r="Z26">
            <v>0.29111658089057957</v>
          </cell>
          <cell r="AA26">
            <v>2035</v>
          </cell>
          <cell r="AB26">
            <v>0.17562102830733672</v>
          </cell>
          <cell r="AC26">
            <v>2275.2525000000001</v>
          </cell>
          <cell r="AD26">
            <v>0.11806019656019662</v>
          </cell>
          <cell r="AE26">
            <v>2471.3026127583394</v>
          </cell>
          <cell r="AF26">
            <v>8.6166310226376774E-2</v>
          </cell>
          <cell r="AG26">
            <v>2663.674218929084</v>
          </cell>
          <cell r="AH26">
            <v>7.7842189450052501E-2</v>
          </cell>
          <cell r="AI26">
            <v>2921.8139905241542</v>
          </cell>
          <cell r="AJ26">
            <v>9.6911164946760664E-2</v>
          </cell>
          <cell r="AK26">
            <v>3229.9239384968482</v>
          </cell>
          <cell r="AL26">
            <v>0.10545159581408581</v>
          </cell>
          <cell r="AO26" t="str">
            <v>mstag:costOfSalesWithDepreciation</v>
          </cell>
          <cell r="AP26">
            <v>6</v>
          </cell>
          <cell r="AQ26" t="str">
            <v>ISO4217:USD</v>
          </cell>
          <cell r="AR26" t="b">
            <v>0</v>
          </cell>
          <cell r="AS26" t="b">
            <v>0</v>
          </cell>
        </row>
        <row r="27">
          <cell r="B27" t="str">
            <v xml:space="preserve">   % of Product Revenues</v>
          </cell>
          <cell r="C27">
            <v>0.16841460613947792</v>
          </cell>
          <cell r="E27">
            <v>0.15366247176508552</v>
          </cell>
          <cell r="G27">
            <v>0.15006048608819972</v>
          </cell>
          <cell r="I27">
            <v>0.13561919356383489</v>
          </cell>
          <cell r="K27">
            <v>0.1355077033967024</v>
          </cell>
          <cell r="M27">
            <v>0.13728375422549213</v>
          </cell>
          <cell r="O27">
            <v>0.13214802155909033</v>
          </cell>
          <cell r="Q27">
            <v>0.1275373180938105</v>
          </cell>
          <cell r="S27">
            <v>0.12617487895186558</v>
          </cell>
          <cell r="U27">
            <v>0.14739942298445269</v>
          </cell>
          <cell r="W27">
            <v>0.1703947535649831</v>
          </cell>
          <cell r="Y27">
            <v>0.17335217705075778</v>
          </cell>
          <cell r="AA27">
            <v>0.16927299950091498</v>
          </cell>
          <cell r="AC27">
            <v>0.16955454951933827</v>
          </cell>
          <cell r="AE27">
            <v>0.1676530306275032</v>
          </cell>
          <cell r="AG27">
            <v>0.16596055112329516</v>
          </cell>
          <cell r="AI27">
            <v>0.1658762085797969</v>
          </cell>
          <cell r="AK27">
            <v>0.16811739720479185</v>
          </cell>
        </row>
        <row r="28">
          <cell r="B28" t="str">
            <v xml:space="preserve">   R&amp;D</v>
          </cell>
          <cell r="C28">
            <v>255.3</v>
          </cell>
          <cell r="E28">
            <v>323.60000000000002</v>
          </cell>
          <cell r="G28">
            <v>451.7</v>
          </cell>
          <cell r="I28">
            <v>528.29999999999995</v>
          </cell>
          <cell r="K28">
            <v>630.79999999999995</v>
          </cell>
          <cell r="M28">
            <v>663.3</v>
          </cell>
          <cell r="O28">
            <v>822.8</v>
          </cell>
          <cell r="Q28">
            <v>845</v>
          </cell>
          <cell r="S28">
            <v>865</v>
          </cell>
          <cell r="U28">
            <v>1116.5999999999999</v>
          </cell>
          <cell r="W28">
            <v>1655.4</v>
          </cell>
          <cell r="X28">
            <v>0.48253627082213879</v>
          </cell>
          <cell r="Y28">
            <v>2028</v>
          </cell>
          <cell r="Z28">
            <v>0.22508155128669793</v>
          </cell>
          <cell r="AA28">
            <v>2302</v>
          </cell>
          <cell r="AB28">
            <v>0.13510848126232733</v>
          </cell>
          <cell r="AC28">
            <v>3009</v>
          </cell>
          <cell r="AD28">
            <v>0.30712423979148573</v>
          </cell>
          <cell r="AE28">
            <v>3327.2960987904589</v>
          </cell>
          <cell r="AF28">
            <v>0.10578135553022894</v>
          </cell>
          <cell r="AG28">
            <v>3601.6878542989657</v>
          </cell>
          <cell r="AH28">
            <v>8.2466888236443436E-2</v>
          </cell>
          <cell r="AI28">
            <v>3897.5185527717758</v>
          </cell>
          <cell r="AJ28">
            <v>8.2136684365833545E-2</v>
          </cell>
          <cell r="AK28">
            <v>4192.984408328728</v>
          </cell>
          <cell r="AL28">
            <v>7.5808710479858377E-2</v>
          </cell>
          <cell r="AO28" t="str">
            <v>mstag:researchAndDevelopment</v>
          </cell>
          <cell r="AP28">
            <v>6</v>
          </cell>
          <cell r="AQ28" t="str">
            <v>ISO4217:USD</v>
          </cell>
          <cell r="AR28" t="b">
            <v>0</v>
          </cell>
          <cell r="AS28" t="b">
            <v>0</v>
          </cell>
        </row>
        <row r="29">
          <cell r="B29" t="str">
            <v xml:space="preserve">   % of Total Revenues</v>
          </cell>
          <cell r="C29">
            <v>0.18583491046731695</v>
          </cell>
          <cell r="E29">
            <v>0.19638305619614033</v>
          </cell>
          <cell r="G29">
            <v>0.23284705397185423</v>
          </cell>
          <cell r="I29">
            <v>0.23586927404232522</v>
          </cell>
          <cell r="K29">
            <v>0.26272386505622658</v>
          </cell>
          <cell r="M29">
            <v>0.24402177911853432</v>
          </cell>
          <cell r="O29">
            <v>0.24633992994221729</v>
          </cell>
          <cell r="Q29">
            <v>0.23282085193144875</v>
          </cell>
          <cell r="S29">
            <v>0.21540453719152328</v>
          </cell>
          <cell r="U29">
            <v>0.20217273221075505</v>
          </cell>
          <cell r="W29">
            <v>0.19810914313068456</v>
          </cell>
          <cell r="Y29">
            <v>0.19222931023042872</v>
          </cell>
          <cell r="AA29">
            <v>0.21</v>
          </cell>
          <cell r="AC29">
            <v>0.21837578924450252</v>
          </cell>
          <cell r="AE29">
            <v>0.2205</v>
          </cell>
          <cell r="AG29">
            <v>0.22</v>
          </cell>
          <cell r="AI29">
            <v>0.2175</v>
          </cell>
          <cell r="AK29">
            <v>0.215</v>
          </cell>
        </row>
        <row r="30">
          <cell r="B30" t="str">
            <v xml:space="preserve">   SG&amp;A</v>
          </cell>
          <cell r="C30">
            <v>114.3</v>
          </cell>
          <cell r="E30">
            <v>122.9</v>
          </cell>
          <cell r="G30">
            <v>418.4</v>
          </cell>
          <cell r="I30">
            <v>470.6</v>
          </cell>
          <cell r="K30">
            <v>483.8</v>
          </cell>
          <cell r="M30">
            <v>515.4</v>
          </cell>
          <cell r="O30">
            <v>654.29999999999995</v>
          </cell>
          <cell r="Q30">
            <v>826.9</v>
          </cell>
          <cell r="S30">
            <v>970.7</v>
          </cell>
          <cell r="U30">
            <v>1462.1</v>
          </cell>
          <cell r="W30">
            <v>1952.6</v>
          </cell>
          <cell r="X30">
            <v>0.3354763696053622</v>
          </cell>
          <cell r="Y30">
            <v>2556</v>
          </cell>
          <cell r="Z30">
            <v>0.30902386561507744</v>
          </cell>
          <cell r="AA30">
            <v>2792</v>
          </cell>
          <cell r="AB30">
            <v>9.2331768388106417E-2</v>
          </cell>
          <cell r="AC30">
            <v>3027.1130000000003</v>
          </cell>
          <cell r="AD30">
            <v>8.4209527220630465E-2</v>
          </cell>
          <cell r="AE30">
            <v>3266.9369858872305</v>
          </cell>
          <cell r="AF30">
            <v>7.9225316625851194E-2</v>
          </cell>
          <cell r="AG30">
            <v>3544.388274798755</v>
          </cell>
          <cell r="AH30">
            <v>8.4927040255162511E-2</v>
          </cell>
          <cell r="AI30">
            <v>4255.911063371479</v>
          </cell>
          <cell r="AJ30">
            <v>0.20074628776756209</v>
          </cell>
          <cell r="AK30">
            <v>4875.5632654985211</v>
          </cell>
          <cell r="AL30">
            <v>0.14559801483167312</v>
          </cell>
          <cell r="AO30" t="str">
            <v>mstag:sellingGeneralAndAdministrativeExpenses</v>
          </cell>
          <cell r="AP30">
            <v>6</v>
          </cell>
          <cell r="AQ30" t="str">
            <v>ISO4217:USD</v>
          </cell>
          <cell r="AR30" t="b">
            <v>0</v>
          </cell>
          <cell r="AS30" t="b">
            <v>0</v>
          </cell>
        </row>
        <row r="31">
          <cell r="B31" t="str">
            <v xml:space="preserve">   % of Total Revenues</v>
          </cell>
          <cell r="C31">
            <v>8.3199883534721214E-2</v>
          </cell>
          <cell r="E31">
            <v>7.4584294210462435E-2</v>
          </cell>
          <cell r="G31">
            <v>0.21568122068147844</v>
          </cell>
          <cell r="I31">
            <v>0.21010804536119301</v>
          </cell>
          <cell r="K31">
            <v>0.2014993752603082</v>
          </cell>
          <cell r="M31">
            <v>0.18961077183430211</v>
          </cell>
          <cell r="O31">
            <v>0.19589233855273794</v>
          </cell>
          <cell r="Q31">
            <v>0.22783380173031356</v>
          </cell>
          <cell r="S31">
            <v>0.2417262245685684</v>
          </cell>
          <cell r="U31">
            <v>0.26472931377874348</v>
          </cell>
          <cell r="W31">
            <v>0.23367640019147917</v>
          </cell>
          <cell r="Y31">
            <v>0.24227717798272971</v>
          </cell>
          <cell r="AA31">
            <v>0.23</v>
          </cell>
          <cell r="AC31">
            <v>0.21969032585819001</v>
          </cell>
          <cell r="AE31">
            <v>0.2165</v>
          </cell>
          <cell r="AG31">
            <v>0.2165</v>
          </cell>
          <cell r="AI31">
            <v>0.23749999999999999</v>
          </cell>
          <cell r="AK31">
            <v>0.25</v>
          </cell>
        </row>
        <row r="32">
          <cell r="B32" t="str">
            <v xml:space="preserve">   Loss of Affiliates, Net</v>
          </cell>
          <cell r="C32">
            <v>12.6</v>
          </cell>
          <cell r="E32">
            <v>31.2</v>
          </cell>
          <cell r="G32">
            <v>53.3</v>
          </cell>
          <cell r="I32">
            <v>52.8</v>
          </cell>
          <cell r="K32">
            <v>36.1</v>
          </cell>
          <cell r="M32">
            <v>28.6</v>
          </cell>
          <cell r="O32">
            <v>16.8</v>
          </cell>
          <cell r="Q32">
            <v>23.9</v>
          </cell>
          <cell r="S32">
            <v>2.7</v>
          </cell>
          <cell r="U32">
            <v>-12.6</v>
          </cell>
          <cell r="W32">
            <v>4.3</v>
          </cell>
          <cell r="X32" t="str">
            <v>NM</v>
          </cell>
          <cell r="Y32">
            <v>0</v>
          </cell>
          <cell r="AA32">
            <v>0</v>
          </cell>
          <cell r="AC32">
            <v>0</v>
          </cell>
          <cell r="AE32">
            <v>0</v>
          </cell>
          <cell r="AG32">
            <v>0</v>
          </cell>
          <cell r="AI32">
            <v>0</v>
          </cell>
          <cell r="AK32">
            <v>0</v>
          </cell>
          <cell r="AO32" t="str">
            <v>mstag:otherOperatingExpense</v>
          </cell>
          <cell r="AP32">
            <v>6</v>
          </cell>
          <cell r="AQ32" t="str">
            <v>ISO4217:USD</v>
          </cell>
          <cell r="AR32" t="b">
            <v>0</v>
          </cell>
          <cell r="AS32" t="b">
            <v>0</v>
          </cell>
        </row>
        <row r="33">
          <cell r="B33" t="str">
            <v xml:space="preserve">   Other </v>
          </cell>
          <cell r="C33">
            <v>-13.9</v>
          </cell>
          <cell r="E33">
            <v>116.4</v>
          </cell>
          <cell r="G33">
            <v>0</v>
          </cell>
          <cell r="I33">
            <v>0</v>
          </cell>
          <cell r="K33">
            <v>157</v>
          </cell>
          <cell r="M33">
            <v>-23</v>
          </cell>
          <cell r="O33">
            <v>-49</v>
          </cell>
          <cell r="Q33">
            <v>-18.8</v>
          </cell>
          <cell r="S33">
            <v>203.1</v>
          </cell>
          <cell r="U33">
            <v>-141.30000000000001</v>
          </cell>
          <cell r="W33">
            <v>-24</v>
          </cell>
          <cell r="Y33">
            <v>0</v>
          </cell>
          <cell r="AA33">
            <v>0</v>
          </cell>
          <cell r="AC33">
            <v>0</v>
          </cell>
          <cell r="AE33">
            <v>0</v>
          </cell>
          <cell r="AG33">
            <v>0</v>
          </cell>
          <cell r="AI33">
            <v>0</v>
          </cell>
          <cell r="AK33">
            <v>0</v>
          </cell>
          <cell r="AO33" t="str">
            <v>mstag:otherOperatingExpense</v>
          </cell>
          <cell r="AP33">
            <v>6</v>
          </cell>
          <cell r="AQ33" t="str">
            <v>ISO4217:USD</v>
          </cell>
          <cell r="AR33" t="b">
            <v>0</v>
          </cell>
          <cell r="AS33" t="b">
            <v>0</v>
          </cell>
        </row>
        <row r="34">
          <cell r="B34" t="str">
            <v>Total Operating Expenses</v>
          </cell>
          <cell r="C34">
            <v>588.29999999999995</v>
          </cell>
          <cell r="E34">
            <v>832.2</v>
          </cell>
          <cell r="G34">
            <v>1196.3</v>
          </cell>
          <cell r="I34">
            <v>1334.8999999999999</v>
          </cell>
          <cell r="K34">
            <v>1608.4999999999998</v>
          </cell>
          <cell r="M34">
            <v>1529.5</v>
          </cell>
          <cell r="O34">
            <v>1847</v>
          </cell>
          <cell r="Q34">
            <v>2085.4</v>
          </cell>
          <cell r="S34">
            <v>2484.5</v>
          </cell>
          <cell r="U34">
            <v>3160.5</v>
          </cell>
          <cell r="W34">
            <v>4929.0000000000009</v>
          </cell>
          <cell r="X34">
            <v>0.55956336022781228</v>
          </cell>
          <cell r="Y34">
            <v>6315</v>
          </cell>
          <cell r="Z34">
            <v>0.28119293974436976</v>
          </cell>
          <cell r="AA34">
            <v>7129</v>
          </cell>
          <cell r="AB34">
            <v>0.12889944576405377</v>
          </cell>
          <cell r="AC34">
            <v>8311.3654999999999</v>
          </cell>
          <cell r="AD34">
            <v>0.16585292467386736</v>
          </cell>
          <cell r="AE34">
            <v>9065.5356974360293</v>
          </cell>
          <cell r="AF34">
            <v>9.073962605013941E-2</v>
          </cell>
          <cell r="AG34">
            <v>9809.7503480268042</v>
          </cell>
          <cell r="AH34">
            <v>8.2092738413821253E-2</v>
          </cell>
          <cell r="AI34">
            <v>11075.243606667409</v>
          </cell>
          <cell r="AJ34">
            <v>0.12900361515266834</v>
          </cell>
          <cell r="AK34">
            <v>12298.471612324098</v>
          </cell>
          <cell r="AL34">
            <v>0.11044705192040127</v>
          </cell>
        </row>
        <row r="35">
          <cell r="B35" t="str">
            <v xml:space="preserve">Operating Income (Loss) </v>
          </cell>
          <cell r="C35">
            <v>785.5</v>
          </cell>
          <cell r="E35">
            <v>815.59999999999991</v>
          </cell>
          <cell r="G35">
            <v>743.59999999999991</v>
          </cell>
          <cell r="I35">
            <v>904.89999999999986</v>
          </cell>
          <cell r="K35">
            <v>792.50000000000023</v>
          </cell>
          <cell r="M35">
            <v>1188.6999999999998</v>
          </cell>
          <cell r="O35">
            <v>1493.1</v>
          </cell>
          <cell r="Q35">
            <v>1543.9999999999995</v>
          </cell>
          <cell r="S35">
            <v>1531.1999999999998</v>
          </cell>
          <cell r="U35">
            <v>2362.4999999999991</v>
          </cell>
          <cell r="W35">
            <v>3426.9999999999991</v>
          </cell>
          <cell r="X35">
            <v>0.45058201058201086</v>
          </cell>
          <cell r="Y35">
            <v>4234.8999999999996</v>
          </cell>
          <cell r="Z35">
            <v>0.23574555004377018</v>
          </cell>
          <cell r="AA35">
            <v>5301</v>
          </cell>
          <cell r="AB35">
            <v>0.25174148149897291</v>
          </cell>
          <cell r="AC35">
            <v>5467.6345000000001</v>
          </cell>
          <cell r="AD35">
            <v>3.143454065270701E-2</v>
          </cell>
          <cell r="AE35">
            <v>6024.24252837104</v>
          </cell>
          <cell r="AF35">
            <v>0.10180051873822937</v>
          </cell>
          <cell r="AG35">
            <v>6561.5580806048583</v>
          </cell>
          <cell r="AH35">
            <v>8.919221789350984E-2</v>
          </cell>
          <cell r="AI35">
            <v>6844.3819233177674</v>
          </cell>
          <cell r="AJ35">
            <v>4.3103153128964955E-2</v>
          </cell>
          <cell r="AK35">
            <v>7203.7814496699866</v>
          </cell>
          <cell r="AL35">
            <v>5.2510150716136961E-2</v>
          </cell>
        </row>
        <row r="36">
          <cell r="B36" t="str">
            <v>Operatin Margins</v>
          </cell>
          <cell r="C36">
            <v>0.57177172805357401</v>
          </cell>
          <cell r="E36">
            <v>0.49496298094428931</v>
          </cell>
          <cell r="G36">
            <v>0.38331872776947262</v>
          </cell>
          <cell r="I36">
            <v>0.40400928654344137</v>
          </cell>
          <cell r="K36">
            <v>0.33007080383173687</v>
          </cell>
          <cell r="M36">
            <v>0.43731145611066141</v>
          </cell>
          <cell r="O36">
            <v>0.44702254423520255</v>
          </cell>
          <cell r="Q36">
            <v>0.42541466909130976</v>
          </cell>
          <cell r="S36">
            <v>0.38130338421694843</v>
          </cell>
          <cell r="U36">
            <v>0.42775665399239532</v>
          </cell>
          <cell r="W36">
            <v>0.41012446146481557</v>
          </cell>
          <cell r="Y36">
            <v>0.40141612716708214</v>
          </cell>
          <cell r="AA36">
            <v>0.42646822204344326</v>
          </cell>
          <cell r="AC36">
            <v>0.39680923869656726</v>
          </cell>
          <cell r="AE36">
            <v>0.39922671083847799</v>
          </cell>
          <cell r="AG36">
            <v>0.40079619226581775</v>
          </cell>
          <cell r="AI36">
            <v>0.38194893703916755</v>
          </cell>
          <cell r="AK36">
            <v>0.36938201072309373</v>
          </cell>
        </row>
        <row r="37">
          <cell r="B37" t="str">
            <v xml:space="preserve">   Interest, Other Income</v>
          </cell>
          <cell r="C37">
            <v>27.2</v>
          </cell>
          <cell r="E37">
            <v>21.5</v>
          </cell>
          <cell r="G37">
            <v>66.099999999999994</v>
          </cell>
          <cell r="I37">
            <v>63.6</v>
          </cell>
          <cell r="K37">
            <v>72.599999999999994</v>
          </cell>
          <cell r="M37">
            <v>45.7</v>
          </cell>
          <cell r="O37">
            <v>88.3</v>
          </cell>
          <cell r="Q37">
            <v>146.19999999999999</v>
          </cell>
          <cell r="S37">
            <v>168.7</v>
          </cell>
          <cell r="U37">
            <v>144.19999999999999</v>
          </cell>
          <cell r="W37">
            <v>113.4</v>
          </cell>
          <cell r="X37">
            <v>-0.21359223300970864</v>
          </cell>
          <cell r="Y37">
            <v>99.7</v>
          </cell>
          <cell r="AA37">
            <v>157</v>
          </cell>
          <cell r="AC37">
            <v>329</v>
          </cell>
          <cell r="AE37">
            <v>210.7171588806757</v>
          </cell>
          <cell r="AG37">
            <v>265.32581027251831</v>
          </cell>
          <cell r="AI37">
            <v>323.62060238808283</v>
          </cell>
          <cell r="AK37">
            <v>403.8061044023068</v>
          </cell>
          <cell r="AO37" t="str">
            <v>mstag:interestAndDividendIncome</v>
          </cell>
          <cell r="AP37">
            <v>6</v>
          </cell>
          <cell r="AQ37" t="str">
            <v>ISO4217:USD</v>
          </cell>
          <cell r="AR37" t="b">
            <v>0</v>
          </cell>
          <cell r="AS37" t="b">
            <v>0</v>
          </cell>
        </row>
        <row r="38">
          <cell r="B38" t="str">
            <v xml:space="preserve">   Interest, Other Expense</v>
          </cell>
          <cell r="C38">
            <v>-6.2</v>
          </cell>
          <cell r="E38">
            <v>-12</v>
          </cell>
          <cell r="G38">
            <v>-15.3</v>
          </cell>
          <cell r="I38">
            <v>-6.2</v>
          </cell>
          <cell r="K38">
            <v>-3.7</v>
          </cell>
          <cell r="M38">
            <v>-10</v>
          </cell>
          <cell r="O38">
            <v>-15.2</v>
          </cell>
          <cell r="Q38">
            <v>-15.9</v>
          </cell>
          <cell r="S38">
            <v>-13.6</v>
          </cell>
          <cell r="U38">
            <v>-44.2</v>
          </cell>
          <cell r="W38">
            <v>-31.5</v>
          </cell>
          <cell r="X38">
            <v>-0.28733031674208154</v>
          </cell>
          <cell r="Y38">
            <v>-52.5</v>
          </cell>
          <cell r="AA38">
            <v>-137</v>
          </cell>
          <cell r="AC38">
            <v>-136</v>
          </cell>
          <cell r="AE38">
            <v>-128.80025000000001</v>
          </cell>
          <cell r="AG38">
            <v>-128.80025000000001</v>
          </cell>
          <cell r="AI38">
            <v>-88.888750000000002</v>
          </cell>
          <cell r="AK38">
            <v>-88.888750000000002</v>
          </cell>
          <cell r="AO38" t="str">
            <v>mstag:interestExpense</v>
          </cell>
          <cell r="AP38">
            <v>6</v>
          </cell>
          <cell r="AQ38" t="str">
            <v>ISO4217:USD</v>
          </cell>
          <cell r="AR38" t="b">
            <v>1</v>
          </cell>
          <cell r="AS38" t="b">
            <v>0</v>
          </cell>
        </row>
        <row r="39">
          <cell r="B39" t="str">
            <v xml:space="preserve">Pretax Income (Loss) </v>
          </cell>
          <cell r="C39">
            <v>806.5</v>
          </cell>
          <cell r="E39">
            <v>825.09999999999991</v>
          </cell>
          <cell r="G39">
            <v>794.4</v>
          </cell>
          <cell r="I39">
            <v>962.29999999999984</v>
          </cell>
          <cell r="K39">
            <v>861.4000000000002</v>
          </cell>
          <cell r="M39">
            <v>1224.3999999999999</v>
          </cell>
          <cell r="O39">
            <v>1566.1999999999998</v>
          </cell>
          <cell r="Q39">
            <v>1674.2999999999995</v>
          </cell>
          <cell r="S39">
            <v>1686.3</v>
          </cell>
          <cell r="U39">
            <v>2462.4999999999991</v>
          </cell>
          <cell r="V39">
            <v>0.46029769317440494</v>
          </cell>
          <cell r="W39">
            <v>3508.8999999999992</v>
          </cell>
          <cell r="X39">
            <v>0.42493401015228449</v>
          </cell>
          <cell r="Y39">
            <v>4282.0999999999995</v>
          </cell>
          <cell r="Z39">
            <v>0.2203539570805666</v>
          </cell>
          <cell r="AA39">
            <v>5321</v>
          </cell>
          <cell r="AB39">
            <v>0.24261460498353626</v>
          </cell>
          <cell r="AC39">
            <v>5660.6345000000001</v>
          </cell>
          <cell r="AD39">
            <v>6.3829073482428056E-2</v>
          </cell>
          <cell r="AE39">
            <v>6106.1594372517156</v>
          </cell>
          <cell r="AF39">
            <v>7.8705830106451158E-2</v>
          </cell>
          <cell r="AG39">
            <v>6698.0836408773766</v>
          </cell>
          <cell r="AH39">
            <v>9.6938871267350457E-2</v>
          </cell>
          <cell r="AI39">
            <v>7079.1137757058505</v>
          </cell>
          <cell r="AJ39">
            <v>5.6886440250328629E-2</v>
          </cell>
          <cell r="AK39">
            <v>7518.6988040722936</v>
          </cell>
          <cell r="AL39">
            <v>6.2096053587246125E-2</v>
          </cell>
        </row>
        <row r="40">
          <cell r="B40" t="str">
            <v xml:space="preserve">   Provision For Income Taxes</v>
          </cell>
          <cell r="C40">
            <v>217.8</v>
          </cell>
          <cell r="E40">
            <v>268.60000000000002</v>
          </cell>
          <cell r="G40">
            <v>256.7</v>
          </cell>
          <cell r="I40">
            <v>282.5</v>
          </cell>
          <cell r="K40">
            <v>217.1</v>
          </cell>
          <cell r="M40">
            <v>361.2</v>
          </cell>
          <cell r="O40">
            <v>469.8</v>
          </cell>
          <cell r="Q40">
            <v>535.79999999999995</v>
          </cell>
          <cell r="S40">
            <v>566.6</v>
          </cell>
          <cell r="U40">
            <v>707.4</v>
          </cell>
          <cell r="W40">
            <v>913.6</v>
          </cell>
          <cell r="X40">
            <v>0.29148996324568843</v>
          </cell>
          <cell r="Y40">
            <v>1175.3</v>
          </cell>
          <cell r="AA40">
            <v>1298</v>
          </cell>
          <cell r="AC40">
            <v>1325.1413175</v>
          </cell>
          <cell r="AE40">
            <v>1434.9474677541532</v>
          </cell>
          <cell r="AG40">
            <v>1540.5592374017967</v>
          </cell>
          <cell r="AI40">
            <v>1592.8005995338165</v>
          </cell>
          <cell r="AK40">
            <v>1687.9478815142299</v>
          </cell>
          <cell r="AO40" t="str">
            <v>mstag:taxExpenseIncome</v>
          </cell>
          <cell r="AP40">
            <v>6</v>
          </cell>
          <cell r="AQ40" t="str">
            <v>ISO4217:USD</v>
          </cell>
          <cell r="AR40" t="b">
            <v>0</v>
          </cell>
          <cell r="AS40" t="b">
            <v>0</v>
          </cell>
        </row>
        <row r="41">
          <cell r="B41" t="str">
            <v xml:space="preserve">   Effective Tax Rate</v>
          </cell>
          <cell r="C41">
            <v>0.27005579665220086</v>
          </cell>
          <cell r="E41">
            <v>0.32553629863046912</v>
          </cell>
          <cell r="G41">
            <v>0.32313695871097681</v>
          </cell>
          <cell r="I41">
            <v>0.29356749454432096</v>
          </cell>
          <cell r="K41">
            <v>0.25203157650336655</v>
          </cell>
          <cell r="M41">
            <v>0.29500163345311992</v>
          </cell>
          <cell r="O41">
            <v>0.29996169071638362</v>
          </cell>
          <cell r="Q41">
            <v>0.32001433434868309</v>
          </cell>
          <cell r="S41">
            <v>0.33600189764573329</v>
          </cell>
          <cell r="U41">
            <v>0.28726903553299504</v>
          </cell>
          <cell r="W41">
            <v>0.28792033027638597</v>
          </cell>
          <cell r="Y41">
            <v>0.27179593913325006</v>
          </cell>
          <cell r="AA41">
            <v>0.24393910919000189</v>
          </cell>
          <cell r="AC41">
            <v>0.2340976647582528</v>
          </cell>
          <cell r="AE41">
            <v>0.23499999999999999</v>
          </cell>
          <cell r="AG41">
            <v>0.23</v>
          </cell>
          <cell r="AI41">
            <v>0.22500000000000001</v>
          </cell>
          <cell r="AK41">
            <v>0.22450000000000001</v>
          </cell>
        </row>
        <row r="42">
          <cell r="B42" t="str">
            <v>Net Income (Loss)</v>
          </cell>
          <cell r="C42">
            <v>588.70000000000005</v>
          </cell>
          <cell r="E42">
            <v>556.49999999999989</v>
          </cell>
          <cell r="G42">
            <v>537.70000000000005</v>
          </cell>
          <cell r="I42">
            <v>679.79999999999984</v>
          </cell>
          <cell r="K42">
            <v>644.30000000000018</v>
          </cell>
          <cell r="M42">
            <v>863.19999999999982</v>
          </cell>
          <cell r="O42">
            <v>1096.3999999999999</v>
          </cell>
          <cell r="Q42">
            <v>1138.4999999999995</v>
          </cell>
          <cell r="S42">
            <v>1119.6999999999998</v>
          </cell>
          <cell r="U42">
            <v>1755.099999999999</v>
          </cell>
          <cell r="W42">
            <v>2595.2999999999993</v>
          </cell>
          <cell r="X42">
            <v>0.47871916130135084</v>
          </cell>
          <cell r="Y42">
            <v>3106.7999999999993</v>
          </cell>
          <cell r="Z42">
            <v>0.19708704196046711</v>
          </cell>
          <cell r="AA42">
            <v>4023</v>
          </cell>
          <cell r="AB42">
            <v>0.29490150637311729</v>
          </cell>
          <cell r="AC42">
            <v>4335.4931825000003</v>
          </cell>
          <cell r="AD42">
            <v>7.7676654859557548E-2</v>
          </cell>
          <cell r="AE42">
            <v>4671.2119694975627</v>
          </cell>
          <cell r="AF42">
            <v>7.7434970570977812E-2</v>
          </cell>
          <cell r="AG42">
            <v>5157.5244034755797</v>
          </cell>
          <cell r="AH42">
            <v>0.1041084063736728</v>
          </cell>
          <cell r="AI42">
            <v>5486.3131761720342</v>
          </cell>
          <cell r="AJ42">
            <v>6.3749339212993084E-2</v>
          </cell>
          <cell r="AK42">
            <v>5830.7509225580634</v>
          </cell>
          <cell r="AL42">
            <v>6.2781276847625023E-2</v>
          </cell>
        </row>
        <row r="44">
          <cell r="B44" t="str">
            <v>EPS, basic</v>
          </cell>
          <cell r="C44">
            <v>0.51244777158774379</v>
          </cell>
          <cell r="E44">
            <v>0.49758583690987113</v>
          </cell>
          <cell r="G44">
            <v>0.47889205557534742</v>
          </cell>
          <cell r="I44">
            <v>0.64156285390713463</v>
          </cell>
          <cell r="K44">
            <v>0.60990155244225686</v>
          </cell>
          <cell r="M44">
            <v>0.84644047852520088</v>
          </cell>
          <cell r="O44">
            <v>1.0731134383870018</v>
          </cell>
          <cell r="Q44">
            <v>1.1057692307692304</v>
          </cell>
          <cell r="S44">
            <v>1.0709708273553322</v>
          </cell>
          <cell r="U44">
            <v>1.5215431296055475</v>
          </cell>
          <cell r="W44">
            <v>2.0143588947531814</v>
          </cell>
          <cell r="X44">
            <v>0.32389207743022963</v>
          </cell>
          <cell r="Y44">
            <v>2.4450478101758937</v>
          </cell>
          <cell r="Z44">
            <v>0.21380942420168103</v>
          </cell>
          <cell r="AA44">
            <v>3.2548543689320391</v>
          </cell>
          <cell r="AB44">
            <v>0.33120275005906286</v>
          </cell>
          <cell r="AC44">
            <v>3.731777351192334</v>
          </cell>
          <cell r="AD44">
            <v>0.14652667314783119</v>
          </cell>
          <cell r="AE44">
            <v>4.1673836241099211</v>
          </cell>
          <cell r="AF44">
            <v>0.11672890205478281</v>
          </cell>
          <cell r="AG44">
            <v>4.7082436114742245</v>
          </cell>
          <cell r="AH44">
            <v>0.12978406505108375</v>
          </cell>
          <cell r="AI44">
            <v>5.1215025778275436</v>
          </cell>
          <cell r="AJ44">
            <v>8.7773488471621697E-2</v>
          </cell>
          <cell r="AK44">
            <v>5.5598159963447911</v>
          </cell>
          <cell r="AL44">
            <v>8.5582973327951173E-2</v>
          </cell>
        </row>
        <row r="45">
          <cell r="B45" t="str">
            <v>EPS, diluted</v>
          </cell>
          <cell r="C45">
            <v>0.50996188496188499</v>
          </cell>
          <cell r="D45" t="e">
            <v>#DIV/0!</v>
          </cell>
          <cell r="E45">
            <v>0.49300141743444359</v>
          </cell>
          <cell r="F45">
            <v>-3.3258304252893445E-2</v>
          </cell>
          <cell r="G45">
            <v>0.49676644493717664</v>
          </cell>
          <cell r="H45">
            <v>7.6369506650226793E-3</v>
          </cell>
          <cell r="I45">
            <v>0.6054506590666191</v>
          </cell>
          <cell r="J45">
            <v>0.21878332410955648</v>
          </cell>
          <cell r="K45">
            <v>0.58658048069919899</v>
          </cell>
          <cell r="L45">
            <v>-3.1167161328242599E-2</v>
          </cell>
          <cell r="M45">
            <v>0.81665089877010388</v>
          </cell>
          <cell r="N45">
            <v>0.3922231060206145</v>
          </cell>
          <cell r="O45">
            <v>1.0167856811647964</v>
          </cell>
          <cell r="P45">
            <v>0.24506773052732855</v>
          </cell>
          <cell r="Q45">
            <v>1.0495989674564392</v>
          </cell>
          <cell r="R45">
            <v>3.227158574268385E-2</v>
          </cell>
          <cell r="S45">
            <v>1.0327430363401584</v>
          </cell>
          <cell r="T45">
            <v>-1.6059401389398209E-2</v>
          </cell>
          <cell r="U45">
            <v>1.5215431296055475</v>
          </cell>
          <cell r="V45">
            <v>0.47330272494269443</v>
          </cell>
          <cell r="W45">
            <v>1.9281575037147096</v>
          </cell>
          <cell r="X45">
            <v>0.26723815197704903</v>
          </cell>
          <cell r="Y45">
            <v>2.36950115525927</v>
          </cell>
          <cell r="Z45">
            <v>0.22889398334642563</v>
          </cell>
          <cell r="AA45">
            <v>3.2027027027027026</v>
          </cell>
          <cell r="AB45">
            <v>0.35163584773701628</v>
          </cell>
          <cell r="AC45">
            <v>3.6698689952539394</v>
          </cell>
          <cell r="AD45">
            <v>0.14586626856030183</v>
          </cell>
          <cell r="AE45">
            <v>4.1013211403748855</v>
          </cell>
          <cell r="AF45">
            <v>0.11756608905629107</v>
          </cell>
          <cell r="AG45">
            <v>4.6347096976234399</v>
          </cell>
          <cell r="AH45">
            <v>0.13005286320978016</v>
          </cell>
          <cell r="AI45">
            <v>5.0526778224740756</v>
          </cell>
          <cell r="AJ45">
            <v>9.0182158564312997E-2</v>
          </cell>
          <cell r="AK45">
            <v>5.4875839896915242</v>
          </cell>
          <cell r="AL45">
            <v>8.607439114423765E-2</v>
          </cell>
          <cell r="AM45">
            <v>0.1311025203958521</v>
          </cell>
          <cell r="AO45" t="str">
            <v>mstag:adjEpsForConsensus</v>
          </cell>
          <cell r="AP45">
            <v>0</v>
          </cell>
          <cell r="AQ45" t="str">
            <v>ISO4217:USD</v>
          </cell>
          <cell r="AR45" t="b">
            <v>0</v>
          </cell>
          <cell r="AS45" t="b">
            <v>0</v>
          </cell>
        </row>
        <row r="47">
          <cell r="B47" t="str">
            <v xml:space="preserve">  Options expense</v>
          </cell>
          <cell r="AC47">
            <v>294.91779250000002</v>
          </cell>
          <cell r="AE47">
            <v>271.96607092308085</v>
          </cell>
          <cell r="AG47">
            <v>294.29251044080411</v>
          </cell>
          <cell r="AI47">
            <v>332.25730820002224</v>
          </cell>
          <cell r="AK47">
            <v>368.95414836972293</v>
          </cell>
          <cell r="AO47" t="str">
            <v>mstag:stockCompensation</v>
          </cell>
          <cell r="AP47">
            <v>6</v>
          </cell>
          <cell r="AQ47" t="str">
            <v>ISO4217:USD</v>
          </cell>
          <cell r="AR47" t="b">
            <v>0</v>
          </cell>
          <cell r="AS47" t="b">
            <v>0</v>
          </cell>
        </row>
        <row r="48">
          <cell r="B48" t="str">
            <v>% of operating expense</v>
          </cell>
          <cell r="AC48">
            <v>3.5483675035107048E-2</v>
          </cell>
          <cell r="AE48">
            <v>0.03</v>
          </cell>
          <cell r="AG48">
            <v>0.03</v>
          </cell>
          <cell r="AI48">
            <v>0.03</v>
          </cell>
          <cell r="AK48">
            <v>0.03</v>
          </cell>
        </row>
        <row r="49">
          <cell r="B49" t="str">
            <v>Net Income (incl options exp)</v>
          </cell>
          <cell r="AC49">
            <v>4040.5753900000004</v>
          </cell>
          <cell r="AE49">
            <v>4399.2458985744815</v>
          </cell>
          <cell r="AG49">
            <v>4863.2318930347756</v>
          </cell>
          <cell r="AI49">
            <v>5154.0558679720116</v>
          </cell>
          <cell r="AK49">
            <v>5461.7967741883404</v>
          </cell>
        </row>
        <row r="51">
          <cell r="B51" t="str">
            <v>EPS, diluted (incl option exp)</v>
          </cell>
          <cell r="AC51">
            <v>3.4469575326902331</v>
          </cell>
          <cell r="AE51">
            <v>3.8627394026015285</v>
          </cell>
          <cell r="AG51">
            <v>4.3704543642262941</v>
          </cell>
          <cell r="AI51">
            <v>4.7469048950237553</v>
          </cell>
          <cell r="AK51">
            <v>5.1405825659124416</v>
          </cell>
        </row>
        <row r="52">
          <cell r="B52" t="str">
            <v>EPS, GAAP, Diluted (incl option exp)</v>
          </cell>
          <cell r="C52">
            <v>0.50996188496188499</v>
          </cell>
          <cell r="E52">
            <v>0.49300141743444359</v>
          </cell>
          <cell r="G52">
            <v>0.49676644493717664</v>
          </cell>
          <cell r="I52">
            <v>0.6054506590666191</v>
          </cell>
          <cell r="K52">
            <v>0.58658048069919899</v>
          </cell>
          <cell r="M52">
            <v>0.81665089877010388</v>
          </cell>
          <cell r="O52">
            <v>1.0167856811647964</v>
          </cell>
          <cell r="Q52">
            <v>1.0495989674564392</v>
          </cell>
          <cell r="S52">
            <v>1.0327430363401584</v>
          </cell>
          <cell r="U52">
            <v>-1.2066753359341147</v>
          </cell>
          <cell r="W52">
            <v>1.6939078751857348</v>
          </cell>
          <cell r="Y52">
            <v>1.8057346312639668</v>
          </cell>
          <cell r="AA52">
            <v>2.9252782193958664</v>
          </cell>
          <cell r="AC52">
            <v>2.8409196338463318</v>
          </cell>
          <cell r="AE52">
            <v>3.6709641803555715</v>
          </cell>
          <cell r="AG52">
            <v>4.1741569513311401</v>
          </cell>
          <cell r="AI52">
            <v>4.5457203972860176</v>
          </cell>
          <cell r="AK52">
            <v>4.9349798329237098</v>
          </cell>
        </row>
        <row r="54">
          <cell r="B54" t="str">
            <v xml:space="preserve">Basic Shares Outstanding </v>
          </cell>
          <cell r="C54">
            <v>1148.8</v>
          </cell>
          <cell r="E54">
            <v>1118.4000000000001</v>
          </cell>
          <cell r="G54">
            <v>1122.8</v>
          </cell>
          <cell r="I54">
            <v>1059.5999999999999</v>
          </cell>
          <cell r="K54">
            <v>1056.4000000000001</v>
          </cell>
          <cell r="M54">
            <v>1019.8</v>
          </cell>
          <cell r="O54">
            <v>1021.7</v>
          </cell>
          <cell r="Q54">
            <v>1029.5999999999999</v>
          </cell>
          <cell r="S54">
            <v>1045.5</v>
          </cell>
          <cell r="U54">
            <v>1153.5</v>
          </cell>
          <cell r="W54">
            <v>1288.4000000000001</v>
          </cell>
          <cell r="X54">
            <v>0.11694841785869103</v>
          </cell>
          <cell r="Y54">
            <v>1270.6500000000001</v>
          </cell>
          <cell r="Z54">
            <v>-1.3776777398323503E-2</v>
          </cell>
          <cell r="AA54">
            <v>1236</v>
          </cell>
          <cell r="AB54">
            <v>-2.726950773226311E-2</v>
          </cell>
          <cell r="AC54">
            <v>1161.7770232500002</v>
          </cell>
          <cell r="AD54">
            <v>-6.0050952063106622E-2</v>
          </cell>
          <cell r="AE54">
            <v>1120.8980000000001</v>
          </cell>
          <cell r="AF54">
            <v>-3.5186634295489405E-2</v>
          </cell>
          <cell r="AG54">
            <v>1095.4242875</v>
          </cell>
          <cell r="AH54">
            <v>-2.2726164646560298E-2</v>
          </cell>
          <cell r="AI54">
            <v>1071.23116562</v>
          </cell>
          <cell r="AJ54">
            <v>-2.2085617560310022E-2</v>
          </cell>
          <cell r="AK54">
            <v>1048.7309159855999</v>
          </cell>
          <cell r="AL54">
            <v>-2.1004102901895583E-2</v>
          </cell>
          <cell r="AM54" t="str">
            <v>CAGR</v>
          </cell>
          <cell r="AN54" t="str">
            <v>Target PEG</v>
          </cell>
          <cell r="AO54" t="str">
            <v>mstag:averageBasicSharesOutstanding</v>
          </cell>
          <cell r="AP54">
            <v>6</v>
          </cell>
          <cell r="AQ54" t="str">
            <v>ms_eqr_gcim_Decimal:ms_eqr_gcim_decimal</v>
          </cell>
          <cell r="AR54" t="b">
            <v>0</v>
          </cell>
          <cell r="AS54" t="b">
            <v>0</v>
          </cell>
        </row>
        <row r="55">
          <cell r="B55" t="str">
            <v>Diluted Shares Outstanding</v>
          </cell>
          <cell r="C55">
            <v>1154.4000000000001</v>
          </cell>
          <cell r="E55">
            <v>1128.8</v>
          </cell>
          <cell r="G55">
            <v>1082.4000000000001</v>
          </cell>
          <cell r="I55">
            <v>1122.8</v>
          </cell>
          <cell r="K55">
            <v>1098.4000000000001</v>
          </cell>
          <cell r="M55">
            <v>1057</v>
          </cell>
          <cell r="O55">
            <v>1078.3</v>
          </cell>
          <cell r="Q55">
            <v>1084.7</v>
          </cell>
          <cell r="S55">
            <v>1084.2</v>
          </cell>
          <cell r="U55">
            <v>1153.5</v>
          </cell>
          <cell r="W55">
            <v>1346</v>
          </cell>
          <cell r="X55">
            <v>0.16688339835283927</v>
          </cell>
          <cell r="Y55">
            <v>1320.05</v>
          </cell>
          <cell r="Z55">
            <v>-1.9279346210995585E-2</v>
          </cell>
          <cell r="AA55">
            <v>1258</v>
          </cell>
          <cell r="AB55">
            <v>-4.7005795235028902E-2</v>
          </cell>
          <cell r="AC55">
            <v>1173.37546275</v>
          </cell>
          <cell r="AD55">
            <v>-6.726910751192372E-2</v>
          </cell>
          <cell r="AE55">
            <v>1139.9282839554037</v>
          </cell>
          <cell r="AF55">
            <v>-2.8505094793960795E-2</v>
          </cell>
          <cell r="AG55">
            <v>1113.6672499945955</v>
          </cell>
          <cell r="AH55">
            <v>-2.3037443960672532E-2</v>
          </cell>
          <cell r="AI55">
            <v>1086.6145376915538</v>
          </cell>
          <cell r="AJ55">
            <v>-2.4291557736992875E-2</v>
          </cell>
          <cell r="AK55">
            <v>1063.2640764166335</v>
          </cell>
          <cell r="AL55">
            <v>-2.1489185414845347E-2</v>
          </cell>
          <cell r="AM55">
            <v>0.11371203000907149</v>
          </cell>
          <cell r="AN55">
            <v>1.6</v>
          </cell>
          <cell r="AO55" t="str">
            <v>mstag:averageDilutedSharesOutstanding</v>
          </cell>
          <cell r="AP55">
            <v>6</v>
          </cell>
          <cell r="AQ55" t="str">
            <v>ms_eqr_gcim_Decimal:ms_eqr_gcim_decimal</v>
          </cell>
          <cell r="AR55" t="b">
            <v>0</v>
          </cell>
          <cell r="AS55" t="b">
            <v>0</v>
          </cell>
        </row>
        <row r="56">
          <cell r="AN56" t="str">
            <v>Traget PE</v>
          </cell>
        </row>
        <row r="57">
          <cell r="AN57">
            <v>18.193924801451438</v>
          </cell>
        </row>
        <row r="58">
          <cell r="W58" t="str">
            <v>2003-FY</v>
          </cell>
          <cell r="Y58" t="str">
            <v>2004-FY</v>
          </cell>
          <cell r="AA58" t="str">
            <v>2005-FY</v>
          </cell>
          <cell r="AC58" t="str">
            <v>2006-FY</v>
          </cell>
          <cell r="AE58" t="str">
            <v>2007-FY</v>
          </cell>
          <cell r="AG58" t="str">
            <v>2008-FY</v>
          </cell>
          <cell r="AI58" t="str">
            <v>2009-FY</v>
          </cell>
          <cell r="AK58" t="str">
            <v>2010-FY</v>
          </cell>
        </row>
        <row r="59">
          <cell r="AN59" t="str">
            <v>2005 Target</v>
          </cell>
        </row>
        <row r="60">
          <cell r="B60" t="str">
            <v>Reconciliation to GAAP earnings/loss</v>
          </cell>
          <cell r="AN60">
            <v>58.269732134378252</v>
          </cell>
        </row>
        <row r="61">
          <cell r="B61" t="str">
            <v>Adjustments to pro-forma earnings:</v>
          </cell>
        </row>
        <row r="62">
          <cell r="B62" t="str">
            <v xml:space="preserve">   Amortization of intangible assets</v>
          </cell>
          <cell r="C62">
            <v>0</v>
          </cell>
          <cell r="E62">
            <v>0</v>
          </cell>
          <cell r="G62">
            <v>0</v>
          </cell>
          <cell r="I62">
            <v>0</v>
          </cell>
          <cell r="K62">
            <v>0</v>
          </cell>
          <cell r="M62">
            <v>0</v>
          </cell>
          <cell r="O62">
            <v>0</v>
          </cell>
          <cell r="Q62">
            <v>0</v>
          </cell>
          <cell r="S62">
            <v>0</v>
          </cell>
          <cell r="U62">
            <v>-155.19999999999999</v>
          </cell>
          <cell r="W62">
            <v>-335.8</v>
          </cell>
          <cell r="Y62">
            <v>-333</v>
          </cell>
          <cell r="AA62">
            <v>-347</v>
          </cell>
          <cell r="AC62">
            <v>-97</v>
          </cell>
          <cell r="AE62">
            <v>-347</v>
          </cell>
          <cell r="AG62">
            <v>-347</v>
          </cell>
          <cell r="AI62">
            <v>-347</v>
          </cell>
          <cell r="AK62">
            <v>-347</v>
          </cell>
          <cell r="AO62" t="str">
            <v>mstag:amortizationOfIntangiblesAssumedToHaveIndefiniteLifeIncomeStatement</v>
          </cell>
          <cell r="AP62">
            <v>6</v>
          </cell>
          <cell r="AQ62" t="str">
            <v>ISO4217:USD</v>
          </cell>
          <cell r="AR62" t="b">
            <v>1</v>
          </cell>
          <cell r="AS62" t="b">
            <v>0</v>
          </cell>
        </row>
        <row r="63">
          <cell r="B63" t="str">
            <v xml:space="preserve">   Write-off of acquired in-process R&amp;D</v>
          </cell>
          <cell r="C63">
            <v>0</v>
          </cell>
          <cell r="E63">
            <v>0</v>
          </cell>
          <cell r="G63">
            <v>0</v>
          </cell>
          <cell r="I63">
            <v>0</v>
          </cell>
          <cell r="K63">
            <v>0</v>
          </cell>
          <cell r="M63">
            <v>0</v>
          </cell>
          <cell r="O63">
            <v>0</v>
          </cell>
          <cell r="Q63">
            <v>0</v>
          </cell>
          <cell r="S63">
            <v>0</v>
          </cell>
          <cell r="U63">
            <v>-2991.8</v>
          </cell>
          <cell r="W63">
            <v>0</v>
          </cell>
          <cell r="Y63">
            <v>-554</v>
          </cell>
          <cell r="AA63">
            <v>0</v>
          </cell>
          <cell r="AC63">
            <v>-650</v>
          </cell>
          <cell r="AE63">
            <v>0</v>
          </cell>
          <cell r="AG63">
            <v>0</v>
          </cell>
          <cell r="AI63">
            <v>0</v>
          </cell>
          <cell r="AK63">
            <v>0</v>
          </cell>
          <cell r="AO63" t="str">
            <v>mstag:acquiredInProcessRAndDOneTime</v>
          </cell>
          <cell r="AP63">
            <v>6</v>
          </cell>
          <cell r="AQ63" t="str">
            <v>ISO4217:USD</v>
          </cell>
          <cell r="AR63" t="b">
            <v>1</v>
          </cell>
          <cell r="AS63" t="b">
            <v>0</v>
          </cell>
        </row>
        <row r="64">
          <cell r="B64" t="str">
            <v xml:space="preserve">   Legal Settlement</v>
          </cell>
          <cell r="AA64">
            <v>-49</v>
          </cell>
          <cell r="AO64" t="str">
            <v>mstag:otherProvisionsOneTime</v>
          </cell>
          <cell r="AP64">
            <v>6</v>
          </cell>
          <cell r="AQ64" t="str">
            <v>ISO4217:USD</v>
          </cell>
          <cell r="AR64" t="b">
            <v>1</v>
          </cell>
          <cell r="AS64" t="b">
            <v>0</v>
          </cell>
        </row>
        <row r="65">
          <cell r="B65" t="str">
            <v xml:space="preserve">   COGS</v>
          </cell>
          <cell r="AA65">
            <v>-47</v>
          </cell>
          <cell r="AO65" t="str">
            <v>mstag:otherProvisionsOneTime</v>
          </cell>
          <cell r="AP65">
            <v>6</v>
          </cell>
          <cell r="AQ65" t="str">
            <v>ISO4217:USD</v>
          </cell>
          <cell r="AR65" t="b">
            <v>1</v>
          </cell>
          <cell r="AS65" t="b">
            <v>0</v>
          </cell>
        </row>
        <row r="66">
          <cell r="B66" t="str">
            <v xml:space="preserve">   R&amp;D</v>
          </cell>
          <cell r="AA66">
            <v>-12</v>
          </cell>
          <cell r="AO66" t="str">
            <v>mstag:otherProvisionsOneTime</v>
          </cell>
          <cell r="AP66">
            <v>6</v>
          </cell>
          <cell r="AQ66" t="str">
            <v>ISO4217:USD</v>
          </cell>
          <cell r="AR66" t="b">
            <v>1</v>
          </cell>
          <cell r="AS66" t="b">
            <v>0</v>
          </cell>
        </row>
        <row r="67">
          <cell r="B67" t="str">
            <v xml:space="preserve">   SG&amp;A</v>
          </cell>
          <cell r="AA67">
            <v>2</v>
          </cell>
          <cell r="AO67" t="str">
            <v>mstag:otherProvisionsOneTime</v>
          </cell>
          <cell r="AP67">
            <v>6</v>
          </cell>
          <cell r="AQ67" t="str">
            <v>ISO4217:USD</v>
          </cell>
          <cell r="AR67" t="b">
            <v>1</v>
          </cell>
          <cell r="AS67" t="b">
            <v>0</v>
          </cell>
        </row>
        <row r="68">
          <cell r="B68" t="str">
            <v xml:space="preserve">   Interest expense</v>
          </cell>
          <cell r="AA68">
            <v>0</v>
          </cell>
          <cell r="AO68" t="str">
            <v>mstag:otherProvisionsOneTime</v>
          </cell>
          <cell r="AP68">
            <v>6</v>
          </cell>
          <cell r="AQ68" t="str">
            <v>ISO4217:USD</v>
          </cell>
          <cell r="AR68" t="b">
            <v>1</v>
          </cell>
          <cell r="AS68" t="b">
            <v>0</v>
          </cell>
        </row>
        <row r="69">
          <cell r="B69" t="str">
            <v xml:space="preserve">   Tax effects of adjustments</v>
          </cell>
          <cell r="C69">
            <v>0</v>
          </cell>
          <cell r="E69">
            <v>0</v>
          </cell>
          <cell r="G69">
            <v>0</v>
          </cell>
          <cell r="I69">
            <v>0</v>
          </cell>
          <cell r="K69">
            <v>0</v>
          </cell>
          <cell r="M69">
            <v>0</v>
          </cell>
          <cell r="O69">
            <v>0</v>
          </cell>
          <cell r="Q69">
            <v>0</v>
          </cell>
          <cell r="S69">
            <v>0</v>
          </cell>
          <cell r="U69">
            <v>0</v>
          </cell>
          <cell r="W69">
            <v>0</v>
          </cell>
          <cell r="Y69">
            <v>142.79999999999998</v>
          </cell>
          <cell r="AA69">
            <v>104</v>
          </cell>
          <cell r="AC69">
            <v>35.89</v>
          </cell>
          <cell r="AE69">
            <v>128.38999999999999</v>
          </cell>
          <cell r="AG69">
            <v>128.38999999999999</v>
          </cell>
          <cell r="AI69">
            <v>128.38999999999999</v>
          </cell>
          <cell r="AK69">
            <v>128.38999999999999</v>
          </cell>
          <cell r="AO69" t="str">
            <v>mstag:taxOnIncomeLossFromExtraordinaryItems</v>
          </cell>
          <cell r="AP69">
            <v>6</v>
          </cell>
          <cell r="AQ69" t="str">
            <v>ISO4217:USD</v>
          </cell>
          <cell r="AR69" t="b">
            <v>1</v>
          </cell>
          <cell r="AS69" t="b">
            <v>0</v>
          </cell>
        </row>
        <row r="70">
          <cell r="B70" t="str">
            <v>GAAP Net Income</v>
          </cell>
          <cell r="C70">
            <v>588.70000000000005</v>
          </cell>
          <cell r="E70">
            <v>556.49999999999989</v>
          </cell>
          <cell r="G70">
            <v>537.70000000000005</v>
          </cell>
          <cell r="I70">
            <v>679.79999999999984</v>
          </cell>
          <cell r="K70">
            <v>644.30000000000018</v>
          </cell>
          <cell r="M70">
            <v>863.19999999999982</v>
          </cell>
          <cell r="O70">
            <v>1096.3999999999999</v>
          </cell>
          <cell r="Q70">
            <v>1138.4999999999995</v>
          </cell>
          <cell r="S70">
            <v>1119.6999999999998</v>
          </cell>
          <cell r="U70">
            <v>-1391.9000000000012</v>
          </cell>
          <cell r="W70">
            <v>2259.4999999999991</v>
          </cell>
          <cell r="Y70">
            <v>2362.5999999999995</v>
          </cell>
          <cell r="AA70">
            <v>3674</v>
          </cell>
          <cell r="AC70">
            <v>3329.4653900000003</v>
          </cell>
          <cell r="AE70">
            <v>4180.6358985744819</v>
          </cell>
          <cell r="AG70">
            <v>4644.6218930347759</v>
          </cell>
          <cell r="AI70">
            <v>4935.4458679720119</v>
          </cell>
          <cell r="AK70">
            <v>5243.1867741883407</v>
          </cell>
        </row>
        <row r="71">
          <cell r="B71" t="str">
            <v>GAAP (loss) EPS</v>
          </cell>
          <cell r="W71">
            <v>1.7537255510710952</v>
          </cell>
          <cell r="Y71">
            <v>1.8593633179868565</v>
          </cell>
          <cell r="AA71">
            <v>2.9724919093851132</v>
          </cell>
          <cell r="AC71">
            <v>2.8658385588363804</v>
          </cell>
          <cell r="AE71">
            <v>3.7297201873627048</v>
          </cell>
          <cell r="AG71">
            <v>4.2400209179539265</v>
          </cell>
          <cell r="AI71">
            <v>4.607265010923677</v>
          </cell>
          <cell r="AK71">
            <v>4.9995539315828985</v>
          </cell>
        </row>
        <row r="72">
          <cell r="B72" t="str">
            <v>GAAP (loss) EPS diluted</v>
          </cell>
          <cell r="C72">
            <v>0.50996188496188499</v>
          </cell>
          <cell r="E72">
            <v>0.49300141743444359</v>
          </cell>
          <cell r="G72">
            <v>0.49676644493717664</v>
          </cell>
          <cell r="I72">
            <v>0.6054506590666191</v>
          </cell>
          <cell r="K72">
            <v>0.58658048069919899</v>
          </cell>
          <cell r="M72">
            <v>0.81665089877010388</v>
          </cell>
          <cell r="O72">
            <v>1.0167856811647964</v>
          </cell>
          <cell r="Q72">
            <v>1.0495989674564392</v>
          </cell>
          <cell r="S72">
            <v>1.0327430363401584</v>
          </cell>
          <cell r="U72">
            <v>-1.2066753359341147</v>
          </cell>
          <cell r="W72">
            <v>1.6939078751857348</v>
          </cell>
          <cell r="Y72">
            <v>1.8057346312639668</v>
          </cell>
          <cell r="AA72">
            <v>2.9252782193958664</v>
          </cell>
          <cell r="AC72">
            <v>2.8409196338463318</v>
          </cell>
          <cell r="AE72">
            <v>3.6709641803555715</v>
          </cell>
          <cell r="AG72">
            <v>4.1741569513311401</v>
          </cell>
          <cell r="AI72">
            <v>4.5457203972860176</v>
          </cell>
          <cell r="AK72">
            <v>4.9349798329237098</v>
          </cell>
        </row>
        <row r="73">
          <cell r="B73" t="str">
            <v>Current Actual Basic Share Count</v>
          </cell>
          <cell r="U73">
            <v>1268.2</v>
          </cell>
          <cell r="AO73" t="str">
            <v>mstag:currentBasicSharesOutstanding</v>
          </cell>
          <cell r="AP73">
            <v>6</v>
          </cell>
          <cell r="AQ73" t="str">
            <v>ms_eqr_gcim_Decimal:ms_eqr_gcim_decimal</v>
          </cell>
          <cell r="AR73" t="b">
            <v>0</v>
          </cell>
          <cell r="AS73" t="b">
            <v>0</v>
          </cell>
        </row>
        <row r="74">
          <cell r="B74" t="str">
            <v>Current Actual Diluted Share Count</v>
          </cell>
          <cell r="U74">
            <v>1317.7</v>
          </cell>
          <cell r="AO74" t="str">
            <v>mstag:currentDilutedSharesOutstanding</v>
          </cell>
          <cell r="AP74">
            <v>6</v>
          </cell>
          <cell r="AQ74" t="str">
            <v>ms_eqr_gcim_Decimal:ms_eqr_gcim_decimal</v>
          </cell>
          <cell r="AR74" t="b">
            <v>0</v>
          </cell>
          <cell r="AS74" t="b">
            <v>0</v>
          </cell>
        </row>
        <row r="75">
          <cell r="B75" t="str">
            <v>INTEREST CALCULATIONS</v>
          </cell>
        </row>
        <row r="76">
          <cell r="B76" t="str">
            <v>Cash and Equivalents</v>
          </cell>
          <cell r="U76">
            <v>3663.0499999999997</v>
          </cell>
          <cell r="W76">
            <v>4893.3999999999996</v>
          </cell>
          <cell r="Y76">
            <v>5465.4500000000007</v>
          </cell>
          <cell r="AA76">
            <v>5531.5</v>
          </cell>
          <cell r="AC76">
            <v>4977.6425651190475</v>
          </cell>
          <cell r="AE76">
            <v>5267.9289720168927</v>
          </cell>
          <cell r="AG76">
            <v>6633.1452568129571</v>
          </cell>
          <cell r="AI76">
            <v>8090.5150597020702</v>
          </cell>
          <cell r="AK76">
            <v>10095.15261005767</v>
          </cell>
        </row>
        <row r="77">
          <cell r="B77" t="str">
            <v>Return on assets</v>
          </cell>
          <cell r="U77">
            <v>3.9366102018809461E-2</v>
          </cell>
          <cell r="W77">
            <v>2.3174071197940085E-2</v>
          </cell>
          <cell r="Y77">
            <v>0.02</v>
          </cell>
          <cell r="AA77">
            <v>2.7699999999999999E-2</v>
          </cell>
          <cell r="AC77">
            <v>3.5000000000000003E-2</v>
          </cell>
          <cell r="AE77">
            <v>0.04</v>
          </cell>
          <cell r="AG77">
            <v>0.04</v>
          </cell>
          <cell r="AI77">
            <v>0.04</v>
          </cell>
          <cell r="AK77">
            <v>0.04</v>
          </cell>
        </row>
        <row r="78">
          <cell r="B78" t="str">
            <v>Interst Income</v>
          </cell>
          <cell r="C78">
            <v>27.2</v>
          </cell>
          <cell r="E78">
            <v>21.5</v>
          </cell>
          <cell r="G78">
            <v>66.099999999999994</v>
          </cell>
          <cell r="I78">
            <v>63.6</v>
          </cell>
          <cell r="K78">
            <v>72.599999999999994</v>
          </cell>
          <cell r="M78">
            <v>45.7</v>
          </cell>
          <cell r="O78">
            <v>88.3</v>
          </cell>
          <cell r="Q78">
            <v>146.19999999999999</v>
          </cell>
          <cell r="S78">
            <v>168.7</v>
          </cell>
          <cell r="U78">
            <v>144.19999999999999</v>
          </cell>
          <cell r="W78">
            <v>113.4</v>
          </cell>
          <cell r="Y78">
            <v>109.30900000000001</v>
          </cell>
          <cell r="AA78">
            <v>153.22254999999998</v>
          </cell>
          <cell r="AC78">
            <v>174.21748977916667</v>
          </cell>
          <cell r="AE78">
            <v>210.7171588806757</v>
          </cell>
          <cell r="AG78">
            <v>265.32581027251831</v>
          </cell>
          <cell r="AI78">
            <v>323.62060238808283</v>
          </cell>
          <cell r="AK78">
            <v>403.8061044023068</v>
          </cell>
        </row>
        <row r="79">
          <cell r="B79" t="str">
            <v>Test</v>
          </cell>
          <cell r="U79">
            <v>144.19999999999999</v>
          </cell>
          <cell r="W79">
            <v>113.4</v>
          </cell>
          <cell r="Y79">
            <v>99.7</v>
          </cell>
          <cell r="AA79">
            <v>157</v>
          </cell>
          <cell r="AC79">
            <v>329</v>
          </cell>
          <cell r="AE79">
            <v>210.7171588806757</v>
          </cell>
          <cell r="AG79">
            <v>265.32581027251831</v>
          </cell>
          <cell r="AI79">
            <v>323.62060238808283</v>
          </cell>
          <cell r="AK79">
            <v>403.8061044023068</v>
          </cell>
        </row>
        <row r="80">
          <cell r="B80" t="str">
            <v>Interest Bearing Obligations</v>
          </cell>
        </row>
        <row r="81">
          <cell r="B81" t="str">
            <v>Convertible Bond - 30 year</v>
          </cell>
          <cell r="W81">
            <v>2880</v>
          </cell>
          <cell r="Y81">
            <v>2912.4</v>
          </cell>
          <cell r="AA81">
            <v>1759</v>
          </cell>
          <cell r="AC81">
            <v>1778.7887499999999</v>
          </cell>
          <cell r="AE81">
            <v>1798.5774999999999</v>
          </cell>
          <cell r="AG81">
            <v>1818.3662499999998</v>
          </cell>
          <cell r="AI81">
            <v>1838.1549999999997</v>
          </cell>
          <cell r="AK81">
            <v>1857.9437499999997</v>
          </cell>
        </row>
        <row r="82">
          <cell r="B82" t="str">
            <v>Interest Rate</v>
          </cell>
          <cell r="W82">
            <v>1.125E-2</v>
          </cell>
          <cell r="Y82">
            <v>1.125E-2</v>
          </cell>
          <cell r="AA82">
            <v>1.125E-2</v>
          </cell>
          <cell r="AC82">
            <v>1.125E-2</v>
          </cell>
          <cell r="AE82">
            <v>1.125E-2</v>
          </cell>
          <cell r="AG82">
            <v>1.125E-2</v>
          </cell>
          <cell r="AI82">
            <v>1.125E-2</v>
          </cell>
          <cell r="AK82">
            <v>1.125E-2</v>
          </cell>
        </row>
        <row r="83">
          <cell r="B83" t="str">
            <v>Interest Expense</v>
          </cell>
          <cell r="W83">
            <v>32.4</v>
          </cell>
          <cell r="Y83">
            <v>32.4</v>
          </cell>
          <cell r="AA83">
            <v>19.78875</v>
          </cell>
          <cell r="AC83">
            <v>19.78875</v>
          </cell>
          <cell r="AE83">
            <v>19.78875</v>
          </cell>
          <cell r="AG83">
            <v>19.78875</v>
          </cell>
          <cell r="AI83">
            <v>19.78875</v>
          </cell>
          <cell r="AK83">
            <v>19.78875</v>
          </cell>
        </row>
        <row r="84">
          <cell r="B84" t="str">
            <v>Convertible Bond - 2011</v>
          </cell>
          <cell r="AC84">
            <v>2500</v>
          </cell>
          <cell r="AE84">
            <v>2500</v>
          </cell>
          <cell r="AG84">
            <v>2500</v>
          </cell>
          <cell r="AI84">
            <v>2500</v>
          </cell>
          <cell r="AK84">
            <v>2500</v>
          </cell>
        </row>
        <row r="85">
          <cell r="B85" t="str">
            <v>Interest Rate</v>
          </cell>
          <cell r="AC85">
            <v>1.25E-3</v>
          </cell>
          <cell r="AE85">
            <v>1.25E-3</v>
          </cell>
          <cell r="AG85">
            <v>1.25E-3</v>
          </cell>
          <cell r="AI85">
            <v>1.25E-3</v>
          </cell>
          <cell r="AK85">
            <v>1.25E-3</v>
          </cell>
        </row>
        <row r="86">
          <cell r="B86" t="str">
            <v>Interest Expense</v>
          </cell>
          <cell r="AC86">
            <v>3.125</v>
          </cell>
          <cell r="AE86">
            <v>3.125</v>
          </cell>
          <cell r="AG86">
            <v>3.125</v>
          </cell>
          <cell r="AI86">
            <v>3.125</v>
          </cell>
          <cell r="AK86">
            <v>3.125</v>
          </cell>
        </row>
        <row r="87">
          <cell r="B87" t="str">
            <v>Convertible Bond - 2013</v>
          </cell>
          <cell r="AC87">
            <v>2500</v>
          </cell>
          <cell r="AE87">
            <v>2500</v>
          </cell>
          <cell r="AG87">
            <v>2500</v>
          </cell>
          <cell r="AI87">
            <v>2500</v>
          </cell>
          <cell r="AK87">
            <v>2500</v>
          </cell>
        </row>
        <row r="88">
          <cell r="B88" t="str">
            <v>Interest Rate</v>
          </cell>
          <cell r="AC88">
            <v>3.7499999999999999E-3</v>
          </cell>
          <cell r="AE88">
            <v>3.7499999999999999E-3</v>
          </cell>
          <cell r="AG88">
            <v>3.7499999999999999E-3</v>
          </cell>
          <cell r="AI88">
            <v>3.7499999999999999E-3</v>
          </cell>
          <cell r="AK88">
            <v>3.7499999999999999E-3</v>
          </cell>
        </row>
        <row r="89">
          <cell r="B89" t="str">
            <v>Interest Expense</v>
          </cell>
          <cell r="AC89">
            <v>9.375</v>
          </cell>
          <cell r="AE89">
            <v>9.375</v>
          </cell>
          <cell r="AG89">
            <v>9.375</v>
          </cell>
          <cell r="AI89">
            <v>9.375</v>
          </cell>
          <cell r="AK89">
            <v>9.375</v>
          </cell>
        </row>
        <row r="90">
          <cell r="B90" t="str">
            <v>6.5% Debt</v>
          </cell>
          <cell r="W90">
            <v>100</v>
          </cell>
          <cell r="Y90">
            <v>100</v>
          </cell>
          <cell r="AA90">
            <v>100</v>
          </cell>
          <cell r="AC90">
            <v>100</v>
          </cell>
          <cell r="AE90">
            <v>0</v>
          </cell>
          <cell r="AG90">
            <v>0</v>
          </cell>
          <cell r="AI90">
            <v>0</v>
          </cell>
          <cell r="AK90">
            <v>0</v>
          </cell>
        </row>
        <row r="91">
          <cell r="B91" t="str">
            <v>Interest Rate</v>
          </cell>
          <cell r="W91">
            <v>6.5000000000000002E-2</v>
          </cell>
          <cell r="Y91">
            <v>6.5000000000000002E-2</v>
          </cell>
          <cell r="AA91">
            <v>6.5000000000000002E-2</v>
          </cell>
          <cell r="AC91">
            <v>6.5000000000000002E-2</v>
          </cell>
          <cell r="AE91">
            <v>6.5000000000000002E-2</v>
          </cell>
          <cell r="AG91">
            <v>6.5000000000000002E-2</v>
          </cell>
          <cell r="AI91">
            <v>6.5000000000000002E-2</v>
          </cell>
          <cell r="AK91">
            <v>6.5000000000000002E-2</v>
          </cell>
        </row>
        <row r="92">
          <cell r="B92" t="str">
            <v>Interest Expense</v>
          </cell>
          <cell r="W92">
            <v>6.5</v>
          </cell>
          <cell r="Y92">
            <v>6.5</v>
          </cell>
          <cell r="AA92">
            <v>6.5</v>
          </cell>
          <cell r="AC92">
            <v>6.5</v>
          </cell>
          <cell r="AE92">
            <v>0</v>
          </cell>
          <cell r="AG92">
            <v>0</v>
          </cell>
          <cell r="AI92">
            <v>0</v>
          </cell>
          <cell r="AK92">
            <v>0</v>
          </cell>
        </row>
        <row r="93">
          <cell r="B93" t="str">
            <v>8.1% Debt</v>
          </cell>
          <cell r="W93">
            <v>100</v>
          </cell>
          <cell r="Y93">
            <v>100</v>
          </cell>
          <cell r="AA93">
            <v>100</v>
          </cell>
          <cell r="AC93">
            <v>100</v>
          </cell>
          <cell r="AE93">
            <v>100</v>
          </cell>
          <cell r="AG93">
            <v>100</v>
          </cell>
          <cell r="AI93">
            <v>100</v>
          </cell>
          <cell r="AK93">
            <v>100</v>
          </cell>
        </row>
        <row r="94">
          <cell r="B94" t="str">
            <v>Interest Rate</v>
          </cell>
          <cell r="W94">
            <v>8.1000000000000003E-2</v>
          </cell>
          <cell r="Y94">
            <v>8.1000000000000003E-2</v>
          </cell>
          <cell r="AA94">
            <v>8.1000000000000003E-2</v>
          </cell>
          <cell r="AC94">
            <v>8.1000000000000003E-2</v>
          </cell>
          <cell r="AE94">
            <v>8.1000000000000003E-2</v>
          </cell>
          <cell r="AG94">
            <v>8.1000000000000003E-2</v>
          </cell>
          <cell r="AI94">
            <v>8.1000000000000003E-2</v>
          </cell>
          <cell r="AK94">
            <v>8.1000000000000003E-2</v>
          </cell>
        </row>
        <row r="95">
          <cell r="B95" t="str">
            <v>Interest Expense</v>
          </cell>
          <cell r="W95">
            <v>8.1</v>
          </cell>
          <cell r="Y95">
            <v>8.1</v>
          </cell>
          <cell r="AA95">
            <v>8.1</v>
          </cell>
          <cell r="AC95">
            <v>8.1</v>
          </cell>
          <cell r="AE95">
            <v>8.1</v>
          </cell>
          <cell r="AG95">
            <v>8.1</v>
          </cell>
          <cell r="AI95">
            <v>8.1</v>
          </cell>
          <cell r="AK95">
            <v>8.1</v>
          </cell>
        </row>
        <row r="96">
          <cell r="B96" t="str">
            <v>Senior Notes</v>
          </cell>
          <cell r="Y96">
            <v>2000</v>
          </cell>
          <cell r="AA96">
            <v>1998</v>
          </cell>
          <cell r="AC96">
            <v>1998</v>
          </cell>
          <cell r="AE96">
            <v>1998</v>
          </cell>
          <cell r="AG96">
            <v>1998</v>
          </cell>
          <cell r="AI96">
            <v>1000</v>
          </cell>
          <cell r="AK96">
            <v>1000</v>
          </cell>
        </row>
        <row r="97">
          <cell r="B97" t="str">
            <v>Interest Rate</v>
          </cell>
          <cell r="Y97">
            <v>4.4249999999999998E-2</v>
          </cell>
          <cell r="AA97">
            <v>4.4249999999999998E-2</v>
          </cell>
          <cell r="AC97">
            <v>4.4249999999999998E-2</v>
          </cell>
          <cell r="AE97">
            <v>4.4249999999999998E-2</v>
          </cell>
          <cell r="AG97">
            <v>4.4249999999999998E-2</v>
          </cell>
          <cell r="AI97">
            <v>4.8500000000000001E-2</v>
          </cell>
          <cell r="AK97">
            <v>4.8500000000000001E-2</v>
          </cell>
        </row>
        <row r="98">
          <cell r="B98" t="str">
            <v>Interest Expense</v>
          </cell>
          <cell r="C98">
            <v>785.5</v>
          </cell>
          <cell r="E98">
            <v>815.59999999999991</v>
          </cell>
          <cell r="G98">
            <v>743.59999999999991</v>
          </cell>
          <cell r="I98">
            <v>904.89999999999986</v>
          </cell>
          <cell r="K98">
            <v>792.50000000000023</v>
          </cell>
          <cell r="M98">
            <v>1188.6999999999998</v>
          </cell>
          <cell r="O98">
            <v>1493.1</v>
          </cell>
          <cell r="Q98">
            <v>1543.9999999999995</v>
          </cell>
          <cell r="S98">
            <v>1531.1999999999998</v>
          </cell>
          <cell r="Y98">
            <v>8.85</v>
          </cell>
          <cell r="AA98">
            <v>88.41149999999999</v>
          </cell>
          <cell r="AC98">
            <v>88.41149999999999</v>
          </cell>
          <cell r="AE98">
            <v>88.41149999999999</v>
          </cell>
          <cell r="AG98">
            <v>88.41149999999999</v>
          </cell>
          <cell r="AI98">
            <v>48.5</v>
          </cell>
          <cell r="AK98">
            <v>48.5</v>
          </cell>
        </row>
        <row r="99">
          <cell r="B99" t="str">
            <v>Total Interest</v>
          </cell>
          <cell r="W99">
            <v>47</v>
          </cell>
          <cell r="Y99">
            <v>47</v>
          </cell>
          <cell r="AA99">
            <v>122.80024999999999</v>
          </cell>
          <cell r="AC99">
            <v>135.30025000000001</v>
          </cell>
          <cell r="AE99">
            <v>128.80025000000001</v>
          </cell>
          <cell r="AG99">
            <v>128.80025000000001</v>
          </cell>
          <cell r="AI99">
            <v>88.888750000000002</v>
          </cell>
          <cell r="AK99">
            <v>88.888750000000002</v>
          </cell>
        </row>
        <row r="100">
          <cell r="B100" t="str">
            <v>Total Debt</v>
          </cell>
          <cell r="W100">
            <v>3080</v>
          </cell>
          <cell r="Y100">
            <v>5112.3999999999996</v>
          </cell>
          <cell r="AA100">
            <v>3957</v>
          </cell>
          <cell r="AC100">
            <v>8976.7887499999997</v>
          </cell>
          <cell r="AE100">
            <v>8896.5774999999994</v>
          </cell>
          <cell r="AG100">
            <v>8916.3662499999991</v>
          </cell>
          <cell r="AI100">
            <v>7938.1549999999997</v>
          </cell>
          <cell r="AK100">
            <v>7957.9437499999995</v>
          </cell>
        </row>
        <row r="101">
          <cell r="B101" t="str">
            <v>CHECK</v>
          </cell>
          <cell r="W101">
            <v>-31.5</v>
          </cell>
          <cell r="Y101">
            <v>-52.5</v>
          </cell>
          <cell r="AA101">
            <v>-137</v>
          </cell>
          <cell r="AC101">
            <v>-136</v>
          </cell>
          <cell r="AE101">
            <v>-128.80025000000001</v>
          </cell>
          <cell r="AG101">
            <v>-128.80025000000001</v>
          </cell>
          <cell r="AI101">
            <v>-88.888750000000002</v>
          </cell>
          <cell r="AK101">
            <v>-88.888750000000002</v>
          </cell>
        </row>
        <row r="105">
          <cell r="B105" t="str">
            <v>Statuatory Tax</v>
          </cell>
          <cell r="C105">
            <v>0.35</v>
          </cell>
          <cell r="E105">
            <v>0.35</v>
          </cell>
          <cell r="G105">
            <v>0.35</v>
          </cell>
          <cell r="I105">
            <v>0.35</v>
          </cell>
          <cell r="K105">
            <v>0.35</v>
          </cell>
          <cell r="M105">
            <v>0.35</v>
          </cell>
          <cell r="O105">
            <v>0.35</v>
          </cell>
          <cell r="Q105">
            <v>0.35</v>
          </cell>
          <cell r="S105">
            <v>0.35</v>
          </cell>
          <cell r="U105">
            <v>0.35</v>
          </cell>
          <cell r="W105">
            <v>0.35</v>
          </cell>
          <cell r="Y105">
            <v>0.27179593913325006</v>
          </cell>
          <cell r="AA105">
            <v>0.24393910919000189</v>
          </cell>
          <cell r="AC105">
            <v>0.2340976647582528</v>
          </cell>
          <cell r="AE105">
            <v>0.23499999999999999</v>
          </cell>
          <cell r="AG105">
            <v>0.23</v>
          </cell>
          <cell r="AI105">
            <v>0.22500000000000001</v>
          </cell>
          <cell r="AK105">
            <v>0.22450000000000001</v>
          </cell>
          <cell r="AO105" t="str">
            <v>mstag:statutoryTaxRate</v>
          </cell>
          <cell r="AP105">
            <v>0</v>
          </cell>
          <cell r="AQ105" t="str">
            <v>ms_eqr_gcim_Decimal:ms_eqr_gcim_decimal</v>
          </cell>
          <cell r="AR105" t="b">
            <v>0</v>
          </cell>
          <cell r="AS105" t="b">
            <v>0</v>
          </cell>
        </row>
        <row r="106">
          <cell r="B106" t="str">
            <v>Common Dividends</v>
          </cell>
          <cell r="C106">
            <v>0</v>
          </cell>
          <cell r="E106">
            <v>0</v>
          </cell>
          <cell r="G106">
            <v>0</v>
          </cell>
          <cell r="I106">
            <v>0</v>
          </cell>
          <cell r="K106">
            <v>0</v>
          </cell>
          <cell r="M106">
            <v>0</v>
          </cell>
          <cell r="O106">
            <v>0</v>
          </cell>
          <cell r="Q106">
            <v>0</v>
          </cell>
          <cell r="S106">
            <v>0</v>
          </cell>
          <cell r="U106">
            <v>0</v>
          </cell>
          <cell r="W106">
            <v>0</v>
          </cell>
          <cell r="Y106">
            <v>0</v>
          </cell>
          <cell r="AA106">
            <v>0</v>
          </cell>
          <cell r="AC106">
            <v>0</v>
          </cell>
          <cell r="AE106">
            <v>0</v>
          </cell>
          <cell r="AG106">
            <v>0</v>
          </cell>
          <cell r="AI106">
            <v>0</v>
          </cell>
          <cell r="AK106">
            <v>0</v>
          </cell>
          <cell r="AO106" t="str">
            <v>mstag:commonDividends</v>
          </cell>
          <cell r="AP106">
            <v>6</v>
          </cell>
          <cell r="AQ106" t="str">
            <v>ISO4217:USD</v>
          </cell>
          <cell r="AR106" t="b">
            <v>0</v>
          </cell>
          <cell r="AS106" t="b">
            <v>0</v>
          </cell>
        </row>
        <row r="107">
          <cell r="B107" t="str">
            <v>Unrecorded Goodwill</v>
          </cell>
          <cell r="C107">
            <v>0</v>
          </cell>
          <cell r="E107">
            <v>0</v>
          </cell>
          <cell r="G107">
            <v>0</v>
          </cell>
          <cell r="I107">
            <v>0</v>
          </cell>
          <cell r="K107">
            <v>0</v>
          </cell>
          <cell r="M107">
            <v>0</v>
          </cell>
          <cell r="O107">
            <v>0</v>
          </cell>
          <cell r="Q107">
            <v>0</v>
          </cell>
          <cell r="S107">
            <v>0</v>
          </cell>
          <cell r="U107">
            <v>0</v>
          </cell>
          <cell r="W107">
            <v>0</v>
          </cell>
          <cell r="Y107">
            <v>0</v>
          </cell>
          <cell r="AA107">
            <v>0</v>
          </cell>
          <cell r="AC107">
            <v>0</v>
          </cell>
          <cell r="AE107">
            <v>0</v>
          </cell>
          <cell r="AG107">
            <v>0</v>
          </cell>
          <cell r="AI107">
            <v>0</v>
          </cell>
          <cell r="AK107">
            <v>0</v>
          </cell>
          <cell r="AO107" t="str">
            <v>mstag:unrecordedGoodwillFromPoolingAndAmortizedOrWrittenOffGoodwill</v>
          </cell>
          <cell r="AP107">
            <v>6</v>
          </cell>
          <cell r="AQ107" t="str">
            <v>ISO4217:USD</v>
          </cell>
          <cell r="AR107" t="b">
            <v>0</v>
          </cell>
          <cell r="AS107" t="b">
            <v>0</v>
          </cell>
        </row>
        <row r="109">
          <cell r="B109" t="str">
            <v>If-Converted Calculation</v>
          </cell>
        </row>
        <row r="110">
          <cell r="Y110" t="str">
            <v>2004E</v>
          </cell>
          <cell r="AA110" t="str">
            <v>2005E</v>
          </cell>
          <cell r="AC110" t="str">
            <v>2006E</v>
          </cell>
          <cell r="AE110" t="str">
            <v>2007E</v>
          </cell>
          <cell r="AG110" t="str">
            <v>2008E</v>
          </cell>
          <cell r="AI110" t="str">
            <v>2009E</v>
          </cell>
          <cell r="AK110" t="str">
            <v>2010E</v>
          </cell>
        </row>
        <row r="111">
          <cell r="B111" t="str">
            <v>Net Earnings</v>
          </cell>
          <cell r="Y111">
            <v>3106.7999999999993</v>
          </cell>
          <cell r="AA111">
            <v>4023</v>
          </cell>
          <cell r="AC111">
            <v>4335.4931825000003</v>
          </cell>
          <cell r="AE111">
            <v>4671.2119694975627</v>
          </cell>
          <cell r="AG111">
            <v>5157.5244034755797</v>
          </cell>
          <cell r="AI111">
            <v>5486.3131761720342</v>
          </cell>
          <cell r="AK111">
            <v>5830.7509225580634</v>
          </cell>
        </row>
        <row r="112">
          <cell r="B112" t="str">
            <v>Diluted Share Count</v>
          </cell>
          <cell r="Y112">
            <v>1285.05</v>
          </cell>
          <cell r="AA112">
            <v>1236</v>
          </cell>
          <cell r="AC112">
            <v>1173.37546275</v>
          </cell>
          <cell r="AE112">
            <v>1131.9282839554037</v>
          </cell>
          <cell r="AG112">
            <v>1105.6672499945955</v>
          </cell>
          <cell r="AI112">
            <v>1078.6145376915538</v>
          </cell>
          <cell r="AK112">
            <v>1055.2640764166335</v>
          </cell>
        </row>
        <row r="113">
          <cell r="B113" t="str">
            <v>EPS, diluted</v>
          </cell>
          <cell r="Y113">
            <v>2.4176491187113336</v>
          </cell>
          <cell r="AA113">
            <v>3.2548543689320391</v>
          </cell>
          <cell r="AC113">
            <v>3.6948899309169572</v>
          </cell>
          <cell r="AE113">
            <v>4.1267737856805793</v>
          </cell>
          <cell r="AG113">
            <v>4.6646261825162947</v>
          </cell>
          <cell r="AI113">
            <v>5.0864446792213815</v>
          </cell>
          <cell r="AK113">
            <v>5.5253950673253076</v>
          </cell>
        </row>
        <row r="115">
          <cell r="B115" t="str">
            <v>Interest add-back</v>
          </cell>
          <cell r="Y115">
            <v>21.06</v>
          </cell>
          <cell r="AA115">
            <v>6</v>
          </cell>
          <cell r="AC115">
            <v>4</v>
          </cell>
          <cell r="AE115">
            <v>4</v>
          </cell>
          <cell r="AG115">
            <v>4</v>
          </cell>
          <cell r="AI115">
            <v>4</v>
          </cell>
          <cell r="AK115">
            <v>4</v>
          </cell>
        </row>
        <row r="116">
          <cell r="B116" t="str">
            <v>If-converted shares</v>
          </cell>
          <cell r="Y116">
            <v>35</v>
          </cell>
          <cell r="AA116">
            <v>22</v>
          </cell>
          <cell r="AC116">
            <v>8</v>
          </cell>
          <cell r="AE116">
            <v>8</v>
          </cell>
          <cell r="AG116">
            <v>8</v>
          </cell>
          <cell r="AI116">
            <v>8</v>
          </cell>
          <cell r="AK116">
            <v>8</v>
          </cell>
        </row>
        <row r="117">
          <cell r="B117" t="str">
            <v>"If converted" EPS</v>
          </cell>
          <cell r="Y117">
            <v>2.36950115525927</v>
          </cell>
          <cell r="AA117">
            <v>3.2027027027027026</v>
          </cell>
          <cell r="AC117">
            <v>3.6732548790191979</v>
          </cell>
          <cell r="AE117">
            <v>4.1013211403748855</v>
          </cell>
          <cell r="AG117">
            <v>4.6347096976234399</v>
          </cell>
          <cell r="AI117">
            <v>5.0526778224740756</v>
          </cell>
          <cell r="AK117">
            <v>5.4875839896915242</v>
          </cell>
        </row>
        <row r="118">
          <cell r="B118" t="str">
            <v>EPS dilution</v>
          </cell>
          <cell r="Y118">
            <v>-1.9915199058218813E-2</v>
          </cell>
          <cell r="AA118">
            <v>-1.6022734143539608E-2</v>
          </cell>
          <cell r="AC118">
            <v>-5.8553982127391713E-3</v>
          </cell>
          <cell r="AE118">
            <v>-6.167686097554359E-3</v>
          </cell>
          <cell r="AG118">
            <v>-6.4134796063586297E-3</v>
          </cell>
          <cell r="AI118">
            <v>-6.6385970706114295E-3</v>
          </cell>
          <cell r="AK118">
            <v>-6.8431446390830875E-3</v>
          </cell>
        </row>
        <row r="119">
          <cell r="B119" t="str">
            <v>Modelware adjustment</v>
          </cell>
          <cell r="U119">
            <v>20.5</v>
          </cell>
          <cell r="W119">
            <v>20.5</v>
          </cell>
          <cell r="Y119">
            <v>21.06</v>
          </cell>
          <cell r="AA119">
            <v>6</v>
          </cell>
          <cell r="AC119">
            <v>4</v>
          </cell>
          <cell r="AE119">
            <v>4</v>
          </cell>
          <cell r="AG119">
            <v>4</v>
          </cell>
          <cell r="AI119">
            <v>4</v>
          </cell>
          <cell r="AK119">
            <v>4</v>
          </cell>
          <cell r="AO119" t="str">
            <v>mstag:adjustmentToNetIncomeForDilutiveItems</v>
          </cell>
          <cell r="AP119">
            <v>6</v>
          </cell>
          <cell r="AQ119" t="str">
            <v>ISO4217:USD</v>
          </cell>
          <cell r="AR119" t="b">
            <v>0</v>
          </cell>
          <cell r="AS119" t="b">
            <v>0</v>
          </cell>
        </row>
      </sheetData>
      <sheetData sheetId="7" refreshError="1">
        <row r="1">
          <cell r="B1" t="str">
            <v>Amgen Balance Sheet</v>
          </cell>
          <cell r="AO1" t="str">
            <v>ElementName</v>
          </cell>
          <cell r="AP1" t="str">
            <v>ScaleOverride</v>
          </cell>
          <cell r="AQ1" t="str">
            <v>UnitOverride</v>
          </cell>
          <cell r="AR1" t="str">
            <v>ReverseSign</v>
          </cell>
          <cell r="AS1" t="str">
            <v>IsDrivingAssumption</v>
          </cell>
          <cell r="AT1" t="str">
            <v>SegmentID</v>
          </cell>
        </row>
        <row r="2">
          <cell r="B2" t="str">
            <v>(Dollars in millions)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Current assets:</v>
          </cell>
        </row>
        <row r="6">
          <cell r="B6" t="str">
            <v>Cash and Equivalents</v>
          </cell>
          <cell r="C6">
            <v>128.505</v>
          </cell>
          <cell r="E6">
            <v>211.32300000000001</v>
          </cell>
          <cell r="G6">
            <v>66.7</v>
          </cell>
          <cell r="I6">
            <v>169.3</v>
          </cell>
          <cell r="K6">
            <v>239.1</v>
          </cell>
          <cell r="M6">
            <v>201.1</v>
          </cell>
          <cell r="O6">
            <v>130.9</v>
          </cell>
          <cell r="Q6">
            <v>226.5</v>
          </cell>
          <cell r="S6">
            <v>689.1</v>
          </cell>
          <cell r="U6">
            <v>1851.7</v>
          </cell>
          <cell r="W6">
            <v>836.6</v>
          </cell>
          <cell r="Y6">
            <v>1526</v>
          </cell>
          <cell r="AA6">
            <v>1840</v>
          </cell>
          <cell r="AC6">
            <v>1595.73967569264</v>
          </cell>
          <cell r="AE6">
            <v>2878.8628570857336</v>
          </cell>
          <cell r="AG6">
            <v>4488.7177429048934</v>
          </cell>
          <cell r="AI6">
            <v>5822.949278354683</v>
          </cell>
          <cell r="AK6">
            <v>8527.1936550496484</v>
          </cell>
          <cell r="AO6" t="str">
            <v>mstag:cashAndCashEquivalents</v>
          </cell>
          <cell r="AP6">
            <v>6</v>
          </cell>
          <cell r="AQ6" t="str">
            <v>ISO4217:USD</v>
          </cell>
          <cell r="AR6" t="b">
            <v>0</v>
          </cell>
          <cell r="AS6" t="b">
            <v>0</v>
          </cell>
        </row>
        <row r="7">
          <cell r="B7" t="str">
            <v>Marketable Securities</v>
          </cell>
          <cell r="C7">
            <v>594.67899999999997</v>
          </cell>
          <cell r="E7">
            <v>485.358</v>
          </cell>
          <cell r="G7">
            <v>983.6</v>
          </cell>
          <cell r="I7">
            <v>907.7</v>
          </cell>
          <cell r="K7">
            <v>787.4</v>
          </cell>
          <cell r="M7">
            <v>1074.9000000000001</v>
          </cell>
          <cell r="O7">
            <v>1202.0999999999999</v>
          </cell>
          <cell r="Q7">
            <v>1801.6</v>
          </cell>
          <cell r="S7">
            <v>1973.1</v>
          </cell>
          <cell r="U7">
            <v>2812.2</v>
          </cell>
          <cell r="W7">
            <v>4286.3</v>
          </cell>
          <cell r="Y7">
            <v>4282</v>
          </cell>
          <cell r="AA7">
            <v>3415</v>
          </cell>
          <cell r="AC7">
            <v>3104.5454545454545</v>
          </cell>
          <cell r="AE7">
            <v>2956.7099567099567</v>
          </cell>
          <cell r="AG7">
            <v>2941.99995692533</v>
          </cell>
          <cell r="AI7">
            <v>2927.363141219234</v>
          </cell>
          <cell r="AK7">
            <v>2912.7991454917751</v>
          </cell>
          <cell r="AO7" t="str">
            <v>mstag:shortTermInvestments</v>
          </cell>
          <cell r="AP7">
            <v>6</v>
          </cell>
          <cell r="AQ7" t="str">
            <v>ISO4217:USD</v>
          </cell>
          <cell r="AR7" t="b">
            <v>0</v>
          </cell>
          <cell r="AS7" t="b">
            <v>0</v>
          </cell>
        </row>
        <row r="8">
          <cell r="B8" t="str">
            <v>Trade Receivables, net</v>
          </cell>
          <cell r="C8">
            <v>164.33699999999999</v>
          </cell>
          <cell r="E8">
            <v>194.71199999999999</v>
          </cell>
          <cell r="G8">
            <v>199.3</v>
          </cell>
          <cell r="I8">
            <v>225.4</v>
          </cell>
          <cell r="K8">
            <v>269</v>
          </cell>
          <cell r="M8">
            <v>319.89999999999998</v>
          </cell>
          <cell r="O8">
            <v>412.2</v>
          </cell>
          <cell r="Q8">
            <v>389.2</v>
          </cell>
          <cell r="S8">
            <v>497.2</v>
          </cell>
          <cell r="U8">
            <v>752.4</v>
          </cell>
          <cell r="W8">
            <v>1007.9</v>
          </cell>
          <cell r="Y8">
            <v>1461</v>
          </cell>
          <cell r="AA8">
            <v>1769</v>
          </cell>
          <cell r="AC8">
            <v>1968.4285714285713</v>
          </cell>
          <cell r="AE8">
            <v>2155.6826036867242</v>
          </cell>
          <cell r="AG8">
            <v>2372.6533954538641</v>
          </cell>
          <cell r="AI8">
            <v>2597.047178258721</v>
          </cell>
          <cell r="AK8">
            <v>2826.4134872455193</v>
          </cell>
          <cell r="AO8" t="str">
            <v>mstag:tradeReceivables</v>
          </cell>
          <cell r="AP8">
            <v>6</v>
          </cell>
          <cell r="AQ8" t="str">
            <v>ISO4217:USD</v>
          </cell>
          <cell r="AR8" t="b">
            <v>0</v>
          </cell>
          <cell r="AS8" t="b">
            <v>0</v>
          </cell>
        </row>
        <row r="9">
          <cell r="B9" t="str">
            <v>Inventories</v>
          </cell>
          <cell r="C9">
            <v>74.712000000000003</v>
          </cell>
          <cell r="E9">
            <v>98.004000000000005</v>
          </cell>
          <cell r="G9">
            <v>88.8</v>
          </cell>
          <cell r="I9">
            <v>97.4</v>
          </cell>
          <cell r="K9">
            <v>109.2</v>
          </cell>
          <cell r="M9">
            <v>110.8</v>
          </cell>
          <cell r="O9">
            <v>184.3</v>
          </cell>
          <cell r="Q9">
            <v>305.2</v>
          </cell>
          <cell r="S9">
            <v>355.6</v>
          </cell>
          <cell r="U9">
            <v>544.9</v>
          </cell>
          <cell r="W9">
            <v>712.6</v>
          </cell>
          <cell r="Y9">
            <v>888</v>
          </cell>
          <cell r="AA9">
            <v>1258</v>
          </cell>
          <cell r="AC9">
            <v>1422.0328124999999</v>
          </cell>
          <cell r="AE9">
            <v>1544.5641329739619</v>
          </cell>
          <cell r="AG9">
            <v>1664.7963868306774</v>
          </cell>
          <cell r="AI9">
            <v>1826.1337440775962</v>
          </cell>
          <cell r="AK9">
            <v>2018.7024615605301</v>
          </cell>
          <cell r="AO9" t="str">
            <v>mstag:inventories</v>
          </cell>
          <cell r="AP9">
            <v>6</v>
          </cell>
          <cell r="AQ9" t="str">
            <v>ISO4217:USD</v>
          </cell>
          <cell r="AR9" t="b">
            <v>0</v>
          </cell>
          <cell r="AS9" t="b">
            <v>0</v>
          </cell>
        </row>
        <row r="10">
          <cell r="B10" t="str">
            <v>Deferred Taxes, Net</v>
          </cell>
          <cell r="C10">
            <v>58.936999999999998</v>
          </cell>
          <cell r="E10">
            <v>70.176000000000002</v>
          </cell>
          <cell r="G10">
            <v>51.7</v>
          </cell>
          <cell r="O10">
            <v>0</v>
          </cell>
          <cell r="Q10">
            <v>0</v>
          </cell>
          <cell r="S10">
            <v>0</v>
          </cell>
          <cell r="U10">
            <v>0</v>
          </cell>
          <cell r="W10">
            <v>0</v>
          </cell>
          <cell r="Y10">
            <v>0</v>
          </cell>
          <cell r="AA10">
            <v>0</v>
          </cell>
          <cell r="AC10">
            <v>0</v>
          </cell>
          <cell r="AE10">
            <v>0</v>
          </cell>
          <cell r="AG10">
            <v>0</v>
          </cell>
          <cell r="AI10">
            <v>0</v>
          </cell>
          <cell r="AK10">
            <v>0</v>
          </cell>
          <cell r="AO10" t="str">
            <v>mstag:deferredTaxAssets</v>
          </cell>
          <cell r="AP10">
            <v>6</v>
          </cell>
          <cell r="AQ10" t="str">
            <v>ISO4217:USD</v>
          </cell>
          <cell r="AR10" t="b">
            <v>0</v>
          </cell>
          <cell r="AS10" t="b">
            <v>0</v>
          </cell>
        </row>
        <row r="11">
          <cell r="B11" t="str">
            <v>Other Current Assets</v>
          </cell>
          <cell r="C11">
            <v>33.340000000000003</v>
          </cell>
          <cell r="E11">
            <v>56.064999999999998</v>
          </cell>
          <cell r="G11">
            <v>64</v>
          </cell>
          <cell r="I11">
            <v>102.8</v>
          </cell>
          <cell r="K11">
            <v>138.80000000000001</v>
          </cell>
          <cell r="M11">
            <v>156.6</v>
          </cell>
          <cell r="O11">
            <v>135.80000000000001</v>
          </cell>
          <cell r="Q11">
            <v>214.6</v>
          </cell>
          <cell r="S11">
            <v>343.6</v>
          </cell>
          <cell r="U11">
            <v>442.3</v>
          </cell>
          <cell r="W11">
            <v>558.79999999999995</v>
          </cell>
          <cell r="Y11">
            <v>1013</v>
          </cell>
          <cell r="AA11">
            <v>953</v>
          </cell>
          <cell r="AC11">
            <v>964.53000000000009</v>
          </cell>
          <cell r="AE11">
            <v>1207.1822580645655</v>
          </cell>
          <cell r="AG11">
            <v>1473.4177585768496</v>
          </cell>
          <cell r="AI11">
            <v>1612.7662976986658</v>
          </cell>
          <cell r="AK11">
            <v>1755.2027755794675</v>
          </cell>
          <cell r="AO11" t="str">
            <v>mstag:otherAssets</v>
          </cell>
          <cell r="AP11">
            <v>6</v>
          </cell>
          <cell r="AQ11" t="str">
            <v>ISO4217:USD</v>
          </cell>
          <cell r="AR11" t="b">
            <v>0</v>
          </cell>
          <cell r="AS11" t="b">
            <v>0</v>
          </cell>
        </row>
        <row r="12">
          <cell r="B12" t="str">
            <v>Total current assets</v>
          </cell>
          <cell r="C12">
            <v>1054.51</v>
          </cell>
          <cell r="E12">
            <v>1115.6380000000001</v>
          </cell>
          <cell r="G12">
            <v>1454.1</v>
          </cell>
          <cell r="I12">
            <v>1502.6000000000001</v>
          </cell>
          <cell r="K12">
            <v>1543.5</v>
          </cell>
          <cell r="M12">
            <v>1863.3</v>
          </cell>
          <cell r="O12">
            <v>2065.3000000000002</v>
          </cell>
          <cell r="Q12">
            <v>2937.0999999999995</v>
          </cell>
          <cell r="S12">
            <v>3858.5999999999995</v>
          </cell>
          <cell r="U12">
            <v>6403.4999999999991</v>
          </cell>
          <cell r="W12">
            <v>7402.2000000000007</v>
          </cell>
          <cell r="Y12">
            <v>9170</v>
          </cell>
          <cell r="AA12">
            <v>9235</v>
          </cell>
          <cell r="AC12">
            <v>9055.2765141666659</v>
          </cell>
          <cell r="AE12">
            <v>10743.001808520943</v>
          </cell>
          <cell r="AG12">
            <v>12941.585240691616</v>
          </cell>
          <cell r="AI12">
            <v>14786.259639608899</v>
          </cell>
          <cell r="AK12">
            <v>18040.311524926939</v>
          </cell>
        </row>
        <row r="14">
          <cell r="B14" t="str">
            <v>Property, Plant &amp; Equipment</v>
          </cell>
          <cell r="C14">
            <v>586.91200000000003</v>
          </cell>
          <cell r="E14">
            <v>665.31399999999996</v>
          </cell>
          <cell r="G14">
            <v>743.8</v>
          </cell>
          <cell r="I14">
            <v>910.5</v>
          </cell>
          <cell r="K14">
            <v>1186.2</v>
          </cell>
          <cell r="M14">
            <v>1450.2</v>
          </cell>
          <cell r="O14">
            <v>1553.6</v>
          </cell>
          <cell r="Q14">
            <v>1781.5</v>
          </cell>
          <cell r="S14">
            <v>1946.1</v>
          </cell>
          <cell r="U14">
            <v>2813.5</v>
          </cell>
          <cell r="W14">
            <v>3799.4</v>
          </cell>
          <cell r="Y14">
            <v>4712</v>
          </cell>
          <cell r="AA14">
            <v>5038</v>
          </cell>
          <cell r="AC14">
            <v>5980.5493333333325</v>
          </cell>
          <cell r="AE14">
            <v>6577.3994462366118</v>
          </cell>
          <cell r="AG14">
            <v>7084.1184670405946</v>
          </cell>
          <cell r="AI14">
            <v>7351.437436320256</v>
          </cell>
          <cell r="AK14">
            <v>7696.185373274071</v>
          </cell>
          <cell r="AO14" t="str">
            <v>mstag:propertyPlantAndEquipmentNet</v>
          </cell>
          <cell r="AP14">
            <v>6</v>
          </cell>
          <cell r="AQ14" t="str">
            <v>ISO4217:USD</v>
          </cell>
          <cell r="AR14" t="b">
            <v>0</v>
          </cell>
          <cell r="AS14" t="b">
            <v>0</v>
          </cell>
        </row>
        <row r="15">
          <cell r="B15" t="str">
            <v>Intangible Assets, net</v>
          </cell>
          <cell r="O15">
            <v>0</v>
          </cell>
          <cell r="Q15">
            <v>0</v>
          </cell>
          <cell r="S15">
            <v>34.1</v>
          </cell>
          <cell r="U15">
            <v>4801.8999999999996</v>
          </cell>
          <cell r="W15">
            <v>4455.5</v>
          </cell>
          <cell r="Y15">
            <v>4033</v>
          </cell>
          <cell r="AA15">
            <v>3742</v>
          </cell>
          <cell r="AC15">
            <v>3680.89</v>
          </cell>
          <cell r="AE15">
            <v>3462.2799999999997</v>
          </cell>
          <cell r="AG15">
            <v>3243.6699999999996</v>
          </cell>
          <cell r="AI15">
            <v>3025.0599999999995</v>
          </cell>
          <cell r="AK15">
            <v>2806.4499999999994</v>
          </cell>
          <cell r="AO15" t="str">
            <v>mstag:otherIntangibleAssets</v>
          </cell>
          <cell r="AP15">
            <v>6</v>
          </cell>
          <cell r="AQ15" t="str">
            <v>ISO4217:USD</v>
          </cell>
          <cell r="AR15" t="b">
            <v>0</v>
          </cell>
          <cell r="AS15" t="b">
            <v>0</v>
          </cell>
        </row>
        <row r="16">
          <cell r="B16" t="str">
            <v>Goodwill</v>
          </cell>
          <cell r="O16">
            <v>0</v>
          </cell>
          <cell r="Q16">
            <v>0</v>
          </cell>
          <cell r="S16">
            <v>97.2</v>
          </cell>
          <cell r="U16">
            <v>9871.1</v>
          </cell>
          <cell r="W16">
            <v>9715.9</v>
          </cell>
          <cell r="Y16">
            <v>10525</v>
          </cell>
          <cell r="AA16">
            <v>10495</v>
          </cell>
          <cell r="AC16">
            <v>10995</v>
          </cell>
          <cell r="AE16">
            <v>10995</v>
          </cell>
          <cell r="AG16">
            <v>10995</v>
          </cell>
          <cell r="AI16">
            <v>10995</v>
          </cell>
          <cell r="AK16">
            <v>10995</v>
          </cell>
          <cell r="AO16" t="str">
            <v>mstag:goodwill</v>
          </cell>
          <cell r="AP16">
            <v>6</v>
          </cell>
          <cell r="AQ16" t="str">
            <v>ISO4217:USD</v>
          </cell>
          <cell r="AR16" t="b">
            <v>0</v>
          </cell>
          <cell r="AS16" t="b">
            <v>0</v>
          </cell>
        </row>
        <row r="17">
          <cell r="B17" t="str">
            <v>Other Assets</v>
          </cell>
          <cell r="C17">
            <v>124.1</v>
          </cell>
          <cell r="E17">
            <v>213.2</v>
          </cell>
          <cell r="G17">
            <v>234.9</v>
          </cell>
          <cell r="I17">
            <v>352.5</v>
          </cell>
          <cell r="K17">
            <v>380.5</v>
          </cell>
          <cell r="M17">
            <v>358.7</v>
          </cell>
          <cell r="O17">
            <v>458.7</v>
          </cell>
          <cell r="Q17">
            <v>681</v>
          </cell>
          <cell r="S17">
            <v>507.1</v>
          </cell>
          <cell r="U17">
            <v>566.29999999999995</v>
          </cell>
          <cell r="W17">
            <v>803.5</v>
          </cell>
          <cell r="Y17">
            <v>781</v>
          </cell>
          <cell r="AA17">
            <v>787</v>
          </cell>
          <cell r="AC17">
            <v>787</v>
          </cell>
          <cell r="AE17">
            <v>787</v>
          </cell>
          <cell r="AG17">
            <v>787</v>
          </cell>
          <cell r="AI17">
            <v>787</v>
          </cell>
          <cell r="AK17">
            <v>787</v>
          </cell>
          <cell r="AO17" t="str">
            <v>mstag:otherAssetsNonOperating</v>
          </cell>
          <cell r="AP17">
            <v>6</v>
          </cell>
          <cell r="AQ17" t="str">
            <v>ISO4217:USD</v>
          </cell>
          <cell r="AR17" t="b">
            <v>0</v>
          </cell>
          <cell r="AS17" t="b">
            <v>0</v>
          </cell>
        </row>
        <row r="19">
          <cell r="B19" t="str">
            <v>Total assets</v>
          </cell>
          <cell r="C19">
            <v>1765.5219999999999</v>
          </cell>
          <cell r="E19">
            <v>1994.1520000000003</v>
          </cell>
          <cell r="G19">
            <v>2432.7999999999997</v>
          </cell>
          <cell r="I19">
            <v>2765.6000000000004</v>
          </cell>
          <cell r="K19">
            <v>3110.2</v>
          </cell>
          <cell r="M19">
            <v>3672.2</v>
          </cell>
          <cell r="O19">
            <v>4077.6</v>
          </cell>
          <cell r="Q19">
            <v>5399.5999999999995</v>
          </cell>
          <cell r="S19">
            <v>6443.0999999999995</v>
          </cell>
          <cell r="U19">
            <v>24456.3</v>
          </cell>
          <cell r="W19">
            <v>26176.5</v>
          </cell>
          <cell r="Y19">
            <v>29221</v>
          </cell>
          <cell r="AA19">
            <v>29297</v>
          </cell>
          <cell r="AC19">
            <v>30498.7158475</v>
          </cell>
          <cell r="AE19">
            <v>32564.681254757554</v>
          </cell>
          <cell r="AG19">
            <v>35051.373707732208</v>
          </cell>
          <cell r="AI19">
            <v>36944.757075929156</v>
          </cell>
          <cell r="AK19">
            <v>40324.946898201015</v>
          </cell>
        </row>
        <row r="21">
          <cell r="B21" t="str">
            <v>Current liabilities:</v>
          </cell>
        </row>
        <row r="22">
          <cell r="B22" t="str">
            <v>Accounts Payable</v>
          </cell>
          <cell r="C22">
            <v>23.056000000000001</v>
          </cell>
          <cell r="E22">
            <v>30.475999999999999</v>
          </cell>
          <cell r="G22">
            <v>54.4</v>
          </cell>
          <cell r="I22">
            <v>75</v>
          </cell>
          <cell r="K22">
            <v>111.1</v>
          </cell>
          <cell r="M22">
            <v>121.6</v>
          </cell>
          <cell r="O22">
            <v>83.4</v>
          </cell>
          <cell r="Q22">
            <v>143.19999999999999</v>
          </cell>
          <cell r="S22">
            <v>136.69999999999999</v>
          </cell>
          <cell r="U22">
            <v>254.6</v>
          </cell>
          <cell r="W22">
            <v>327.2</v>
          </cell>
          <cell r="Y22">
            <v>507</v>
          </cell>
          <cell r="AA22">
            <v>596</v>
          </cell>
          <cell r="AC22">
            <v>664.90923999999995</v>
          </cell>
          <cell r="AE22">
            <v>725.2428557948823</v>
          </cell>
          <cell r="AG22">
            <v>817.47919566890039</v>
          </cell>
          <cell r="AI22">
            <v>922.93696722228412</v>
          </cell>
          <cell r="AK22">
            <v>1024.8726343603414</v>
          </cell>
          <cell r="AO22" t="str">
            <v>mstag:tradeAndOtherPayables</v>
          </cell>
          <cell r="AP22">
            <v>6</v>
          </cell>
          <cell r="AQ22" t="str">
            <v>ISO4217:USD</v>
          </cell>
          <cell r="AR22" t="b">
            <v>0</v>
          </cell>
          <cell r="AS22" t="b">
            <v>0</v>
          </cell>
        </row>
        <row r="23">
          <cell r="B23" t="str">
            <v>Commercial Paper</v>
          </cell>
          <cell r="C23">
            <v>109.767</v>
          </cell>
          <cell r="E23">
            <v>99.667000000000002</v>
          </cell>
          <cell r="G23">
            <v>69.7</v>
          </cell>
          <cell r="I23">
            <v>0</v>
          </cell>
          <cell r="K23">
            <v>-302.2</v>
          </cell>
          <cell r="M23">
            <v>99.7</v>
          </cell>
          <cell r="O23">
            <v>99.5</v>
          </cell>
          <cell r="Q23">
            <v>99.7</v>
          </cell>
          <cell r="S23">
            <v>99.9</v>
          </cell>
          <cell r="U23">
            <v>0</v>
          </cell>
          <cell r="W23">
            <v>0</v>
          </cell>
          <cell r="Y23">
            <v>0</v>
          </cell>
          <cell r="AA23">
            <v>0</v>
          </cell>
          <cell r="AC23">
            <v>0</v>
          </cell>
          <cell r="AE23">
            <v>0</v>
          </cell>
          <cell r="AG23">
            <v>0</v>
          </cell>
          <cell r="AI23">
            <v>0</v>
          </cell>
          <cell r="AK23">
            <v>0</v>
          </cell>
          <cell r="AO23" t="str">
            <v>mstag:shortTermBorrowings</v>
          </cell>
          <cell r="AP23">
            <v>6</v>
          </cell>
          <cell r="AQ23" t="str">
            <v>ISO4217:USD</v>
          </cell>
          <cell r="AR23" t="b">
            <v>0</v>
          </cell>
          <cell r="AS23" t="b">
            <v>0</v>
          </cell>
        </row>
        <row r="24">
          <cell r="B24" t="str">
            <v>Accrued Liabilities</v>
          </cell>
          <cell r="C24">
            <v>279.43799999999999</v>
          </cell>
          <cell r="E24">
            <v>406.28699999999998</v>
          </cell>
          <cell r="G24">
            <v>459.7</v>
          </cell>
          <cell r="I24">
            <v>449.7</v>
          </cell>
          <cell r="K24">
            <v>608</v>
          </cell>
          <cell r="M24">
            <v>659.7</v>
          </cell>
          <cell r="O24">
            <v>648.20000000000005</v>
          </cell>
          <cell r="Q24">
            <v>619.20000000000005</v>
          </cell>
          <cell r="S24">
            <v>766.3</v>
          </cell>
          <cell r="U24">
            <v>1151.7</v>
          </cell>
          <cell r="W24">
            <v>1919.1</v>
          </cell>
          <cell r="Y24">
            <v>2477</v>
          </cell>
          <cell r="AA24">
            <v>2999</v>
          </cell>
          <cell r="AC24">
            <v>2908.9779249999997</v>
          </cell>
          <cell r="AE24">
            <v>3172.9374941026099</v>
          </cell>
          <cell r="AG24">
            <v>3335.3151183291138</v>
          </cell>
          <cell r="AI24">
            <v>3765.5828262669193</v>
          </cell>
          <cell r="AK24">
            <v>4181.4803481901936</v>
          </cell>
          <cell r="AO24" t="str">
            <v>mstag:accruedExpenses</v>
          </cell>
          <cell r="AP24">
            <v>6</v>
          </cell>
          <cell r="AQ24" t="str">
            <v>ISO4217:USD</v>
          </cell>
          <cell r="AR24" t="b">
            <v>0</v>
          </cell>
          <cell r="AS24" t="b">
            <v>0</v>
          </cell>
        </row>
        <row r="25">
          <cell r="B25" t="str">
            <v>Current Portion Long Term Debt</v>
          </cell>
          <cell r="I25">
            <v>118.2</v>
          </cell>
          <cell r="K25">
            <v>30</v>
          </cell>
          <cell r="M25">
            <v>6</v>
          </cell>
          <cell r="O25">
            <v>0</v>
          </cell>
          <cell r="Q25">
            <v>0</v>
          </cell>
          <cell r="S25">
            <v>0</v>
          </cell>
          <cell r="U25">
            <v>122.9</v>
          </cell>
          <cell r="W25">
            <v>0</v>
          </cell>
          <cell r="Y25">
            <v>1173</v>
          </cell>
          <cell r="AA25">
            <v>0</v>
          </cell>
          <cell r="AC25">
            <v>0</v>
          </cell>
          <cell r="AE25">
            <v>0</v>
          </cell>
          <cell r="AG25">
            <v>0</v>
          </cell>
          <cell r="AI25">
            <v>0</v>
          </cell>
          <cell r="AK25">
            <v>0</v>
          </cell>
          <cell r="AO25" t="str">
            <v>mstag:shortTermBorrowings</v>
          </cell>
          <cell r="AP25">
            <v>6</v>
          </cell>
          <cell r="AQ25" t="str">
            <v>ISO4217:USD</v>
          </cell>
          <cell r="AR25" t="b">
            <v>0</v>
          </cell>
          <cell r="AS25" t="b">
            <v>0</v>
          </cell>
        </row>
        <row r="26">
          <cell r="B26" t="str">
            <v>Total current liabilities</v>
          </cell>
          <cell r="C26">
            <v>412.26099999999997</v>
          </cell>
          <cell r="E26">
            <v>536.42999999999995</v>
          </cell>
          <cell r="G26">
            <v>583.79999999999995</v>
          </cell>
          <cell r="I26">
            <v>642.90000000000009</v>
          </cell>
          <cell r="K26">
            <v>446.9</v>
          </cell>
          <cell r="M26">
            <v>887</v>
          </cell>
          <cell r="O26">
            <v>831.1</v>
          </cell>
          <cell r="Q26">
            <v>862.1</v>
          </cell>
          <cell r="S26">
            <v>1002.9</v>
          </cell>
          <cell r="U26">
            <v>1529.2</v>
          </cell>
          <cell r="W26">
            <v>2246.2999999999997</v>
          </cell>
          <cell r="Y26">
            <v>4157</v>
          </cell>
          <cell r="AA26">
            <v>3595</v>
          </cell>
          <cell r="AC26">
            <v>3573.8871649999996</v>
          </cell>
          <cell r="AE26">
            <v>3898.1803498974923</v>
          </cell>
          <cell r="AG26">
            <v>4152.7943139980143</v>
          </cell>
          <cell r="AI26">
            <v>4688.519793489203</v>
          </cell>
          <cell r="AK26">
            <v>5206.3529825505348</v>
          </cell>
        </row>
        <row r="28">
          <cell r="B28" t="str">
            <v>Deferred Tax Liabilities</v>
          </cell>
          <cell r="C28">
            <v>0</v>
          </cell>
          <cell r="E28">
            <v>0</v>
          </cell>
          <cell r="G28">
            <v>0</v>
          </cell>
          <cell r="I28">
            <v>0</v>
          </cell>
          <cell r="K28">
            <v>0</v>
          </cell>
          <cell r="M28">
            <v>0</v>
          </cell>
          <cell r="O28">
            <v>0</v>
          </cell>
          <cell r="Q28">
            <v>0</v>
          </cell>
          <cell r="S28">
            <v>0</v>
          </cell>
          <cell r="U28">
            <v>1593.4</v>
          </cell>
          <cell r="W28">
            <v>1461.6</v>
          </cell>
          <cell r="Y28">
            <v>1294</v>
          </cell>
          <cell r="AA28">
            <v>1294</v>
          </cell>
          <cell r="AC28">
            <v>994</v>
          </cell>
          <cell r="AE28">
            <v>994</v>
          </cell>
          <cell r="AG28">
            <v>994</v>
          </cell>
          <cell r="AI28">
            <v>994</v>
          </cell>
          <cell r="AK28">
            <v>994</v>
          </cell>
          <cell r="AO28" t="str">
            <v>mstag:deferredTaxLiabilities</v>
          </cell>
          <cell r="AP28">
            <v>6</v>
          </cell>
          <cell r="AQ28" t="str">
            <v>ISO4217:USD</v>
          </cell>
          <cell r="AR28" t="b">
            <v>0</v>
          </cell>
          <cell r="AS28" t="b">
            <v>0</v>
          </cell>
        </row>
        <row r="29">
          <cell r="B29" t="str">
            <v xml:space="preserve">Long-Term Debt </v>
          </cell>
          <cell r="C29">
            <v>181.24199999999999</v>
          </cell>
          <cell r="E29">
            <v>183.40700000000001</v>
          </cell>
          <cell r="G29">
            <v>177.2</v>
          </cell>
          <cell r="I29">
            <v>59</v>
          </cell>
          <cell r="K29">
            <v>229</v>
          </cell>
          <cell r="M29">
            <v>223</v>
          </cell>
          <cell r="O29">
            <v>223</v>
          </cell>
          <cell r="Q29">
            <v>223</v>
          </cell>
          <cell r="S29">
            <v>223</v>
          </cell>
          <cell r="U29">
            <v>3047.7</v>
          </cell>
          <cell r="W29">
            <v>3079.5</v>
          </cell>
          <cell r="Y29">
            <v>4065</v>
          </cell>
          <cell r="AA29">
            <v>3957</v>
          </cell>
          <cell r="AC29">
            <v>8976.7887499999997</v>
          </cell>
          <cell r="AE29">
            <v>8896.5774999999994</v>
          </cell>
          <cell r="AG29">
            <v>8916.3662499999991</v>
          </cell>
          <cell r="AI29">
            <v>7938.1549999999988</v>
          </cell>
          <cell r="AK29">
            <v>7957.9437499999985</v>
          </cell>
          <cell r="AO29" t="str">
            <v>mstag:longTermDebt</v>
          </cell>
          <cell r="AP29">
            <v>6</v>
          </cell>
          <cell r="AQ29" t="str">
            <v>ISO4217:USD</v>
          </cell>
          <cell r="AR29" t="b">
            <v>0</v>
          </cell>
          <cell r="AS29" t="b">
            <v>0</v>
          </cell>
        </row>
        <row r="30">
          <cell r="B30" t="str">
            <v>Put Warrants</v>
          </cell>
          <cell r="C30">
            <v>0</v>
          </cell>
          <cell r="E30">
            <v>0</v>
          </cell>
          <cell r="G30">
            <v>0</v>
          </cell>
          <cell r="I30">
            <v>157.4</v>
          </cell>
          <cell r="K30">
            <v>0</v>
          </cell>
          <cell r="M30">
            <v>0</v>
          </cell>
          <cell r="O30">
            <v>0</v>
          </cell>
          <cell r="Q30">
            <v>0</v>
          </cell>
          <cell r="S30">
            <v>0</v>
          </cell>
          <cell r="U30">
            <v>0</v>
          </cell>
          <cell r="W30">
            <v>0</v>
          </cell>
          <cell r="Y30">
            <v>0</v>
          </cell>
          <cell r="AA30">
            <v>0</v>
          </cell>
          <cell r="AC30">
            <v>0</v>
          </cell>
          <cell r="AE30">
            <v>0</v>
          </cell>
          <cell r="AG30">
            <v>0</v>
          </cell>
          <cell r="AI30">
            <v>0</v>
          </cell>
          <cell r="AK30">
            <v>0</v>
          </cell>
          <cell r="AO30" t="str">
            <v>mstag:otherLiabilitiesNonOperating</v>
          </cell>
          <cell r="AP30">
            <v>6</v>
          </cell>
          <cell r="AQ30" t="str">
            <v>ISO4217:USD</v>
          </cell>
          <cell r="AR30" t="b">
            <v>0</v>
          </cell>
          <cell r="AS30" t="b">
            <v>0</v>
          </cell>
        </row>
        <row r="31">
          <cell r="B31" t="str">
            <v>Total liabilities</v>
          </cell>
          <cell r="C31">
            <v>593.50299999999993</v>
          </cell>
          <cell r="E31">
            <v>719.83699999999999</v>
          </cell>
          <cell r="G31">
            <v>761</v>
          </cell>
          <cell r="I31">
            <v>701.90000000000009</v>
          </cell>
          <cell r="K31">
            <v>675.9</v>
          </cell>
          <cell r="M31">
            <v>1110</v>
          </cell>
          <cell r="O31">
            <v>1054.0999999999999</v>
          </cell>
          <cell r="Q31">
            <v>1085.0999999999999</v>
          </cell>
          <cell r="S31">
            <v>1225.9000000000001</v>
          </cell>
          <cell r="U31">
            <v>6170.3</v>
          </cell>
          <cell r="W31">
            <v>6787.4</v>
          </cell>
          <cell r="Y31">
            <v>9516</v>
          </cell>
          <cell r="AA31">
            <v>8846</v>
          </cell>
          <cell r="AC31">
            <v>13544.675915</v>
          </cell>
          <cell r="AE31">
            <v>13788.757849897491</v>
          </cell>
          <cell r="AG31">
            <v>14063.160563998013</v>
          </cell>
          <cell r="AI31">
            <v>13620.674793489201</v>
          </cell>
          <cell r="AK31">
            <v>14158.296732550534</v>
          </cell>
        </row>
        <row r="33">
          <cell r="B33" t="str">
            <v>Stockholders' equity:</v>
          </cell>
        </row>
        <row r="34">
          <cell r="B34" t="str">
            <v>Preferred Stock</v>
          </cell>
          <cell r="S34">
            <v>0</v>
          </cell>
          <cell r="U34">
            <v>0</v>
          </cell>
          <cell r="W34">
            <v>0</v>
          </cell>
          <cell r="Y34">
            <v>0</v>
          </cell>
          <cell r="AA34">
            <v>0</v>
          </cell>
          <cell r="AC34">
            <v>0</v>
          </cell>
          <cell r="AE34">
            <v>0</v>
          </cell>
          <cell r="AG34">
            <v>0</v>
          </cell>
          <cell r="AI34">
            <v>0</v>
          </cell>
          <cell r="AK34">
            <v>0</v>
          </cell>
          <cell r="AO34" t="str">
            <v>mstag:preferredEquity</v>
          </cell>
          <cell r="AP34">
            <v>6</v>
          </cell>
          <cell r="AQ34" t="str">
            <v>ISO4217:USD</v>
          </cell>
          <cell r="AR34" t="b">
            <v>0</v>
          </cell>
          <cell r="AS34" t="b">
            <v>0</v>
          </cell>
        </row>
        <row r="35">
          <cell r="B35" t="str">
            <v>Common Stock and APIC</v>
          </cell>
          <cell r="C35">
            <v>583.19878761447876</v>
          </cell>
          <cell r="E35">
            <v>634.09843436545998</v>
          </cell>
          <cell r="G35">
            <v>831.89001308329694</v>
          </cell>
          <cell r="I35">
            <v>1026.9000000000001</v>
          </cell>
          <cell r="K35">
            <v>1196.0999999999999</v>
          </cell>
          <cell r="M35">
            <v>1671.9</v>
          </cell>
          <cell r="O35">
            <v>2072.3000000000002</v>
          </cell>
          <cell r="Q35">
            <v>2947.3</v>
          </cell>
          <cell r="S35">
            <v>3474.1</v>
          </cell>
          <cell r="U35">
            <v>19344.3</v>
          </cell>
          <cell r="W35">
            <v>19995.3</v>
          </cell>
          <cell r="Y35">
            <v>22078</v>
          </cell>
          <cell r="AA35">
            <v>23561</v>
          </cell>
          <cell r="AC35">
            <v>16734.574542499999</v>
          </cell>
          <cell r="AE35">
            <v>14375.822116285579</v>
          </cell>
          <cell r="AG35">
            <v>11943.489962124937</v>
          </cell>
          <cell r="AI35">
            <v>9343.913232858682</v>
          </cell>
          <cell r="AK35">
            <v>6943.2943418808663</v>
          </cell>
          <cell r="AO35" t="str">
            <v>mstag:totalShareCapital</v>
          </cell>
          <cell r="AP35">
            <v>6</v>
          </cell>
          <cell r="AQ35" t="str">
            <v>ISO4217:USD</v>
          </cell>
          <cell r="AR35" t="b">
            <v>0</v>
          </cell>
          <cell r="AS35" t="b">
            <v>0</v>
          </cell>
        </row>
        <row r="36">
          <cell r="B36" t="str">
            <v>Retained Earnings</v>
          </cell>
          <cell r="C36">
            <v>499.43033774288898</v>
          </cell>
          <cell r="E36">
            <v>543.01895333624066</v>
          </cell>
          <cell r="G36">
            <v>712.4005039492173</v>
          </cell>
          <cell r="I36">
            <v>879.4</v>
          </cell>
          <cell r="K36">
            <v>943.2</v>
          </cell>
          <cell r="M36">
            <v>894.3</v>
          </cell>
          <cell r="O36">
            <v>966</v>
          </cell>
          <cell r="Q36">
            <v>1304.5999999999999</v>
          </cell>
          <cell r="S36">
            <v>1686.8</v>
          </cell>
          <cell r="U36">
            <v>-1125.5</v>
          </cell>
          <cell r="W36">
            <v>-667</v>
          </cell>
          <cell r="Y36">
            <v>-2376</v>
          </cell>
          <cell r="AA36">
            <v>-3132</v>
          </cell>
          <cell r="AC36">
            <v>197.4653900000003</v>
          </cell>
          <cell r="AE36">
            <v>4378.1012885744822</v>
          </cell>
          <cell r="AG36">
            <v>9022.7231816092572</v>
          </cell>
          <cell r="AI36">
            <v>13958.169049581269</v>
          </cell>
          <cell r="AK36">
            <v>19201.355823769609</v>
          </cell>
          <cell r="AO36" t="str">
            <v>mstag:retainedEarnings</v>
          </cell>
          <cell r="AP36">
            <v>6</v>
          </cell>
          <cell r="AQ36" t="str">
            <v>ISO4217:USD</v>
          </cell>
          <cell r="AR36" t="b">
            <v>0</v>
          </cell>
          <cell r="AS36" t="b">
            <v>0</v>
          </cell>
        </row>
        <row r="37">
          <cell r="B37" t="str">
            <v>AOCI</v>
          </cell>
          <cell r="C37">
            <v>89.390874642632141</v>
          </cell>
          <cell r="E37">
            <v>97.192612298299153</v>
          </cell>
          <cell r="G37">
            <v>127.50948296748555</v>
          </cell>
          <cell r="I37">
            <v>157.4</v>
          </cell>
          <cell r="K37">
            <v>295</v>
          </cell>
          <cell r="M37">
            <v>-4</v>
          </cell>
          <cell r="O37">
            <v>-14.8</v>
          </cell>
          <cell r="Q37">
            <v>62.6</v>
          </cell>
          <cell r="S37">
            <v>56.3</v>
          </cell>
          <cell r="U37">
            <v>67.2</v>
          </cell>
          <cell r="W37">
            <v>60.8</v>
          </cell>
          <cell r="Y37">
            <v>3</v>
          </cell>
          <cell r="AA37">
            <v>22</v>
          </cell>
          <cell r="AC37">
            <v>22</v>
          </cell>
          <cell r="AE37">
            <v>22</v>
          </cell>
          <cell r="AG37">
            <v>22</v>
          </cell>
          <cell r="AI37">
            <v>22</v>
          </cell>
          <cell r="AK37">
            <v>22</v>
          </cell>
          <cell r="AO37" t="str">
            <v>mstag:accumulatedOtherComprehensiveIncomeLossAndReserves</v>
          </cell>
          <cell r="AP37">
            <v>6</v>
          </cell>
          <cell r="AQ37" t="str">
            <v>ISO4217:USD</v>
          </cell>
          <cell r="AR37" t="b">
            <v>0</v>
          </cell>
          <cell r="AS37" t="b">
            <v>0</v>
          </cell>
        </row>
        <row r="38">
          <cell r="B38" t="str">
            <v>Total stockholders' equity</v>
          </cell>
          <cell r="C38">
            <v>1172.02</v>
          </cell>
          <cell r="E38">
            <v>1274.31</v>
          </cell>
          <cell r="G38">
            <v>1671.8</v>
          </cell>
          <cell r="I38">
            <v>2063.7000000000003</v>
          </cell>
          <cell r="K38">
            <v>2434.3000000000002</v>
          </cell>
          <cell r="M38">
            <v>2562.1999999999998</v>
          </cell>
          <cell r="O38">
            <v>3023.5</v>
          </cell>
          <cell r="Q38">
            <v>4314.5</v>
          </cell>
          <cell r="S38">
            <v>5217.2</v>
          </cell>
          <cell r="U38">
            <v>18286</v>
          </cell>
          <cell r="W38">
            <v>19389.099999999999</v>
          </cell>
          <cell r="Y38">
            <v>19705</v>
          </cell>
          <cell r="AA38">
            <v>20451</v>
          </cell>
          <cell r="AC38">
            <v>16954.0399325</v>
          </cell>
          <cell r="AE38">
            <v>18775.923404860063</v>
          </cell>
          <cell r="AG38">
            <v>20988.213143734196</v>
          </cell>
          <cell r="AI38">
            <v>23324.082282439951</v>
          </cell>
          <cell r="AK38">
            <v>26166.650165650477</v>
          </cell>
        </row>
        <row r="40">
          <cell r="B40" t="str">
            <v>Total Liabilities and Equity</v>
          </cell>
          <cell r="C40">
            <v>1765.5229999999999</v>
          </cell>
          <cell r="E40">
            <v>1994.1469999999999</v>
          </cell>
          <cell r="G40">
            <v>2432.8000000000002</v>
          </cell>
          <cell r="I40">
            <v>2765.6000000000004</v>
          </cell>
          <cell r="K40">
            <v>3110.2000000000003</v>
          </cell>
          <cell r="M40">
            <v>3672.2</v>
          </cell>
          <cell r="O40">
            <v>4077.6</v>
          </cell>
          <cell r="Q40">
            <v>5399.6</v>
          </cell>
          <cell r="S40">
            <v>6443.1</v>
          </cell>
          <cell r="U40">
            <v>24456.3</v>
          </cell>
          <cell r="W40">
            <v>26176.5</v>
          </cell>
          <cell r="Y40">
            <v>29221</v>
          </cell>
          <cell r="AA40">
            <v>29297</v>
          </cell>
          <cell r="AC40">
            <v>30498.7158475</v>
          </cell>
          <cell r="AE40">
            <v>32564.681254757554</v>
          </cell>
          <cell r="AG40">
            <v>35051.373707732208</v>
          </cell>
          <cell r="AI40">
            <v>36944.757075929156</v>
          </cell>
          <cell r="AK40">
            <v>40324.946898201015</v>
          </cell>
        </row>
        <row r="42">
          <cell r="C42">
            <v>-9.9999999997635314E-4</v>
          </cell>
          <cell r="E42">
            <v>5.000000000336513E-3</v>
          </cell>
          <cell r="G42">
            <v>0</v>
          </cell>
          <cell r="I42">
            <v>0</v>
          </cell>
          <cell r="K42">
            <v>0</v>
          </cell>
          <cell r="M42">
            <v>0</v>
          </cell>
          <cell r="O42">
            <v>0</v>
          </cell>
          <cell r="Q42">
            <v>0</v>
          </cell>
          <cell r="S42">
            <v>0</v>
          </cell>
          <cell r="U42">
            <v>0</v>
          </cell>
          <cell r="W42">
            <v>0</v>
          </cell>
          <cell r="Y42">
            <v>0</v>
          </cell>
          <cell r="AA42">
            <v>0</v>
          </cell>
          <cell r="AC42">
            <v>0</v>
          </cell>
          <cell r="AE42">
            <v>0</v>
          </cell>
          <cell r="AG42">
            <v>0</v>
          </cell>
          <cell r="AI42">
            <v>0</v>
          </cell>
          <cell r="AK42">
            <v>0</v>
          </cell>
        </row>
        <row r="43">
          <cell r="C43">
            <v>-4.9999999998817657E-4</v>
          </cell>
          <cell r="E43">
            <v>2.5000000001682565E-3</v>
          </cell>
          <cell r="G43">
            <v>0</v>
          </cell>
          <cell r="I43">
            <v>0</v>
          </cell>
          <cell r="K43">
            <v>0</v>
          </cell>
          <cell r="M43">
            <v>0</v>
          </cell>
          <cell r="O43">
            <v>0</v>
          </cell>
          <cell r="Q43">
            <v>0</v>
          </cell>
          <cell r="S43">
            <v>0</v>
          </cell>
          <cell r="U43">
            <v>0</v>
          </cell>
          <cell r="W43">
            <v>0</v>
          </cell>
          <cell r="Y43">
            <v>0</v>
          </cell>
          <cell r="AA43">
            <v>0</v>
          </cell>
          <cell r="AC43">
            <v>0</v>
          </cell>
          <cell r="AE43">
            <v>0</v>
          </cell>
          <cell r="AG43">
            <v>0</v>
          </cell>
          <cell r="AI43">
            <v>0</v>
          </cell>
          <cell r="AK43">
            <v>0</v>
          </cell>
        </row>
        <row r="44">
          <cell r="B44" t="str">
            <v>Common Stock and APIC</v>
          </cell>
          <cell r="U44">
            <v>15870.199999999999</v>
          </cell>
          <cell r="W44">
            <v>651</v>
          </cell>
          <cell r="Y44">
            <v>2082.7000000000007</v>
          </cell>
          <cell r="AA44">
            <v>1483</v>
          </cell>
          <cell r="AC44">
            <v>-6826.4254575000014</v>
          </cell>
          <cell r="AE44">
            <v>-2358.7524262144198</v>
          </cell>
          <cell r="AG44">
            <v>-2432.3321541606419</v>
          </cell>
          <cell r="AI44">
            <v>-2599.5767292662549</v>
          </cell>
        </row>
        <row r="45">
          <cell r="B45" t="str">
            <v>Retained Earnings</v>
          </cell>
          <cell r="U45">
            <v>-2812.3</v>
          </cell>
          <cell r="W45">
            <v>2461.5</v>
          </cell>
          <cell r="Y45">
            <v>-1709</v>
          </cell>
          <cell r="AA45">
            <v>-756</v>
          </cell>
          <cell r="AC45">
            <v>3329.4653900000003</v>
          </cell>
          <cell r="AE45">
            <v>4180.6358985744819</v>
          </cell>
          <cell r="AG45">
            <v>4644.621893034775</v>
          </cell>
          <cell r="AI45">
            <v>4935.4458679720119</v>
          </cell>
        </row>
        <row r="46">
          <cell r="B46" t="str">
            <v>AOCI</v>
          </cell>
          <cell r="U46">
            <v>10.900000000000006</v>
          </cell>
          <cell r="W46">
            <v>-6.4000000000000057</v>
          </cell>
          <cell r="Y46">
            <v>-57.8</v>
          </cell>
          <cell r="AA46">
            <v>19</v>
          </cell>
          <cell r="AC46">
            <v>0</v>
          </cell>
          <cell r="AE46">
            <v>0</v>
          </cell>
          <cell r="AG46">
            <v>0</v>
          </cell>
          <cell r="AI46">
            <v>0</v>
          </cell>
        </row>
        <row r="48">
          <cell r="B48" t="str">
            <v>CALCULATIONS</v>
          </cell>
        </row>
        <row r="49">
          <cell r="W49" t="str">
            <v>2003-FY</v>
          </cell>
          <cell r="Y49" t="str">
            <v>2004-FY</v>
          </cell>
          <cell r="AA49" t="str">
            <v>2005-FY</v>
          </cell>
          <cell r="AC49" t="str">
            <v>2006-FY</v>
          </cell>
          <cell r="AE49" t="str">
            <v>2007-FY</v>
          </cell>
          <cell r="AG49" t="str">
            <v>2008-FY</v>
          </cell>
          <cell r="AI49" t="str">
            <v>2009-FY</v>
          </cell>
          <cell r="AK49" t="str">
            <v>2010-FY</v>
          </cell>
        </row>
        <row r="50">
          <cell r="A50" t="str">
            <v>Revenues</v>
          </cell>
          <cell r="O50">
            <v>3340.1</v>
          </cell>
          <cell r="Q50">
            <v>3629.3999999999996</v>
          </cell>
          <cell r="S50">
            <v>4015.7</v>
          </cell>
          <cell r="U50">
            <v>5522.9999999999991</v>
          </cell>
          <cell r="W50">
            <v>8356</v>
          </cell>
          <cell r="Y50">
            <v>10549.9</v>
          </cell>
          <cell r="AA50">
            <v>12430</v>
          </cell>
          <cell r="AC50">
            <v>13779</v>
          </cell>
          <cell r="AE50">
            <v>15089.778225807069</v>
          </cell>
          <cell r="AG50">
            <v>16371.308428631663</v>
          </cell>
          <cell r="AI50">
            <v>17919.625529985176</v>
          </cell>
          <cell r="AK50">
            <v>19502.253061994084</v>
          </cell>
        </row>
        <row r="51">
          <cell r="A51" t="str">
            <v>Operating expenses</v>
          </cell>
          <cell r="O51">
            <v>1847</v>
          </cell>
          <cell r="Q51">
            <v>2085.4</v>
          </cell>
          <cell r="S51">
            <v>2484.5</v>
          </cell>
          <cell r="U51">
            <v>3160.5</v>
          </cell>
          <cell r="W51">
            <v>4929.0000000000009</v>
          </cell>
          <cell r="Y51">
            <v>6315</v>
          </cell>
          <cell r="AA51">
            <v>7129</v>
          </cell>
          <cell r="AC51">
            <v>8311.3654999999999</v>
          </cell>
          <cell r="AE51">
            <v>9065.5356974360293</v>
          </cell>
          <cell r="AG51">
            <v>9809.7503480268042</v>
          </cell>
          <cell r="AI51">
            <v>11075.243606667409</v>
          </cell>
          <cell r="AK51">
            <v>12298.471612324098</v>
          </cell>
        </row>
        <row r="52">
          <cell r="A52" t="str">
            <v>COGS</v>
          </cell>
          <cell r="O52">
            <v>402.1</v>
          </cell>
          <cell r="Q52">
            <v>408.4</v>
          </cell>
          <cell r="S52">
            <v>443</v>
          </cell>
          <cell r="U52">
            <v>735.7</v>
          </cell>
          <cell r="W52">
            <v>1340.7</v>
          </cell>
          <cell r="Y52">
            <v>1731</v>
          </cell>
          <cell r="AA52">
            <v>2035</v>
          </cell>
          <cell r="AC52">
            <v>2275.2525000000001</v>
          </cell>
          <cell r="AE52">
            <v>2471.3026127583394</v>
          </cell>
          <cell r="AG52">
            <v>2663.674218929084</v>
          </cell>
          <cell r="AI52">
            <v>2921.8139905241542</v>
          </cell>
          <cell r="AK52">
            <v>3229.9239384968482</v>
          </cell>
        </row>
        <row r="54">
          <cell r="B54" t="str">
            <v>Depreciation and Amortization from</v>
          </cell>
          <cell r="AL54">
            <v>7.5</v>
          </cell>
        </row>
        <row r="55">
          <cell r="A55" t="str">
            <v xml:space="preserve">Existing PP&amp;E </v>
          </cell>
          <cell r="O55">
            <v>176.8</v>
          </cell>
          <cell r="Q55">
            <v>211.8</v>
          </cell>
          <cell r="S55">
            <v>265.89999999999998</v>
          </cell>
          <cell r="U55">
            <v>204.3</v>
          </cell>
          <cell r="W55">
            <v>77.599999999999994</v>
          </cell>
          <cell r="Y55">
            <v>0</v>
          </cell>
          <cell r="AA55">
            <v>0</v>
          </cell>
          <cell r="AC55">
            <v>0</v>
          </cell>
          <cell r="AE55">
            <v>0</v>
          </cell>
          <cell r="AG55">
            <v>0</v>
          </cell>
          <cell r="AI55">
            <v>0</v>
          </cell>
          <cell r="AK55">
            <v>0</v>
          </cell>
        </row>
        <row r="56">
          <cell r="A56" t="str">
            <v>2002 capital expenditures</v>
          </cell>
          <cell r="U56">
            <v>87.8</v>
          </cell>
          <cell r="W56">
            <v>87.8</v>
          </cell>
          <cell r="Y56">
            <v>87.8</v>
          </cell>
          <cell r="AA56">
            <v>87.8</v>
          </cell>
          <cell r="AC56">
            <v>87.8</v>
          </cell>
          <cell r="AE56">
            <v>87.8</v>
          </cell>
          <cell r="AG56">
            <v>87.8</v>
          </cell>
          <cell r="AI56">
            <v>87.8</v>
          </cell>
          <cell r="AK56">
            <v>87.8</v>
          </cell>
        </row>
        <row r="57">
          <cell r="A57" t="str">
            <v>2003 capital expenditures</v>
          </cell>
          <cell r="W57">
            <v>180.93333333333334</v>
          </cell>
          <cell r="Y57">
            <v>180.93333333333334</v>
          </cell>
          <cell r="AA57">
            <v>180.93333333333334</v>
          </cell>
          <cell r="AC57">
            <v>180.93333333333334</v>
          </cell>
          <cell r="AE57">
            <v>180.93333333333334</v>
          </cell>
          <cell r="AG57">
            <v>180.93333333333334</v>
          </cell>
          <cell r="AI57">
            <v>180.93333333333334</v>
          </cell>
          <cell r="AK57">
            <v>180.93333333333334</v>
          </cell>
        </row>
        <row r="58">
          <cell r="A58" t="str">
            <v>2004 capital expenditures</v>
          </cell>
          <cell r="Y58">
            <v>106.13333333333333</v>
          </cell>
          <cell r="AA58">
            <v>106.13333333333333</v>
          </cell>
          <cell r="AC58">
            <v>106.13333333333333</v>
          </cell>
          <cell r="AE58">
            <v>106.13333333333333</v>
          </cell>
          <cell r="AG58">
            <v>106.13333333333333</v>
          </cell>
          <cell r="AI58">
            <v>106.13333333333333</v>
          </cell>
          <cell r="AK58">
            <v>106.13333333333333</v>
          </cell>
        </row>
        <row r="59">
          <cell r="A59" t="str">
            <v>2005 capital expenditures</v>
          </cell>
          <cell r="AA59">
            <v>115.6</v>
          </cell>
          <cell r="AC59">
            <v>115.6</v>
          </cell>
          <cell r="AE59">
            <v>115.6</v>
          </cell>
          <cell r="AG59">
            <v>115.6</v>
          </cell>
          <cell r="AI59">
            <v>115.6</v>
          </cell>
          <cell r="AK59">
            <v>115.6</v>
          </cell>
        </row>
        <row r="60">
          <cell r="A60" t="str">
            <v>2006 capital expenditures</v>
          </cell>
          <cell r="AC60">
            <v>220.464</v>
          </cell>
          <cell r="AE60">
            <v>220.464</v>
          </cell>
          <cell r="AG60">
            <v>220.464</v>
          </cell>
          <cell r="AI60">
            <v>220.464</v>
          </cell>
          <cell r="AK60">
            <v>220.464</v>
          </cell>
        </row>
        <row r="61">
          <cell r="A61" t="str">
            <v>2007 capital expenditures</v>
          </cell>
          <cell r="AE61">
            <v>201.19704301076092</v>
          </cell>
          <cell r="AG61">
            <v>201.19704301076092</v>
          </cell>
          <cell r="AI61">
            <v>201.19704301076092</v>
          </cell>
          <cell r="AK61">
            <v>201.19704301076092</v>
          </cell>
        </row>
        <row r="62">
          <cell r="A62" t="str">
            <v>2008 capital expenditures</v>
          </cell>
          <cell r="AG62">
            <v>218.28411238175553</v>
          </cell>
          <cell r="AI62">
            <v>218.28411238175553</v>
          </cell>
          <cell r="AK62">
            <v>218.28411238175553</v>
          </cell>
        </row>
        <row r="63">
          <cell r="A63" t="str">
            <v>2009 capital expenditures</v>
          </cell>
          <cell r="AI63">
            <v>215.03550635982211</v>
          </cell>
          <cell r="AK63">
            <v>215.03550635982211</v>
          </cell>
        </row>
        <row r="64">
          <cell r="A64" t="str">
            <v>2010 capital expenditures</v>
          </cell>
          <cell r="AK64">
            <v>260.03004082658782</v>
          </cell>
        </row>
        <row r="65">
          <cell r="A65" t="str">
            <v>Total depreciation</v>
          </cell>
          <cell r="U65">
            <v>292.10000000000002</v>
          </cell>
          <cell r="W65">
            <v>350.7</v>
          </cell>
          <cell r="Y65">
            <v>374.86666666666667</v>
          </cell>
          <cell r="AA65">
            <v>598</v>
          </cell>
          <cell r="AC65">
            <v>710.93066666666664</v>
          </cell>
          <cell r="AE65">
            <v>912.12770967742756</v>
          </cell>
          <cell r="AG65">
            <v>1130.4118220591831</v>
          </cell>
          <cell r="AI65">
            <v>1345.4473284190053</v>
          </cell>
          <cell r="AK65">
            <v>1605.4773692455931</v>
          </cell>
        </row>
        <row r="66">
          <cell r="A66" t="str">
            <v>Amortization of Existing Intangible Assets</v>
          </cell>
          <cell r="U66">
            <v>155.19999999999999</v>
          </cell>
          <cell r="W66">
            <v>335.8</v>
          </cell>
          <cell r="Y66">
            <v>744.2</v>
          </cell>
          <cell r="AA66">
            <v>243</v>
          </cell>
          <cell r="AC66">
            <v>61.11</v>
          </cell>
          <cell r="AE66">
            <v>218.61</v>
          </cell>
          <cell r="AG66">
            <v>218.61</v>
          </cell>
          <cell r="AI66">
            <v>218.61</v>
          </cell>
          <cell r="AK66">
            <v>218.61</v>
          </cell>
        </row>
        <row r="67">
          <cell r="A67" t="str">
            <v>Total depreciation and amortization</v>
          </cell>
          <cell r="O67" t="e">
            <v>#REF!</v>
          </cell>
          <cell r="Q67">
            <v>211.8</v>
          </cell>
          <cell r="S67">
            <v>265.89999999999998</v>
          </cell>
          <cell r="U67">
            <v>447.3</v>
          </cell>
          <cell r="W67">
            <v>686.5</v>
          </cell>
          <cell r="Y67">
            <v>1119.0666666666666</v>
          </cell>
          <cell r="AA67">
            <v>841</v>
          </cell>
          <cell r="AC67">
            <v>772.04066666666665</v>
          </cell>
          <cell r="AE67">
            <v>1130.7377096774276</v>
          </cell>
          <cell r="AG67">
            <v>1349.0218220591833</v>
          </cell>
          <cell r="AI67">
            <v>1564.0573284190054</v>
          </cell>
          <cell r="AK67">
            <v>1824.087369245593</v>
          </cell>
        </row>
        <row r="68">
          <cell r="A68" t="str">
            <v xml:space="preserve">     Depreciation as % operating expenses</v>
          </cell>
          <cell r="U68">
            <v>9.2422085113115018E-2</v>
          </cell>
          <cell r="W68">
            <v>7.1150334753499675E-2</v>
          </cell>
          <cell r="Y68">
            <v>5.9361309052520454E-2</v>
          </cell>
          <cell r="AA68">
            <v>8.3882732501052035E-2</v>
          </cell>
          <cell r="AC68">
            <v>8.5537167949919501E-2</v>
          </cell>
          <cell r="AE68">
            <v>0.10061487154425977</v>
          </cell>
          <cell r="AG68">
            <v>0.11523349544635061</v>
          </cell>
          <cell r="AI68">
            <v>0.12148241394970602</v>
          </cell>
          <cell r="AK68">
            <v>0.13054283652911558</v>
          </cell>
        </row>
        <row r="69">
          <cell r="A69" t="str">
            <v xml:space="preserve">    Amortization as % of operating expenses</v>
          </cell>
          <cell r="U69">
            <v>4.9106154089542789E-2</v>
          </cell>
          <cell r="W69">
            <v>6.8127409210793258E-2</v>
          </cell>
          <cell r="Y69">
            <v>0.11784639746634996</v>
          </cell>
          <cell r="AA69">
            <v>3.4086127086547902E-2</v>
          </cell>
          <cell r="AC69">
            <v>7.3525824366645889E-3</v>
          </cell>
          <cell r="AE69">
            <v>2.4114405071707857E-2</v>
          </cell>
          <cell r="AG69">
            <v>2.2284970793774853E-2</v>
          </cell>
          <cell r="AI69">
            <v>1.973861774637576E-2</v>
          </cell>
          <cell r="AK69">
            <v>1.7775379485442281E-2</v>
          </cell>
        </row>
        <row r="71">
          <cell r="A71" t="str">
            <v>Working Capital</v>
          </cell>
        </row>
        <row r="72">
          <cell r="A72" t="str">
            <v>Trade receivables</v>
          </cell>
          <cell r="O72">
            <v>412.2</v>
          </cell>
          <cell r="Q72">
            <v>389.2</v>
          </cell>
          <cell r="S72">
            <v>497.2</v>
          </cell>
          <cell r="U72">
            <v>752.4</v>
          </cell>
          <cell r="W72">
            <v>1007.9</v>
          </cell>
          <cell r="Y72">
            <v>1461</v>
          </cell>
          <cell r="AA72">
            <v>1769</v>
          </cell>
          <cell r="AC72">
            <v>1968.4285714285713</v>
          </cell>
          <cell r="AE72">
            <v>2155.6826036867242</v>
          </cell>
          <cell r="AG72">
            <v>2372.6533954538641</v>
          </cell>
          <cell r="AI72">
            <v>2597.047178258721</v>
          </cell>
          <cell r="AK72">
            <v>2826.4134872455193</v>
          </cell>
        </row>
        <row r="73">
          <cell r="A73" t="str">
            <v>% revenue</v>
          </cell>
          <cell r="O73">
            <v>0.12340947875812101</v>
          </cell>
          <cell r="Q73">
            <v>0.10723535570617734</v>
          </cell>
          <cell r="S73">
            <v>0.12381402993251488</v>
          </cell>
          <cell r="U73">
            <v>0.13623030961434004</v>
          </cell>
          <cell r="W73">
            <v>0.12061991383437051</v>
          </cell>
          <cell r="Y73">
            <v>0.13848472497369643</v>
          </cell>
          <cell r="AA73">
            <v>0.14231697506033789</v>
          </cell>
          <cell r="AC73">
            <v>0.14285714285714285</v>
          </cell>
          <cell r="AE73">
            <v>0.14285714285714285</v>
          </cell>
          <cell r="AG73">
            <v>0.14492753623188406</v>
          </cell>
          <cell r="AI73">
            <v>0.14492753623188404</v>
          </cell>
          <cell r="AK73">
            <v>0.14492753623188404</v>
          </cell>
        </row>
        <row r="74">
          <cell r="A74" t="str">
            <v>Days receivables outstanding (CHECK)</v>
          </cell>
          <cell r="O74">
            <v>45.044459746714175</v>
          </cell>
          <cell r="Q74">
            <v>39.140904832754728</v>
          </cell>
          <cell r="S74">
            <v>45.192120925367938</v>
          </cell>
          <cell r="U74">
            <v>49.724063009234122</v>
          </cell>
          <cell r="W74">
            <v>44.026268549545236</v>
          </cell>
          <cell r="Y74">
            <v>50.546924615399199</v>
          </cell>
          <cell r="AA74">
            <v>51.945695897023327</v>
          </cell>
          <cell r="AC74">
            <v>52.142857142857146</v>
          </cell>
          <cell r="AE74">
            <v>52.142857142857146</v>
          </cell>
          <cell r="AG74">
            <v>52.89855072463768</v>
          </cell>
          <cell r="AI74">
            <v>52.89855072463768</v>
          </cell>
          <cell r="AK74">
            <v>52.89855072463768</v>
          </cell>
        </row>
        <row r="75">
          <cell r="A75" t="str">
            <v>Accounts receivable turnover</v>
          </cell>
          <cell r="O75">
            <v>8.1031052886948078</v>
          </cell>
          <cell r="Q75">
            <v>9.3252826310380268</v>
          </cell>
          <cell r="S75">
            <v>8.0766291230892993</v>
          </cell>
          <cell r="U75">
            <v>7.3405103668261553</v>
          </cell>
          <cell r="W75">
            <v>8.2905050104177</v>
          </cell>
          <cell r="Y75">
            <v>7.2210130047912386</v>
          </cell>
          <cell r="AA75">
            <v>7.0265686828716793</v>
          </cell>
          <cell r="AC75">
            <v>7</v>
          </cell>
          <cell r="AE75">
            <v>7</v>
          </cell>
          <cell r="AG75">
            <v>6.9</v>
          </cell>
          <cell r="AI75">
            <v>6.9</v>
          </cell>
          <cell r="AK75">
            <v>6.9</v>
          </cell>
        </row>
        <row r="76">
          <cell r="A76" t="str">
            <v>Inventories</v>
          </cell>
          <cell r="O76">
            <v>184.3</v>
          </cell>
          <cell r="Q76">
            <v>305.2</v>
          </cell>
          <cell r="S76">
            <v>355.6</v>
          </cell>
          <cell r="U76">
            <v>544.9</v>
          </cell>
          <cell r="W76">
            <v>712.6</v>
          </cell>
          <cell r="Y76">
            <v>888</v>
          </cell>
          <cell r="AA76">
            <v>1258</v>
          </cell>
          <cell r="AC76">
            <v>1422.0328124999999</v>
          </cell>
          <cell r="AE76">
            <v>1544.5641329739619</v>
          </cell>
          <cell r="AG76">
            <v>1664.7963868306774</v>
          </cell>
          <cell r="AI76">
            <v>1826.1337440775962</v>
          </cell>
          <cell r="AK76">
            <v>2018.7024615605301</v>
          </cell>
        </row>
        <row r="77">
          <cell r="A77" t="str">
            <v>% revenue</v>
          </cell>
          <cell r="O77">
            <v>5.5177988682973571E-2</v>
          </cell>
          <cell r="Q77">
            <v>8.4091034330743372E-2</v>
          </cell>
          <cell r="S77">
            <v>8.8552431705555698E-2</v>
          </cell>
          <cell r="U77">
            <v>9.8660148470034417E-2</v>
          </cell>
          <cell r="W77">
            <v>8.5280038295835331E-2</v>
          </cell>
          <cell r="Y77">
            <v>8.4171413947051632E-2</v>
          </cell>
          <cell r="AA77">
            <v>0.10120675784392598</v>
          </cell>
          <cell r="AC77">
            <v>0.10320290387546265</v>
          </cell>
          <cell r="AE77">
            <v>0.10235830572595123</v>
          </cell>
          <cell r="AG77">
            <v>0.10168987983386392</v>
          </cell>
          <cell r="AI77">
            <v>0.10190691435052029</v>
          </cell>
          <cell r="AK77">
            <v>0.10351124329806639</v>
          </cell>
        </row>
        <row r="78">
          <cell r="A78" t="str">
            <v>Days inventory outstanding (CHECK)</v>
          </cell>
          <cell r="O78">
            <v>167.29544889331012</v>
          </cell>
          <cell r="Q78">
            <v>272.76689520078355</v>
          </cell>
          <cell r="S78">
            <v>292.98871331828445</v>
          </cell>
          <cell r="U78">
            <v>270.33913279869506</v>
          </cell>
          <cell r="W78">
            <v>194.00238681285896</v>
          </cell>
          <cell r="Y78">
            <v>187.24436741767764</v>
          </cell>
          <cell r="AA78">
            <v>225.63636363636363</v>
          </cell>
          <cell r="AC78">
            <v>228.125</v>
          </cell>
          <cell r="AE78">
            <v>228.125</v>
          </cell>
          <cell r="AG78">
            <v>228.125</v>
          </cell>
          <cell r="AI78">
            <v>228.125</v>
          </cell>
          <cell r="AK78">
            <v>228.125</v>
          </cell>
        </row>
        <row r="79">
          <cell r="A79" t="str">
            <v>Inventory Turnover</v>
          </cell>
          <cell r="O79">
            <v>2.1817688551275096</v>
          </cell>
          <cell r="Q79">
            <v>1.3381389252948885</v>
          </cell>
          <cell r="S79">
            <v>1.2457817772778401</v>
          </cell>
          <cell r="U79">
            <v>1.350155991925124</v>
          </cell>
          <cell r="W79">
            <v>1.8814201515576761</v>
          </cell>
          <cell r="Y79">
            <v>1.9493243243243243</v>
          </cell>
          <cell r="AA79">
            <v>1.6176470588235294</v>
          </cell>
          <cell r="AC79">
            <v>1.6</v>
          </cell>
          <cell r="AE79">
            <v>1.6</v>
          </cell>
          <cell r="AG79">
            <v>1.6</v>
          </cell>
          <cell r="AI79">
            <v>1.6</v>
          </cell>
          <cell r="AK79">
            <v>1.6</v>
          </cell>
        </row>
        <row r="80">
          <cell r="A80" t="str">
            <v>Other current assets</v>
          </cell>
          <cell r="O80">
            <v>135.80000000000001</v>
          </cell>
          <cell r="Q80">
            <v>214.6</v>
          </cell>
          <cell r="S80">
            <v>343.6</v>
          </cell>
          <cell r="U80">
            <v>442.3</v>
          </cell>
          <cell r="W80">
            <v>558.79999999999995</v>
          </cell>
          <cell r="Y80">
            <v>1013</v>
          </cell>
          <cell r="AA80">
            <v>953</v>
          </cell>
          <cell r="AC80">
            <v>964.53000000000009</v>
          </cell>
          <cell r="AE80">
            <v>1207.1822580645655</v>
          </cell>
          <cell r="AG80">
            <v>1473.4177585768496</v>
          </cell>
          <cell r="AI80">
            <v>1612.7662976986658</v>
          </cell>
          <cell r="AK80">
            <v>1755.2027755794675</v>
          </cell>
        </row>
        <row r="81">
          <cell r="A81" t="str">
            <v>% revenue</v>
          </cell>
          <cell r="O81">
            <v>4.0657465345348948E-2</v>
          </cell>
          <cell r="Q81">
            <v>5.9128230561525323E-2</v>
          </cell>
          <cell r="S81">
            <v>8.5564160669372724E-2</v>
          </cell>
          <cell r="U81">
            <v>8.0083288068078962E-2</v>
          </cell>
          <cell r="W81">
            <v>6.6874102441359495E-2</v>
          </cell>
          <cell r="Y81">
            <v>9.6019867486895616E-2</v>
          </cell>
          <cell r="AA81">
            <v>7.6669348350764277E-2</v>
          </cell>
          <cell r="AC81">
            <v>7.0000000000000007E-2</v>
          </cell>
          <cell r="AE81">
            <v>0.08</v>
          </cell>
          <cell r="AG81">
            <v>0.09</v>
          </cell>
          <cell r="AI81">
            <v>0.09</v>
          </cell>
          <cell r="AK81">
            <v>0.09</v>
          </cell>
        </row>
        <row r="82">
          <cell r="A82" t="str">
            <v>% total current assets</v>
          </cell>
          <cell r="O82">
            <v>6.5753159347310311E-2</v>
          </cell>
          <cell r="Q82">
            <v>7.3065268462088467E-2</v>
          </cell>
          <cell r="S82">
            <v>8.9047841185922377E-2</v>
          </cell>
          <cell r="U82">
            <v>6.9071601467947233E-2</v>
          </cell>
          <cell r="W82">
            <v>7.5491070222366313E-2</v>
          </cell>
          <cell r="Y82">
            <v>0.11046892039258452</v>
          </cell>
          <cell r="AA82">
            <v>0.10319436924742827</v>
          </cell>
          <cell r="AC82">
            <v>0.10651579755637791</v>
          </cell>
          <cell r="AE82">
            <v>0.11236917572768854</v>
          </cell>
          <cell r="AG82">
            <v>0.11385141241770379</v>
          </cell>
          <cell r="AI82">
            <v>0.10907195849438796</v>
          </cell>
          <cell r="AK82">
            <v>9.7293373961654786E-2</v>
          </cell>
        </row>
        <row r="83">
          <cell r="A83" t="str">
            <v xml:space="preserve">Accounts payable </v>
          </cell>
          <cell r="O83">
            <v>83.4</v>
          </cell>
          <cell r="Q83">
            <v>143.19999999999999</v>
          </cell>
          <cell r="S83">
            <v>136.69999999999999</v>
          </cell>
          <cell r="U83">
            <v>254.6</v>
          </cell>
          <cell r="W83">
            <v>327.2</v>
          </cell>
          <cell r="Y83">
            <v>507</v>
          </cell>
          <cell r="AA83">
            <v>596</v>
          </cell>
          <cell r="AC83">
            <v>664.90923999999995</v>
          </cell>
          <cell r="AE83">
            <v>725.2428557948823</v>
          </cell>
          <cell r="AG83">
            <v>817.47919566890039</v>
          </cell>
          <cell r="AI83">
            <v>922.93696722228412</v>
          </cell>
          <cell r="AK83">
            <v>1024.8726343603414</v>
          </cell>
        </row>
        <row r="84">
          <cell r="A84" t="str">
            <v>% operating expenses</v>
          </cell>
          <cell r="O84">
            <v>4.5154304277206285E-2</v>
          </cell>
          <cell r="Q84">
            <v>6.86678814615901E-2</v>
          </cell>
          <cell r="S84">
            <v>5.5021131012276105E-2</v>
          </cell>
          <cell r="U84">
            <v>8.0556873912355637E-2</v>
          </cell>
          <cell r="W84">
            <v>6.6382633394197588E-2</v>
          </cell>
          <cell r="Y84">
            <v>8.0285035629453688E-2</v>
          </cell>
          <cell r="AA84">
            <v>8.3602188245195677E-2</v>
          </cell>
          <cell r="AC84">
            <v>0.08</v>
          </cell>
          <cell r="AE84">
            <v>0.08</v>
          </cell>
          <cell r="AG84">
            <v>8.3333333333333343E-2</v>
          </cell>
          <cell r="AI84">
            <v>8.3333333333333343E-2</v>
          </cell>
          <cell r="AK84">
            <v>8.3333333333333329E-2</v>
          </cell>
        </row>
        <row r="85">
          <cell r="A85" t="str">
            <v>Days payable outstanding (CHECK)</v>
          </cell>
          <cell r="O85">
            <v>75.705048495399154</v>
          </cell>
          <cell r="Q85">
            <v>127.98237022526935</v>
          </cell>
          <cell r="S85">
            <v>20.082712819480779</v>
          </cell>
          <cell r="U85">
            <v>29.403258978009809</v>
          </cell>
          <cell r="W85">
            <v>24.229661188882123</v>
          </cell>
          <cell r="Y85">
            <v>29.304038004750595</v>
          </cell>
          <cell r="AA85">
            <v>30.514798709496421</v>
          </cell>
          <cell r="AC85">
            <v>29.2</v>
          </cell>
          <cell r="AE85">
            <v>29.2</v>
          </cell>
          <cell r="AG85">
            <v>30.416666666666668</v>
          </cell>
          <cell r="AI85">
            <v>30.416666666666668</v>
          </cell>
          <cell r="AK85">
            <v>30.416666666666668</v>
          </cell>
        </row>
        <row r="86">
          <cell r="A86" t="str">
            <v>Accounts payable turnover</v>
          </cell>
          <cell r="O86">
            <v>5.3114027134456823</v>
          </cell>
          <cell r="Q86">
            <v>3.1910645136603657</v>
          </cell>
          <cell r="S86">
            <v>18.17483540599854</v>
          </cell>
          <cell r="U86">
            <v>12.413589945011783</v>
          </cell>
          <cell r="W86">
            <v>15.064180929095357</v>
          </cell>
          <cell r="Y86">
            <v>12.455621301775148</v>
          </cell>
          <cell r="AA86">
            <v>11.961409395973154</v>
          </cell>
          <cell r="AC86">
            <v>12.5</v>
          </cell>
          <cell r="AE86">
            <v>12.5</v>
          </cell>
          <cell r="AG86">
            <v>12</v>
          </cell>
          <cell r="AI86">
            <v>12</v>
          </cell>
          <cell r="AK86">
            <v>12</v>
          </cell>
        </row>
        <row r="87">
          <cell r="A87" t="str">
            <v>Accrued liabilities</v>
          </cell>
          <cell r="O87">
            <v>648.20000000000005</v>
          </cell>
          <cell r="Q87">
            <v>619.20000000000005</v>
          </cell>
          <cell r="S87">
            <v>766.3</v>
          </cell>
          <cell r="U87">
            <v>1151.7</v>
          </cell>
          <cell r="W87">
            <v>1919.1</v>
          </cell>
          <cell r="Y87">
            <v>2477</v>
          </cell>
          <cell r="AA87">
            <v>2999</v>
          </cell>
          <cell r="AC87">
            <v>2908.9779249999997</v>
          </cell>
          <cell r="AE87">
            <v>3172.9374941026099</v>
          </cell>
          <cell r="AG87">
            <v>3335.3151183291138</v>
          </cell>
          <cell r="AI87">
            <v>3765.5828262669193</v>
          </cell>
          <cell r="AK87">
            <v>4181.4803481901936</v>
          </cell>
        </row>
        <row r="88">
          <cell r="A88" t="str">
            <v>% operating expenses</v>
          </cell>
          <cell r="O88">
            <v>0.35094748240389823</v>
          </cell>
          <cell r="Q88">
            <v>0.29692145391771363</v>
          </cell>
          <cell r="S88">
            <v>0.30843228013684842</v>
          </cell>
          <cell r="U88">
            <v>0.36440436639772189</v>
          </cell>
          <cell r="W88">
            <v>0.38934875228241012</v>
          </cell>
          <cell r="Y88">
            <v>0.39224069675376089</v>
          </cell>
          <cell r="AA88">
            <v>0.42067611165661384</v>
          </cell>
          <cell r="AC88">
            <v>0.35</v>
          </cell>
          <cell r="AE88">
            <v>0.35</v>
          </cell>
          <cell r="AG88">
            <v>0.34</v>
          </cell>
          <cell r="AI88">
            <v>0.34</v>
          </cell>
          <cell r="AK88">
            <v>0.34</v>
          </cell>
        </row>
        <row r="89">
          <cell r="A89" t="str">
            <v>% total current liabilities</v>
          </cell>
          <cell r="O89">
            <v>0.7799302129707617</v>
          </cell>
          <cell r="Q89">
            <v>0.71824614313884705</v>
          </cell>
          <cell r="S89">
            <v>0.76408415594775148</v>
          </cell>
          <cell r="U89">
            <v>0.75313889615485219</v>
          </cell>
          <cell r="W89">
            <v>0.85433824511418788</v>
          </cell>
          <cell r="Y89">
            <v>0.59586240076978592</v>
          </cell>
          <cell r="AA89">
            <v>0.83421418636995825</v>
          </cell>
          <cell r="AC89">
            <v>0.81395348837209303</v>
          </cell>
          <cell r="AE89">
            <v>0.81395348837209303</v>
          </cell>
          <cell r="AG89">
            <v>0.80314960629921262</v>
          </cell>
          <cell r="AI89">
            <v>0.80314960629921262</v>
          </cell>
          <cell r="AK89">
            <v>0.80314960629921262</v>
          </cell>
        </row>
        <row r="91">
          <cell r="A91" t="str">
            <v>Property and Equipment, Net</v>
          </cell>
        </row>
        <row r="92">
          <cell r="A92" t="str">
            <v>Beginning balance</v>
          </cell>
          <cell r="O92">
            <v>1450.2</v>
          </cell>
          <cell r="Q92">
            <v>1553.6</v>
          </cell>
          <cell r="S92">
            <v>1781.5</v>
          </cell>
          <cell r="U92">
            <v>1946.1</v>
          </cell>
          <cell r="W92">
            <v>2813.5</v>
          </cell>
          <cell r="Y92">
            <v>3799.4</v>
          </cell>
          <cell r="AA92">
            <v>4712</v>
          </cell>
          <cell r="AC92">
            <v>5038</v>
          </cell>
          <cell r="AE92">
            <v>5980.5493333333325</v>
          </cell>
          <cell r="AG92">
            <v>6577.3994462366118</v>
          </cell>
          <cell r="AI92">
            <v>7084.1184670405946</v>
          </cell>
          <cell r="AK92">
            <v>7351.437436320256</v>
          </cell>
        </row>
        <row r="93">
          <cell r="A93" t="str">
            <v>Capital expenditures</v>
          </cell>
          <cell r="O93">
            <v>304.2</v>
          </cell>
          <cell r="Q93">
            <v>437.7</v>
          </cell>
          <cell r="S93">
            <v>441.8</v>
          </cell>
          <cell r="U93">
            <v>658.5</v>
          </cell>
          <cell r="W93">
            <v>1357</v>
          </cell>
          <cell r="Y93">
            <v>1336</v>
          </cell>
          <cell r="AA93">
            <v>867</v>
          </cell>
          <cell r="AC93">
            <v>1653.48</v>
          </cell>
          <cell r="AE93">
            <v>1508.977822580707</v>
          </cell>
          <cell r="AG93">
            <v>1637.1308428631664</v>
          </cell>
          <cell r="AI93">
            <v>1612.7662976986658</v>
          </cell>
          <cell r="AK93">
            <v>1950.2253061994086</v>
          </cell>
        </row>
        <row r="94">
          <cell r="A94" t="str">
            <v>% revenue</v>
          </cell>
          <cell r="O94">
            <v>9.1075117511451753E-2</v>
          </cell>
          <cell r="Q94">
            <v>0.12059844602413623</v>
          </cell>
          <cell r="S94">
            <v>0.11001817864880345</v>
          </cell>
          <cell r="U94">
            <v>0.11922868006518199</v>
          </cell>
          <cell r="W94">
            <v>0.16239827668741025</v>
          </cell>
          <cell r="Y94">
            <v>0.12663627143385245</v>
          </cell>
          <cell r="AA94">
            <v>6.9750603378921958E-2</v>
          </cell>
          <cell r="AC94">
            <v>0.12</v>
          </cell>
          <cell r="AE94">
            <v>0.1</v>
          </cell>
          <cell r="AG94">
            <v>0.1</v>
          </cell>
          <cell r="AI94">
            <v>0.09</v>
          </cell>
          <cell r="AK94">
            <v>0.1</v>
          </cell>
        </row>
        <row r="95">
          <cell r="A95" t="str">
            <v>Depreciation</v>
          </cell>
          <cell r="O95">
            <v>-176.8</v>
          </cell>
          <cell r="Q95">
            <v>-211.8</v>
          </cell>
          <cell r="S95">
            <v>-265.89999999999998</v>
          </cell>
          <cell r="U95">
            <v>-447.3</v>
          </cell>
          <cell r="W95">
            <v>-350.7</v>
          </cell>
          <cell r="Y95">
            <v>-374.86666666666667</v>
          </cell>
          <cell r="AA95">
            <v>-598</v>
          </cell>
          <cell r="AC95">
            <v>-710.93066666666664</v>
          </cell>
          <cell r="AE95">
            <v>-912.12770967742756</v>
          </cell>
          <cell r="AG95">
            <v>-1130.4118220591831</v>
          </cell>
          <cell r="AI95">
            <v>-1345.4473284190053</v>
          </cell>
          <cell r="AK95">
            <v>-1605.4773692455931</v>
          </cell>
        </row>
        <row r="96">
          <cell r="A96" t="str">
            <v>Ending balance</v>
          </cell>
          <cell r="O96">
            <v>1577.6000000000001</v>
          </cell>
          <cell r="Q96">
            <v>1779.5</v>
          </cell>
          <cell r="S96">
            <v>1946.1</v>
          </cell>
          <cell r="U96">
            <v>2813.5</v>
          </cell>
          <cell r="W96">
            <v>3799.4</v>
          </cell>
          <cell r="Y96">
            <v>4712</v>
          </cell>
          <cell r="AA96">
            <v>5038</v>
          </cell>
          <cell r="AC96">
            <v>5980.5493333333325</v>
          </cell>
          <cell r="AE96">
            <v>6577.3994462366118</v>
          </cell>
          <cell r="AG96">
            <v>7084.1184670405946</v>
          </cell>
          <cell r="AI96">
            <v>7351.437436320256</v>
          </cell>
          <cell r="AK96">
            <v>7696.185373274071</v>
          </cell>
        </row>
        <row r="97">
          <cell r="A97" t="str">
            <v>Fixed Asset Turnover (CHECK)</v>
          </cell>
          <cell r="Q97">
            <v>2.1764864621750473</v>
          </cell>
          <cell r="S97">
            <v>2.154576671316665</v>
          </cell>
          <cell r="U97">
            <v>2.3207832590974027</v>
          </cell>
          <cell r="W97">
            <v>2.5271817205764493</v>
          </cell>
          <cell r="Y97">
            <v>2.4790046290856966</v>
          </cell>
          <cell r="AA97">
            <v>2.5497435897435898</v>
          </cell>
          <cell r="AC97">
            <v>2.501055190326325</v>
          </cell>
          <cell r="AE97">
            <v>2.4032234070513274</v>
          </cell>
          <cell r="AG97">
            <v>2.3967041631180521</v>
          </cell>
          <cell r="AI97">
            <v>2.4827066792506649</v>
          </cell>
          <cell r="AK97">
            <v>2.6528489470157131</v>
          </cell>
        </row>
        <row r="99">
          <cell r="A99" t="str">
            <v>Employee Stock Option Analysis</v>
          </cell>
          <cell r="AC99">
            <v>1</v>
          </cell>
          <cell r="AE99">
            <v>2</v>
          </cell>
          <cell r="AG99">
            <v>3</v>
          </cell>
          <cell r="AI99">
            <v>4</v>
          </cell>
          <cell r="AK99">
            <v>5</v>
          </cell>
        </row>
        <row r="100">
          <cell r="O100">
            <v>1999</v>
          </cell>
          <cell r="Q100">
            <v>2000</v>
          </cell>
          <cell r="S100" t="str">
            <v>2001</v>
          </cell>
          <cell r="U100" t="str">
            <v>2002</v>
          </cell>
          <cell r="W100" t="str">
            <v>2003</v>
          </cell>
          <cell r="Y100" t="str">
            <v>2004</v>
          </cell>
          <cell r="AA100" t="str">
            <v>2005</v>
          </cell>
          <cell r="AC100" t="str">
            <v>2006E</v>
          </cell>
          <cell r="AE100" t="str">
            <v>2007E</v>
          </cell>
          <cell r="AG100" t="str">
            <v>2008E</v>
          </cell>
          <cell r="AI100" t="str">
            <v>2009E</v>
          </cell>
          <cell r="AK100" t="str">
            <v>2010E</v>
          </cell>
        </row>
        <row r="101">
          <cell r="A101" t="str">
            <v xml:space="preserve">Stock Price (average) </v>
          </cell>
          <cell r="S101">
            <v>62.31</v>
          </cell>
          <cell r="U101">
            <v>49.42</v>
          </cell>
          <cell r="W101">
            <v>61.4</v>
          </cell>
          <cell r="Y101">
            <v>63</v>
          </cell>
          <cell r="AA101">
            <v>70</v>
          </cell>
          <cell r="AC101">
            <v>75.775000000000006</v>
          </cell>
          <cell r="AE101">
            <v>82.026437500000014</v>
          </cell>
          <cell r="AG101">
            <v>88.793618593750011</v>
          </cell>
          <cell r="AI101">
            <v>96.11909212773439</v>
          </cell>
          <cell r="AK101">
            <v>104.04891722827247</v>
          </cell>
          <cell r="AM101">
            <v>8.2500000000000004E-2</v>
          </cell>
          <cell r="AN101" t="str">
            <v>Cost of Equity</v>
          </cell>
        </row>
        <row r="102">
          <cell r="A102" t="str">
            <v>Option Balance (Beginning Year)</v>
          </cell>
          <cell r="Q102">
            <v>115.8</v>
          </cell>
          <cell r="S102">
            <v>98.7</v>
          </cell>
          <cell r="U102">
            <v>94.399999999999991</v>
          </cell>
          <cell r="W102">
            <v>102.99999999999999</v>
          </cell>
          <cell r="Y102">
            <v>95</v>
          </cell>
          <cell r="AA102">
            <v>89</v>
          </cell>
          <cell r="AC102">
            <v>68</v>
          </cell>
          <cell r="AE102">
            <v>66.98</v>
          </cell>
          <cell r="AG102">
            <v>62.626300000000001</v>
          </cell>
          <cell r="AI102">
            <v>56.989932999999994</v>
          </cell>
          <cell r="AK102">
            <v>50.151141039999999</v>
          </cell>
          <cell r="AL102">
            <v>44.133004115199995</v>
          </cell>
        </row>
        <row r="103">
          <cell r="A103" t="str">
            <v xml:space="preserve"> Average Options In-the-Money</v>
          </cell>
          <cell r="S103">
            <v>53.4</v>
          </cell>
          <cell r="U103">
            <v>62.4</v>
          </cell>
          <cell r="W103">
            <v>53.4</v>
          </cell>
          <cell r="Y103">
            <v>47</v>
          </cell>
          <cell r="AA103">
            <v>34</v>
          </cell>
          <cell r="AC103">
            <v>30.370500000000003</v>
          </cell>
          <cell r="AE103">
            <v>29.161417500000002</v>
          </cell>
          <cell r="AG103">
            <v>26.913652424999999</v>
          </cell>
          <cell r="AI103">
            <v>21.428214808</v>
          </cell>
          <cell r="AK103">
            <v>18.85682903104</v>
          </cell>
          <cell r="AM103">
            <v>58</v>
          </cell>
          <cell r="AN103" t="str">
            <v>Target Price</v>
          </cell>
        </row>
        <row r="104">
          <cell r="A104" t="str">
            <v xml:space="preserve">   % Exercisable</v>
          </cell>
          <cell r="S104">
            <v>0.55308130502330399</v>
          </cell>
          <cell r="U104">
            <v>0.63221884498480252</v>
          </cell>
          <cell r="W104">
            <v>0.53939393939393943</v>
          </cell>
          <cell r="Y104">
            <v>0.51086956521739135</v>
          </cell>
          <cell r="AA104">
            <v>0.43312101910828027</v>
          </cell>
          <cell r="AC104">
            <v>0.45</v>
          </cell>
          <cell r="AE104">
            <v>0.45</v>
          </cell>
          <cell r="AG104">
            <v>0.45</v>
          </cell>
          <cell r="AI104">
            <v>0.4</v>
          </cell>
          <cell r="AK104">
            <v>0.4</v>
          </cell>
        </row>
        <row r="105">
          <cell r="A105" t="str">
            <v>Weighted Average Exercise Price of exercisable</v>
          </cell>
          <cell r="S105">
            <v>20.81</v>
          </cell>
          <cell r="U105">
            <v>27.03</v>
          </cell>
          <cell r="W105">
            <v>34.28</v>
          </cell>
          <cell r="Y105">
            <v>34.28</v>
          </cell>
          <cell r="AA105">
            <v>51.77</v>
          </cell>
          <cell r="AC105">
            <v>47</v>
          </cell>
          <cell r="AE105">
            <v>51</v>
          </cell>
          <cell r="AG105">
            <v>55</v>
          </cell>
          <cell r="AI105">
            <v>63</v>
          </cell>
          <cell r="AK105">
            <v>68</v>
          </cell>
        </row>
        <row r="106">
          <cell r="A106" t="str">
            <v>Options Cancelled</v>
          </cell>
          <cell r="S106">
            <v>2.2999999999999998</v>
          </cell>
          <cell r="U106">
            <v>4.9000000000000004</v>
          </cell>
          <cell r="W106">
            <v>3.8</v>
          </cell>
          <cell r="Y106">
            <v>6</v>
          </cell>
          <cell r="AA106">
            <v>6</v>
          </cell>
          <cell r="AC106">
            <v>4.42</v>
          </cell>
          <cell r="AE106">
            <v>4.3537000000000008</v>
          </cell>
          <cell r="AG106">
            <v>3.7575780000000001</v>
          </cell>
          <cell r="AI106">
            <v>3.4193959799999996</v>
          </cell>
          <cell r="AK106">
            <v>3.0090684623999997</v>
          </cell>
        </row>
        <row r="107">
          <cell r="A107" t="str">
            <v xml:space="preserve">   % Cancelled </v>
          </cell>
          <cell r="S107">
            <v>2.3302938196555215E-2</v>
          </cell>
          <cell r="U107">
            <v>5.1906779661016957E-2</v>
          </cell>
          <cell r="W107">
            <v>3.6893203883495151E-2</v>
          </cell>
          <cell r="Y107">
            <v>6.3157894736842107E-2</v>
          </cell>
          <cell r="AA107">
            <v>6.741573033707865E-2</v>
          </cell>
          <cell r="AC107">
            <v>6.5000000000000002E-2</v>
          </cell>
          <cell r="AE107">
            <v>6.5000000000000002E-2</v>
          </cell>
          <cell r="AG107">
            <v>0.06</v>
          </cell>
          <cell r="AI107">
            <v>0.06</v>
          </cell>
          <cell r="AK107">
            <v>0.06</v>
          </cell>
        </row>
        <row r="108">
          <cell r="A108" t="str">
            <v>Options Exercised</v>
          </cell>
          <cell r="Q108">
            <v>28.2</v>
          </cell>
          <cell r="S108">
            <v>20.6</v>
          </cell>
          <cell r="U108">
            <v>26.2</v>
          </cell>
          <cell r="W108">
            <v>23</v>
          </cell>
          <cell r="Y108">
            <v>20</v>
          </cell>
          <cell r="AA108">
            <v>25</v>
          </cell>
          <cell r="AC108">
            <v>10.199999999999999</v>
          </cell>
          <cell r="AE108">
            <v>13.396000000000001</v>
          </cell>
          <cell r="AG108">
            <v>15.656575</v>
          </cell>
          <cell r="AI108">
            <v>15.957181239999999</v>
          </cell>
          <cell r="AK108">
            <v>14.042319491200001</v>
          </cell>
        </row>
        <row r="109">
          <cell r="A109" t="str">
            <v xml:space="preserve">   % Exercised</v>
          </cell>
          <cell r="Q109">
            <v>0.24352331606217617</v>
          </cell>
          <cell r="S109">
            <v>0.2087132725430598</v>
          </cell>
          <cell r="U109">
            <v>0.27754237288135597</v>
          </cell>
          <cell r="W109">
            <v>0.22330097087378645</v>
          </cell>
          <cell r="Y109">
            <v>0.21052631578947367</v>
          </cell>
          <cell r="AA109">
            <v>0.2808988764044944</v>
          </cell>
          <cell r="AC109">
            <v>0.15</v>
          </cell>
          <cell r="AE109">
            <v>0.2</v>
          </cell>
          <cell r="AG109">
            <v>0.25</v>
          </cell>
          <cell r="AI109">
            <v>0.28000000000000003</v>
          </cell>
          <cell r="AK109">
            <v>0.28000000000000003</v>
          </cell>
        </row>
        <row r="110">
          <cell r="A110" t="str">
            <v>Weighted Average Exercise Price</v>
          </cell>
          <cell r="S110">
            <v>13.12</v>
          </cell>
          <cell r="U110">
            <v>15.9</v>
          </cell>
          <cell r="W110">
            <v>20.98</v>
          </cell>
          <cell r="Y110">
            <v>20.420000000000002</v>
          </cell>
          <cell r="AA110">
            <v>39.729999999999997</v>
          </cell>
          <cell r="AC110">
            <v>28</v>
          </cell>
          <cell r="AE110">
            <v>30.520000000000003</v>
          </cell>
          <cell r="AG110">
            <v>33.266800000000003</v>
          </cell>
          <cell r="AI110">
            <v>36.260812000000008</v>
          </cell>
          <cell r="AK110">
            <v>39.524285080000013</v>
          </cell>
          <cell r="AM110">
            <v>0.09</v>
          </cell>
        </row>
        <row r="111">
          <cell r="A111" t="str">
            <v xml:space="preserve">   Statuatory  Tax rate</v>
          </cell>
          <cell r="S111">
            <v>0.35</v>
          </cell>
          <cell r="U111">
            <v>0.35</v>
          </cell>
          <cell r="W111">
            <v>0.35</v>
          </cell>
          <cell r="Y111">
            <v>0.35</v>
          </cell>
          <cell r="AA111">
            <v>0.35</v>
          </cell>
          <cell r="AC111">
            <v>0.35</v>
          </cell>
          <cell r="AE111">
            <v>0.35</v>
          </cell>
          <cell r="AG111">
            <v>0.35</v>
          </cell>
          <cell r="AI111">
            <v>0.35</v>
          </cell>
          <cell r="AK111">
            <v>0.35</v>
          </cell>
        </row>
        <row r="112">
          <cell r="A112" t="str">
            <v>Proceeds from option</v>
          </cell>
          <cell r="Q112">
            <v>333.7</v>
          </cell>
          <cell r="S112">
            <v>282.3</v>
          </cell>
          <cell r="U112">
            <v>435.4</v>
          </cell>
          <cell r="W112">
            <v>537.70000000000005</v>
          </cell>
          <cell r="Y112">
            <v>513</v>
          </cell>
          <cell r="AA112">
            <v>1207</v>
          </cell>
          <cell r="AC112">
            <v>285.59999999999997</v>
          </cell>
          <cell r="AE112">
            <v>408.84592000000009</v>
          </cell>
          <cell r="AG112">
            <v>520.84414921000007</v>
          </cell>
          <cell r="AI112">
            <v>578.62034899356695</v>
          </cell>
          <cell r="AK112">
            <v>555.01263875462951</v>
          </cell>
        </row>
        <row r="113">
          <cell r="A113" t="str">
            <v>Tax Benefit from Options</v>
          </cell>
          <cell r="Q113">
            <v>376.6</v>
          </cell>
          <cell r="S113">
            <v>244.5</v>
          </cell>
          <cell r="U113">
            <v>251.6</v>
          </cell>
          <cell r="W113">
            <v>113.3</v>
          </cell>
          <cell r="Y113">
            <v>167</v>
          </cell>
          <cell r="AA113">
            <v>276</v>
          </cell>
          <cell r="AC113">
            <v>170.55674999999999</v>
          </cell>
          <cell r="AE113">
            <v>241.49308286250007</v>
          </cell>
          <cell r="AG113">
            <v>304.2759299385545</v>
          </cell>
          <cell r="AI113">
            <v>334.30929864953174</v>
          </cell>
          <cell r="AK113">
            <v>317.12642488736873</v>
          </cell>
        </row>
        <row r="114">
          <cell r="A114" t="str">
            <v>Options Granted</v>
          </cell>
          <cell r="Q114">
            <v>13.1</v>
          </cell>
          <cell r="S114">
            <v>18.600000000000001</v>
          </cell>
          <cell r="U114">
            <v>39.700000000000003</v>
          </cell>
          <cell r="W114">
            <v>18.5</v>
          </cell>
          <cell r="Y114">
            <v>16</v>
          </cell>
          <cell r="AA114">
            <v>10</v>
          </cell>
          <cell r="AC114">
            <v>13.600000000000001</v>
          </cell>
          <cell r="AE114">
            <v>13.396000000000001</v>
          </cell>
          <cell r="AG114">
            <v>13.777786000000001</v>
          </cell>
          <cell r="AI114">
            <v>12.537785259999998</v>
          </cell>
          <cell r="AK114">
            <v>11.033251028800001</v>
          </cell>
        </row>
        <row r="115">
          <cell r="A115" t="str">
            <v xml:space="preserve">     % of Outstanding Options</v>
          </cell>
          <cell r="Q115">
            <v>0.11312607944732297</v>
          </cell>
          <cell r="S115">
            <v>0.18844984802431611</v>
          </cell>
          <cell r="U115">
            <v>0.42055084745762716</v>
          </cell>
          <cell r="W115">
            <v>0.17961165048543692</v>
          </cell>
          <cell r="Y115">
            <v>0.16842105263157894</v>
          </cell>
          <cell r="AA115">
            <v>0.11235955056179775</v>
          </cell>
          <cell r="AC115">
            <v>0.2</v>
          </cell>
          <cell r="AE115">
            <v>0.2</v>
          </cell>
          <cell r="AG115">
            <v>0.22</v>
          </cell>
          <cell r="AI115">
            <v>0.22</v>
          </cell>
          <cell r="AK115">
            <v>0.22</v>
          </cell>
        </row>
        <row r="116">
          <cell r="A116" t="str">
            <v>Shares Issued</v>
          </cell>
          <cell r="S116">
            <v>0</v>
          </cell>
          <cell r="U116">
            <v>0</v>
          </cell>
          <cell r="W116">
            <v>0</v>
          </cell>
          <cell r="Y116">
            <v>22.6</v>
          </cell>
          <cell r="AA116">
            <v>0</v>
          </cell>
          <cell r="AC116">
            <v>0</v>
          </cell>
          <cell r="AE116">
            <v>0</v>
          </cell>
          <cell r="AG116">
            <v>0</v>
          </cell>
          <cell r="AI116">
            <v>0</v>
          </cell>
          <cell r="AK116">
            <v>0</v>
          </cell>
        </row>
        <row r="117">
          <cell r="A117" t="str">
            <v>Proceeds from share issuance</v>
          </cell>
          <cell r="S117">
            <v>0</v>
          </cell>
          <cell r="U117">
            <v>0</v>
          </cell>
          <cell r="W117">
            <v>0</v>
          </cell>
          <cell r="Y117">
            <v>0</v>
          </cell>
          <cell r="AA117">
            <v>0</v>
          </cell>
          <cell r="AC117">
            <v>0</v>
          </cell>
          <cell r="AE117">
            <v>0</v>
          </cell>
          <cell r="AG117">
            <v>0</v>
          </cell>
          <cell r="AI117">
            <v>0</v>
          </cell>
          <cell r="AK117">
            <v>0</v>
          </cell>
        </row>
        <row r="118">
          <cell r="A118" t="str">
            <v>Shares Repurchased (mm)</v>
          </cell>
          <cell r="S118">
            <v>12.7</v>
          </cell>
          <cell r="U118">
            <v>28</v>
          </cell>
          <cell r="W118">
            <v>29.7</v>
          </cell>
          <cell r="Y118">
            <v>69</v>
          </cell>
          <cell r="AA118">
            <v>63</v>
          </cell>
          <cell r="AC118">
            <v>100</v>
          </cell>
          <cell r="AE118">
            <v>40</v>
          </cell>
          <cell r="AG118">
            <v>40</v>
          </cell>
          <cell r="AI118">
            <v>40</v>
          </cell>
          <cell r="AK118">
            <v>35</v>
          </cell>
        </row>
        <row r="119">
          <cell r="A119" t="str">
            <v>Share Repurchase Cost</v>
          </cell>
          <cell r="Q119">
            <v>799.9</v>
          </cell>
          <cell r="S119">
            <v>737.5</v>
          </cell>
          <cell r="U119">
            <v>1420.4</v>
          </cell>
          <cell r="W119">
            <v>1801</v>
          </cell>
          <cell r="Y119">
            <v>4072</v>
          </cell>
          <cell r="AA119">
            <v>4430</v>
          </cell>
          <cell r="AC119">
            <v>7577.5000000000009</v>
          </cell>
          <cell r="AE119">
            <v>3281.0575000000008</v>
          </cell>
          <cell r="AG119">
            <v>3551.7447437500005</v>
          </cell>
          <cell r="AI119">
            <v>3844.7636851093757</v>
          </cell>
          <cell r="AK119">
            <v>3641.7121029895366</v>
          </cell>
        </row>
        <row r="120">
          <cell r="A120" t="str">
            <v>Share Issuance from Acquisitions</v>
          </cell>
          <cell r="Q120">
            <v>164.7</v>
          </cell>
          <cell r="U120">
            <v>15183.2</v>
          </cell>
          <cell r="Y120">
            <v>1403</v>
          </cell>
        </row>
        <row r="121">
          <cell r="A121" t="str">
            <v>Stock options expense</v>
          </cell>
          <cell r="AC121">
            <v>294.91779250000002</v>
          </cell>
          <cell r="AE121">
            <v>271.96607092308085</v>
          </cell>
          <cell r="AG121">
            <v>294.29251044080411</v>
          </cell>
          <cell r="AI121">
            <v>332.25730820002224</v>
          </cell>
          <cell r="AK121">
            <v>368.95414836972293</v>
          </cell>
        </row>
        <row r="122">
          <cell r="A122" t="str">
            <v>Total Change in APIC</v>
          </cell>
          <cell r="K122">
            <v>169.19999999999982</v>
          </cell>
          <cell r="M122">
            <v>475.80000000000018</v>
          </cell>
          <cell r="O122">
            <v>0</v>
          </cell>
          <cell r="Q122">
            <v>75.100000000000023</v>
          </cell>
          <cell r="S122">
            <v>-210.7</v>
          </cell>
          <cell r="U122">
            <v>14449.800000000001</v>
          </cell>
          <cell r="W122">
            <v>-1150</v>
          </cell>
          <cell r="Y122">
            <v>-1989</v>
          </cell>
          <cell r="AA122">
            <v>-2947</v>
          </cell>
          <cell r="AC122">
            <v>-6826.4254575000004</v>
          </cell>
          <cell r="AE122">
            <v>-2358.7524262144198</v>
          </cell>
          <cell r="AG122">
            <v>-2432.3321541606419</v>
          </cell>
          <cell r="AI122">
            <v>-2599.5767292662549</v>
          </cell>
          <cell r="AK122">
            <v>-2400.6188909778157</v>
          </cell>
          <cell r="AO122" t="str">
            <v>mstag:netIssuanceRepurchaseOfCommonStock</v>
          </cell>
          <cell r="AP122">
            <v>6</v>
          </cell>
          <cell r="AQ122" t="str">
            <v>ISO4217:USD</v>
          </cell>
          <cell r="AR122" t="b">
            <v>0</v>
          </cell>
          <cell r="AS122" t="b">
            <v>0</v>
          </cell>
        </row>
        <row r="123">
          <cell r="A123" t="str">
            <v>Beginning Period Shares</v>
          </cell>
          <cell r="Q123">
            <v>1021.8</v>
          </cell>
          <cell r="S123">
            <v>1037.4000000000001</v>
          </cell>
          <cell r="U123">
            <v>1045.8</v>
          </cell>
          <cell r="W123">
            <v>1289.0999999999999</v>
          </cell>
          <cell r="Y123">
            <v>1283.7</v>
          </cell>
          <cell r="AA123">
            <v>1260</v>
          </cell>
          <cell r="AC123">
            <v>1224</v>
          </cell>
          <cell r="AE123">
            <v>1134.2</v>
          </cell>
          <cell r="AG123">
            <v>1107.596</v>
          </cell>
          <cell r="AI123">
            <v>1083.252575</v>
          </cell>
          <cell r="AK123">
            <v>1059.2097562399999</v>
          </cell>
        </row>
        <row r="124">
          <cell r="A124" t="str">
            <v>End of Period Shares</v>
          </cell>
          <cell r="O124">
            <v>1021.8</v>
          </cell>
          <cell r="Q124">
            <v>1037.4000000000001</v>
          </cell>
          <cell r="S124">
            <v>1045.8</v>
          </cell>
          <cell r="U124">
            <v>1289.0999999999999</v>
          </cell>
          <cell r="W124">
            <v>1283.7</v>
          </cell>
          <cell r="Y124">
            <v>1260</v>
          </cell>
          <cell r="AA124">
            <v>1224</v>
          </cell>
          <cell r="AC124">
            <v>1134.2</v>
          </cell>
          <cell r="AE124">
            <v>1107.596</v>
          </cell>
          <cell r="AG124">
            <v>1083.252575</v>
          </cell>
          <cell r="AI124">
            <v>1059.2097562399999</v>
          </cell>
          <cell r="AK124">
            <v>1038.2520757312</v>
          </cell>
          <cell r="AO124" t="str">
            <v>mstag:periodEndBasicSharesOutstanding</v>
          </cell>
          <cell r="AP124">
            <v>6</v>
          </cell>
          <cell r="AQ124" t="str">
            <v>ms_eqr_gcim_Decimal:ms_eqr_gcim_decimal</v>
          </cell>
          <cell r="AR124" t="b">
            <v>0</v>
          </cell>
          <cell r="AS124" t="b">
            <v>0</v>
          </cell>
        </row>
        <row r="125">
          <cell r="A125" t="str">
            <v xml:space="preserve">Average Shares Outstanding-basic </v>
          </cell>
          <cell r="O125">
            <v>1021.7</v>
          </cell>
          <cell r="Q125">
            <v>1029.5999999999999</v>
          </cell>
          <cell r="S125">
            <v>1045.5</v>
          </cell>
          <cell r="U125">
            <v>1153.5</v>
          </cell>
          <cell r="W125">
            <v>1288.4000000000001</v>
          </cell>
          <cell r="Y125">
            <v>1270.6500000000001</v>
          </cell>
          <cell r="AA125">
            <v>1236</v>
          </cell>
          <cell r="AC125">
            <v>1179.0999999999999</v>
          </cell>
          <cell r="AE125">
            <v>1120.8980000000001</v>
          </cell>
          <cell r="AG125">
            <v>1095.4242875</v>
          </cell>
          <cell r="AI125">
            <v>1071.23116562</v>
          </cell>
          <cell r="AK125">
            <v>1048.7309159855999</v>
          </cell>
        </row>
        <row r="126">
          <cell r="A126" t="str">
            <v>Average Shares Outstanding-diluted</v>
          </cell>
          <cell r="O126">
            <v>1078.3</v>
          </cell>
          <cell r="Q126">
            <v>1084.7</v>
          </cell>
          <cell r="S126">
            <v>1084.2</v>
          </cell>
          <cell r="U126">
            <v>1153.5</v>
          </cell>
          <cell r="W126">
            <v>1346</v>
          </cell>
          <cell r="Y126">
            <v>1285.05</v>
          </cell>
          <cell r="AA126">
            <v>1258</v>
          </cell>
          <cell r="AC126">
            <v>1190.6329744308807</v>
          </cell>
          <cell r="AE126">
            <v>1131.9282839554037</v>
          </cell>
          <cell r="AG126">
            <v>1105.6672499945955</v>
          </cell>
          <cell r="AI126">
            <v>1078.6145376915538</v>
          </cell>
          <cell r="AK126">
            <v>1055.2640764166335</v>
          </cell>
        </row>
        <row r="130">
          <cell r="B130" t="str">
            <v>Amgen</v>
          </cell>
          <cell r="S130" t="str">
            <v>2001A</v>
          </cell>
          <cell r="U130" t="str">
            <v>2002A</v>
          </cell>
          <cell r="W130" t="str">
            <v>2003A</v>
          </cell>
          <cell r="Y130" t="str">
            <v>2004A</v>
          </cell>
          <cell r="AA130" t="str">
            <v>2005A</v>
          </cell>
          <cell r="AC130" t="str">
            <v>2006E</v>
          </cell>
          <cell r="AE130" t="str">
            <v>2007E</v>
          </cell>
          <cell r="AG130" t="str">
            <v>2008E</v>
          </cell>
          <cell r="AI130" t="str">
            <v>2009E</v>
          </cell>
          <cell r="AK130" t="str">
            <v>2010E</v>
          </cell>
        </row>
        <row r="131">
          <cell r="B131" t="str">
            <v>Current diluted EPS</v>
          </cell>
          <cell r="S131">
            <v>1.0327430363401584</v>
          </cell>
          <cell r="U131">
            <v>1.5215431296055475</v>
          </cell>
          <cell r="W131">
            <v>1.9281575037147096</v>
          </cell>
          <cell r="Y131">
            <v>2.36950115525927</v>
          </cell>
          <cell r="AA131">
            <v>3.2027027027027026</v>
          </cell>
          <cell r="AC131">
            <v>3.6698689952539394</v>
          </cell>
          <cell r="AE131">
            <v>4.1013211403748855</v>
          </cell>
          <cell r="AG131">
            <v>4.6347096976234399</v>
          </cell>
          <cell r="AI131">
            <v>5.0526778224740756</v>
          </cell>
          <cell r="AK131">
            <v>5.4875839896915242</v>
          </cell>
        </row>
        <row r="132">
          <cell r="B132" t="str">
            <v>Option expense</v>
          </cell>
          <cell r="S132">
            <v>189.1</v>
          </cell>
          <cell r="U132">
            <v>189.8</v>
          </cell>
          <cell r="W132">
            <v>198</v>
          </cell>
          <cell r="Y132">
            <v>200</v>
          </cell>
          <cell r="AA132">
            <v>200</v>
          </cell>
          <cell r="AC132">
            <v>200</v>
          </cell>
          <cell r="AE132">
            <v>200</v>
          </cell>
          <cell r="AG132">
            <v>200</v>
          </cell>
          <cell r="AI132">
            <v>200</v>
          </cell>
          <cell r="AK132">
            <v>200</v>
          </cell>
        </row>
        <row r="133">
          <cell r="B133" t="str">
            <v>Diluted EPS, pro forma</v>
          </cell>
          <cell r="S133">
            <v>0.85832872163807394</v>
          </cell>
          <cell r="U133">
            <v>1.3570004334633714</v>
          </cell>
          <cell r="W133">
            <v>1.7810549777117379</v>
          </cell>
          <cell r="Y133">
            <v>2.2179917427370168</v>
          </cell>
          <cell r="AA133">
            <v>3.0437201907790143</v>
          </cell>
          <cell r="AC133">
            <v>3.4994205698784278</v>
          </cell>
          <cell r="AE133">
            <v>3.925871506555795</v>
          </cell>
          <cell r="AG133">
            <v>4.4551228416743482</v>
          </cell>
          <cell r="AI133">
            <v>4.8686199131947765</v>
          </cell>
          <cell r="AK133">
            <v>5.2994839640854385</v>
          </cell>
        </row>
        <row r="134">
          <cell r="B134" t="str">
            <v>difference</v>
          </cell>
          <cell r="S134">
            <v>-0.16888452263999287</v>
          </cell>
          <cell r="U134">
            <v>-0.10814198621161197</v>
          </cell>
          <cell r="W134">
            <v>-7.6291758178245295E-2</v>
          </cell>
          <cell r="Y134">
            <v>-6.3941480756811497E-2</v>
          </cell>
          <cell r="AA134">
            <v>-4.9640109208240246E-2</v>
          </cell>
          <cell r="AC134">
            <v>-4.6445370555718513E-2</v>
          </cell>
          <cell r="AE134">
            <v>-4.2778809026169928E-2</v>
          </cell>
          <cell r="AG134">
            <v>-3.8748242644232711E-2</v>
          </cell>
          <cell r="AI134">
            <v>-3.6427794477735809E-2</v>
          </cell>
          <cell r="AK134">
            <v>-3.4277384357019991E-2</v>
          </cell>
        </row>
        <row r="136">
          <cell r="B136" t="str">
            <v>diluted shares</v>
          </cell>
          <cell r="S136">
            <v>1084.2</v>
          </cell>
          <cell r="U136">
            <v>1153.5</v>
          </cell>
          <cell r="W136">
            <v>1346</v>
          </cell>
          <cell r="Y136">
            <v>1320.05</v>
          </cell>
          <cell r="AA136">
            <v>1258</v>
          </cell>
          <cell r="AC136">
            <v>1173.37546275</v>
          </cell>
          <cell r="AE136">
            <v>1139.9282839554037</v>
          </cell>
          <cell r="AG136">
            <v>1113.6672499945955</v>
          </cell>
          <cell r="AI136">
            <v>1086.6145376915538</v>
          </cell>
          <cell r="AK136">
            <v>1063.2640764166335</v>
          </cell>
        </row>
      </sheetData>
      <sheetData sheetId="8" refreshError="1"/>
      <sheetData sheetId="9" refreshError="1">
        <row r="1">
          <cell r="B1" t="str">
            <v>Amgen Cash Flow Statements</v>
          </cell>
          <cell r="AN1" t="str">
            <v>ElementName</v>
          </cell>
          <cell r="AO1" t="str">
            <v>ScaleOverride</v>
          </cell>
          <cell r="AP1" t="str">
            <v>UnitOverride</v>
          </cell>
          <cell r="AQ1" t="str">
            <v>ReverseSign</v>
          </cell>
          <cell r="AR1" t="str">
            <v>IsDrivingAssumption</v>
          </cell>
          <cell r="AS1" t="str">
            <v>SegmentID</v>
          </cell>
        </row>
        <row r="2">
          <cell r="B2" t="str">
            <v>(Dollars in thousands)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CASH FLOWS FROM OPERATING ACTIVITIES</v>
          </cell>
        </row>
        <row r="6">
          <cell r="B6" t="str">
            <v>Net Income (Loss)</v>
          </cell>
          <cell r="C6">
            <v>383.3</v>
          </cell>
          <cell r="E6">
            <v>319.7</v>
          </cell>
          <cell r="G6">
            <v>537.70000000000005</v>
          </cell>
          <cell r="I6">
            <v>679.8</v>
          </cell>
          <cell r="K6">
            <v>644.29999999999995</v>
          </cell>
          <cell r="M6">
            <v>863.2</v>
          </cell>
          <cell r="O6">
            <v>1096.4000000000001</v>
          </cell>
          <cell r="Q6">
            <v>1138.5</v>
          </cell>
          <cell r="S6">
            <v>1119.7</v>
          </cell>
          <cell r="U6">
            <v>-1391.9</v>
          </cell>
          <cell r="W6">
            <v>2259.4999999999991</v>
          </cell>
          <cell r="Y6">
            <v>2363</v>
          </cell>
          <cell r="AA6">
            <v>3674</v>
          </cell>
          <cell r="AC6">
            <v>3329.4653900000003</v>
          </cell>
          <cell r="AE6">
            <v>4180.6358985744819</v>
          </cell>
          <cell r="AG6">
            <v>4644.6218930347759</v>
          </cell>
          <cell r="AI6">
            <v>4935.4458679720119</v>
          </cell>
          <cell r="AK6">
            <v>5243.1867741883407</v>
          </cell>
          <cell r="AN6" t="str">
            <v>mstag:netIncomeReported</v>
          </cell>
          <cell r="AO6">
            <v>6</v>
          </cell>
          <cell r="AP6" t="str">
            <v>ISO4217:USD</v>
          </cell>
          <cell r="AQ6" t="b">
            <v>0</v>
          </cell>
          <cell r="AR6" t="b">
            <v>0</v>
          </cell>
        </row>
        <row r="7">
          <cell r="B7" t="str">
            <v>Write-Off Of In-Process Research and Development</v>
          </cell>
          <cell r="C7">
            <v>0</v>
          </cell>
          <cell r="E7">
            <v>116.4</v>
          </cell>
          <cell r="G7">
            <v>0</v>
          </cell>
          <cell r="I7">
            <v>0</v>
          </cell>
          <cell r="K7">
            <v>0</v>
          </cell>
          <cell r="M7">
            <v>0</v>
          </cell>
          <cell r="O7">
            <v>0</v>
          </cell>
          <cell r="Q7">
            <v>30.1</v>
          </cell>
          <cell r="S7">
            <v>0</v>
          </cell>
          <cell r="U7">
            <v>2991.8</v>
          </cell>
          <cell r="W7">
            <v>0</v>
          </cell>
          <cell r="Y7">
            <v>554</v>
          </cell>
          <cell r="AA7">
            <v>0</v>
          </cell>
          <cell r="AC7">
            <v>0</v>
          </cell>
          <cell r="AE7">
            <v>0</v>
          </cell>
          <cell r="AG7">
            <v>0</v>
          </cell>
          <cell r="AI7">
            <v>0</v>
          </cell>
          <cell r="AK7">
            <v>0</v>
          </cell>
          <cell r="AN7" t="str">
            <v>mstag:acquiredInProcessRAndD</v>
          </cell>
          <cell r="AO7">
            <v>6</v>
          </cell>
          <cell r="AP7" t="str">
            <v>ISO4217:USD</v>
          </cell>
          <cell r="AQ7" t="b">
            <v>0</v>
          </cell>
          <cell r="AR7" t="b">
            <v>0</v>
          </cell>
        </row>
        <row r="8">
          <cell r="B8" t="str">
            <v>Depreciation &amp; Amort.</v>
          </cell>
          <cell r="C8">
            <v>50.7</v>
          </cell>
          <cell r="E8">
            <v>74.5</v>
          </cell>
          <cell r="G8">
            <v>84.2</v>
          </cell>
          <cell r="I8">
            <v>100.3</v>
          </cell>
          <cell r="K8">
            <v>117.1</v>
          </cell>
          <cell r="M8">
            <v>143.80000000000001</v>
          </cell>
          <cell r="O8">
            <v>176.8</v>
          </cell>
          <cell r="Q8">
            <v>211.8</v>
          </cell>
          <cell r="S8">
            <v>265.89999999999998</v>
          </cell>
          <cell r="U8">
            <v>447.3</v>
          </cell>
          <cell r="W8">
            <v>686.5</v>
          </cell>
          <cell r="Y8">
            <v>734</v>
          </cell>
          <cell r="AA8">
            <v>841</v>
          </cell>
          <cell r="AC8">
            <v>772.04066666666665</v>
          </cell>
          <cell r="AE8">
            <v>1130.7377096774276</v>
          </cell>
          <cell r="AG8">
            <v>1349.0218220591833</v>
          </cell>
          <cell r="AI8">
            <v>1564.0573284190054</v>
          </cell>
          <cell r="AK8">
            <v>1824.087369245593</v>
          </cell>
        </row>
        <row r="9">
          <cell r="B9" t="str">
            <v xml:space="preserve">     Depreciation</v>
          </cell>
          <cell r="C9">
            <v>50.7</v>
          </cell>
          <cell r="E9">
            <v>74.5</v>
          </cell>
          <cell r="G9">
            <v>84.2</v>
          </cell>
          <cell r="I9">
            <v>100.3</v>
          </cell>
          <cell r="K9">
            <v>117.1</v>
          </cell>
          <cell r="M9">
            <v>143.80000000000001</v>
          </cell>
          <cell r="O9">
            <v>176.8</v>
          </cell>
          <cell r="Q9">
            <v>211.8</v>
          </cell>
          <cell r="S9">
            <v>265.89999999999998</v>
          </cell>
          <cell r="U9">
            <v>292.10000000000002</v>
          </cell>
          <cell r="W9">
            <v>350.7</v>
          </cell>
          <cell r="Y9">
            <v>374.86666666666667</v>
          </cell>
          <cell r="AA9">
            <v>598</v>
          </cell>
          <cell r="AC9">
            <v>710.93066666666664</v>
          </cell>
          <cell r="AE9">
            <v>912.12770967742756</v>
          </cell>
          <cell r="AG9">
            <v>1130.4118220591831</v>
          </cell>
          <cell r="AI9">
            <v>1345.4473284190053</v>
          </cell>
          <cell r="AK9">
            <v>1605.4773692455931</v>
          </cell>
          <cell r="AN9" t="str">
            <v>mstag:depreciation</v>
          </cell>
          <cell r="AO9">
            <v>6</v>
          </cell>
          <cell r="AP9" t="str">
            <v>ISO4217:USD</v>
          </cell>
          <cell r="AQ9" t="b">
            <v>0</v>
          </cell>
          <cell r="AR9" t="b">
            <v>0</v>
          </cell>
        </row>
        <row r="10">
          <cell r="B10" t="str">
            <v xml:space="preserve">     Amortization</v>
          </cell>
          <cell r="U10">
            <v>155.19999999999999</v>
          </cell>
          <cell r="W10">
            <v>335.8</v>
          </cell>
          <cell r="Y10">
            <v>359.13333333333333</v>
          </cell>
          <cell r="AA10">
            <v>243</v>
          </cell>
          <cell r="AC10">
            <v>61.11</v>
          </cell>
          <cell r="AE10">
            <v>218.61</v>
          </cell>
          <cell r="AG10">
            <v>218.61</v>
          </cell>
          <cell r="AI10">
            <v>218.61</v>
          </cell>
          <cell r="AK10">
            <v>218.61</v>
          </cell>
          <cell r="AN10" t="str">
            <v>mstag:amortizationOfOtherIntangibles</v>
          </cell>
          <cell r="AO10">
            <v>6</v>
          </cell>
          <cell r="AP10" t="str">
            <v>ISO4217:USD</v>
          </cell>
          <cell r="AQ10" t="b">
            <v>0</v>
          </cell>
          <cell r="AR10" t="b">
            <v>0</v>
          </cell>
        </row>
        <row r="11">
          <cell r="B11" t="str">
            <v>Tax Benefits Related to Employee Stock Options</v>
          </cell>
          <cell r="C11">
            <v>0</v>
          </cell>
          <cell r="E11">
            <v>0</v>
          </cell>
          <cell r="G11">
            <v>0</v>
          </cell>
          <cell r="I11">
            <v>48.6</v>
          </cell>
          <cell r="K11">
            <v>54.7</v>
          </cell>
          <cell r="M11">
            <v>108.2</v>
          </cell>
          <cell r="O11">
            <v>151.80000000000001</v>
          </cell>
          <cell r="Q11">
            <v>376.6</v>
          </cell>
          <cell r="S11">
            <v>244.5</v>
          </cell>
          <cell r="U11">
            <v>251.6</v>
          </cell>
          <cell r="W11">
            <v>268.60000000000002</v>
          </cell>
          <cell r="Y11">
            <v>203</v>
          </cell>
          <cell r="AA11">
            <v>315</v>
          </cell>
          <cell r="AC11">
            <v>0</v>
          </cell>
          <cell r="AE11">
            <v>0</v>
          </cell>
          <cell r="AG11">
            <v>0</v>
          </cell>
          <cell r="AI11">
            <v>0</v>
          </cell>
          <cell r="AK11">
            <v>0</v>
          </cell>
          <cell r="AN11" t="str">
            <v>mstag:taxBenefitFromExerciseOfEsosCashFlowStatement</v>
          </cell>
          <cell r="AO11">
            <v>6</v>
          </cell>
          <cell r="AP11" t="str">
            <v>ISO4217:USD</v>
          </cell>
          <cell r="AQ11" t="b">
            <v>0</v>
          </cell>
          <cell r="AR11" t="b">
            <v>0</v>
          </cell>
        </row>
        <row r="12">
          <cell r="B12" t="str">
            <v>Options expense (add back)</v>
          </cell>
          <cell r="AA12">
            <v>0</v>
          </cell>
          <cell r="AC12">
            <v>294.91779250000002</v>
          </cell>
          <cell r="AE12">
            <v>271.96607092308085</v>
          </cell>
          <cell r="AG12">
            <v>294.29251044080411</v>
          </cell>
          <cell r="AI12">
            <v>332.25730820002224</v>
          </cell>
          <cell r="AK12">
            <v>368.95414836972293</v>
          </cell>
          <cell r="AN12" t="str">
            <v>mstag:otherCashFlow</v>
          </cell>
          <cell r="AO12">
            <v>6</v>
          </cell>
          <cell r="AP12" t="str">
            <v>ISO4217:USD</v>
          </cell>
          <cell r="AQ12" t="b">
            <v>0</v>
          </cell>
          <cell r="AR12" t="b">
            <v>0</v>
          </cell>
        </row>
        <row r="13">
          <cell r="B13" t="str">
            <v>Other</v>
          </cell>
          <cell r="C13">
            <v>7.9</v>
          </cell>
          <cell r="E13">
            <v>2.8</v>
          </cell>
          <cell r="G13">
            <v>0.1</v>
          </cell>
          <cell r="I13">
            <v>0</v>
          </cell>
          <cell r="K13">
            <v>0</v>
          </cell>
          <cell r="M13">
            <v>15.8</v>
          </cell>
          <cell r="O13">
            <v>0</v>
          </cell>
          <cell r="Q13">
            <v>-8.3000000000000007</v>
          </cell>
          <cell r="S13">
            <v>97.8</v>
          </cell>
          <cell r="U13">
            <v>24.9</v>
          </cell>
          <cell r="W13">
            <v>99</v>
          </cell>
          <cell r="Y13">
            <v>161</v>
          </cell>
          <cell r="AA13">
            <v>166</v>
          </cell>
          <cell r="AC13">
            <v>0</v>
          </cell>
          <cell r="AE13">
            <v>0</v>
          </cell>
          <cell r="AG13">
            <v>0</v>
          </cell>
          <cell r="AI13">
            <v>0</v>
          </cell>
          <cell r="AK13">
            <v>0</v>
          </cell>
          <cell r="AN13" t="str">
            <v>mstag:otherProvisionsRecurringCashFlowStatement</v>
          </cell>
          <cell r="AO13">
            <v>6</v>
          </cell>
          <cell r="AP13" t="str">
            <v>ISO4217:USD</v>
          </cell>
          <cell r="AQ13" t="b">
            <v>0</v>
          </cell>
          <cell r="AR13" t="b">
            <v>0</v>
          </cell>
        </row>
        <row r="14">
          <cell r="B14" t="str">
            <v>Deferred Income Taxes</v>
          </cell>
          <cell r="C14">
            <v>17.399999999999999</v>
          </cell>
          <cell r="E14">
            <v>2.4</v>
          </cell>
          <cell r="G14">
            <v>23.9</v>
          </cell>
          <cell r="I14">
            <v>25.6</v>
          </cell>
          <cell r="K14">
            <v>-31.4</v>
          </cell>
          <cell r="M14">
            <v>-5.6</v>
          </cell>
          <cell r="O14">
            <v>9.8000000000000007</v>
          </cell>
          <cell r="Q14">
            <v>6.6</v>
          </cell>
          <cell r="S14">
            <v>-148.30000000000001</v>
          </cell>
          <cell r="U14">
            <v>174.7</v>
          </cell>
          <cell r="W14">
            <v>-189.6</v>
          </cell>
          <cell r="Y14">
            <v>57</v>
          </cell>
          <cell r="AA14">
            <v>-95</v>
          </cell>
          <cell r="AC14">
            <v>-300</v>
          </cell>
          <cell r="AE14">
            <v>0</v>
          </cell>
          <cell r="AG14">
            <v>0</v>
          </cell>
          <cell r="AI14">
            <v>0</v>
          </cell>
          <cell r="AK14">
            <v>0</v>
          </cell>
          <cell r="AN14" t="str">
            <v>mstag:deferredTax</v>
          </cell>
          <cell r="AO14">
            <v>6</v>
          </cell>
          <cell r="AP14" t="str">
            <v>ISO4217:USD</v>
          </cell>
          <cell r="AQ14" t="b">
            <v>0</v>
          </cell>
          <cell r="AR14" t="b">
            <v>0</v>
          </cell>
        </row>
        <row r="15">
          <cell r="B15" t="str">
            <v>Loss Of Affiliates, Net</v>
          </cell>
          <cell r="C15">
            <v>12.6</v>
          </cell>
          <cell r="E15">
            <v>31.2</v>
          </cell>
          <cell r="G15">
            <v>53.3</v>
          </cell>
          <cell r="I15">
            <v>52.8</v>
          </cell>
          <cell r="K15">
            <v>36.1</v>
          </cell>
          <cell r="M15">
            <v>28.6</v>
          </cell>
          <cell r="O15">
            <v>16.8</v>
          </cell>
          <cell r="Q15">
            <v>0</v>
          </cell>
          <cell r="S15">
            <v>0</v>
          </cell>
          <cell r="U15">
            <v>0</v>
          </cell>
          <cell r="W15">
            <v>0</v>
          </cell>
          <cell r="Y15">
            <v>0</v>
          </cell>
          <cell r="AA15">
            <v>0</v>
          </cell>
          <cell r="AC15">
            <v>0</v>
          </cell>
          <cell r="AE15">
            <v>0</v>
          </cell>
          <cell r="AG15">
            <v>0</v>
          </cell>
          <cell r="AI15">
            <v>0</v>
          </cell>
          <cell r="AK15">
            <v>0</v>
          </cell>
          <cell r="AN15" t="str">
            <v>mstag:incomeLossFromInvestmentsAccountedForUnderTheEquityMethodNonOperating</v>
          </cell>
          <cell r="AO15">
            <v>6</v>
          </cell>
          <cell r="AP15" t="str">
            <v>ISO4217:USD</v>
          </cell>
          <cell r="AQ15" t="b">
            <v>1</v>
          </cell>
          <cell r="AR15" t="b">
            <v>0</v>
          </cell>
        </row>
        <row r="16">
          <cell r="B16" t="str">
            <v>Changes in operating assets and liabilities</v>
          </cell>
        </row>
        <row r="17">
          <cell r="B17" t="str">
            <v xml:space="preserve">     net of the acquisition:</v>
          </cell>
        </row>
        <row r="18">
          <cell r="B18" t="str">
            <v>Trade Receivables</v>
          </cell>
          <cell r="C18">
            <v>-8.3000000000000007</v>
          </cell>
          <cell r="E18">
            <v>-30.4</v>
          </cell>
          <cell r="G18">
            <v>-4.5999999999999996</v>
          </cell>
          <cell r="I18">
            <v>-26.1</v>
          </cell>
          <cell r="K18">
            <v>-43.6</v>
          </cell>
          <cell r="M18">
            <v>-50.9</v>
          </cell>
          <cell r="O18">
            <v>-92.3</v>
          </cell>
          <cell r="Q18">
            <v>23</v>
          </cell>
          <cell r="S18">
            <v>-123</v>
          </cell>
          <cell r="U18">
            <v>-121.9</v>
          </cell>
          <cell r="W18">
            <v>-255.5</v>
          </cell>
          <cell r="Y18">
            <v>-453</v>
          </cell>
          <cell r="AA18">
            <v>-308</v>
          </cell>
          <cell r="AC18">
            <v>-199.42857142857133</v>
          </cell>
          <cell r="AE18">
            <v>-187.25403225815285</v>
          </cell>
          <cell r="AG18">
            <v>-216.97079176713987</v>
          </cell>
          <cell r="AI18">
            <v>-224.39378280485698</v>
          </cell>
          <cell r="AK18">
            <v>-229.36630898679823</v>
          </cell>
          <cell r="AN18" t="str">
            <v>mstag:netDecreaseInTradeReceivables</v>
          </cell>
          <cell r="AO18">
            <v>6</v>
          </cell>
          <cell r="AP18" t="str">
            <v>ISO4217:USD</v>
          </cell>
          <cell r="AQ18" t="b">
            <v>0</v>
          </cell>
          <cell r="AR18" t="b">
            <v>0</v>
          </cell>
        </row>
        <row r="19">
          <cell r="B19" t="str">
            <v>Inventories</v>
          </cell>
          <cell r="C19">
            <v>-17.899999999999999</v>
          </cell>
          <cell r="E19">
            <v>-23.3</v>
          </cell>
          <cell r="G19">
            <v>9.1999999999999993</v>
          </cell>
          <cell r="I19">
            <v>-8.6</v>
          </cell>
          <cell r="K19">
            <v>-11.8</v>
          </cell>
          <cell r="M19">
            <v>-1.6</v>
          </cell>
          <cell r="O19">
            <v>-73.5</v>
          </cell>
          <cell r="Q19">
            <v>-120.9</v>
          </cell>
          <cell r="S19">
            <v>-85.5</v>
          </cell>
          <cell r="U19">
            <v>-101.7</v>
          </cell>
          <cell r="W19">
            <v>-167.7</v>
          </cell>
          <cell r="Y19">
            <v>-175</v>
          </cell>
          <cell r="AA19">
            <v>-370</v>
          </cell>
          <cell r="AC19">
            <v>-164.03281249999986</v>
          </cell>
          <cell r="AE19">
            <v>-122.53132047396207</v>
          </cell>
          <cell r="AG19">
            <v>-120.23225385671549</v>
          </cell>
          <cell r="AI19">
            <v>-161.33735724691883</v>
          </cell>
          <cell r="AK19">
            <v>-192.56871748293383</v>
          </cell>
          <cell r="AN19" t="str">
            <v>mstag:netDecreaseInInventories</v>
          </cell>
          <cell r="AO19">
            <v>6</v>
          </cell>
          <cell r="AP19" t="str">
            <v>ISO4217:USD</v>
          </cell>
          <cell r="AQ19" t="b">
            <v>0</v>
          </cell>
          <cell r="AR19" t="b">
            <v>0</v>
          </cell>
        </row>
        <row r="20">
          <cell r="B20" t="str">
            <v>Other Current Assets</v>
          </cell>
          <cell r="C20">
            <v>-4.8</v>
          </cell>
          <cell r="E20">
            <v>1.8</v>
          </cell>
          <cell r="G20">
            <v>-8</v>
          </cell>
          <cell r="I20">
            <v>-11.8</v>
          </cell>
          <cell r="K20">
            <v>5</v>
          </cell>
          <cell r="M20">
            <v>-21.2</v>
          </cell>
          <cell r="O20">
            <v>-9</v>
          </cell>
          <cell r="Q20">
            <v>-51.4</v>
          </cell>
          <cell r="S20">
            <v>-31.5</v>
          </cell>
          <cell r="U20">
            <v>-5.2</v>
          </cell>
          <cell r="W20">
            <v>-32.799999999999997</v>
          </cell>
          <cell r="Y20">
            <v>-85</v>
          </cell>
          <cell r="AA20">
            <v>-47</v>
          </cell>
          <cell r="AC20">
            <v>-11.530000000000086</v>
          </cell>
          <cell r="AE20">
            <v>-242.65225806456544</v>
          </cell>
          <cell r="AG20">
            <v>-266.23550051228403</v>
          </cell>
          <cell r="AI20">
            <v>-139.3485391218162</v>
          </cell>
          <cell r="AK20">
            <v>-142.4364778808017</v>
          </cell>
          <cell r="AN20" t="str">
            <v>mstag:netDecreaseInOtherAssets</v>
          </cell>
          <cell r="AO20">
            <v>6</v>
          </cell>
          <cell r="AP20" t="str">
            <v>ISO4217:USD</v>
          </cell>
          <cell r="AQ20" t="b">
            <v>0</v>
          </cell>
          <cell r="AR20" t="b">
            <v>0</v>
          </cell>
        </row>
        <row r="21">
          <cell r="B21" t="str">
            <v>Goodwill</v>
          </cell>
          <cell r="AA21">
            <v>0</v>
          </cell>
          <cell r="AC21">
            <v>-500</v>
          </cell>
          <cell r="AE21">
            <v>0</v>
          </cell>
          <cell r="AG21">
            <v>0</v>
          </cell>
          <cell r="AI21">
            <v>0</v>
          </cell>
          <cell r="AK21">
            <v>0</v>
          </cell>
          <cell r="AN21" t="str">
            <v>mstag:premiumGoodwillOnAcquisions</v>
          </cell>
          <cell r="AO21">
            <v>6</v>
          </cell>
          <cell r="AP21" t="str">
            <v>ISO4217:USD</v>
          </cell>
          <cell r="AQ21" t="b">
            <v>1</v>
          </cell>
          <cell r="AR21" t="b">
            <v>0</v>
          </cell>
        </row>
        <row r="22">
          <cell r="B22" t="str">
            <v>Accounts Payable</v>
          </cell>
          <cell r="C22">
            <v>-14.9</v>
          </cell>
          <cell r="E22">
            <v>4.5999999999999996</v>
          </cell>
          <cell r="G22">
            <v>23.9</v>
          </cell>
          <cell r="I22">
            <v>20.6</v>
          </cell>
          <cell r="K22">
            <v>28.9</v>
          </cell>
          <cell r="M22">
            <v>17.7</v>
          </cell>
          <cell r="O22">
            <v>-38.200000000000003</v>
          </cell>
          <cell r="Q22">
            <v>59.8</v>
          </cell>
          <cell r="S22">
            <v>-6.5</v>
          </cell>
          <cell r="U22">
            <v>11</v>
          </cell>
          <cell r="W22">
            <v>74</v>
          </cell>
          <cell r="Y22">
            <v>179</v>
          </cell>
          <cell r="AA22">
            <v>72</v>
          </cell>
          <cell r="AC22">
            <v>68.909239999999954</v>
          </cell>
          <cell r="AE22">
            <v>60.333615794882348</v>
          </cell>
          <cell r="AG22">
            <v>92.236339874018086</v>
          </cell>
          <cell r="AI22">
            <v>105.45777155338374</v>
          </cell>
          <cell r="AK22">
            <v>101.93566713805728</v>
          </cell>
          <cell r="AN22" t="str">
            <v>mstag:netIncreaseInTradeAndOtherPayables</v>
          </cell>
          <cell r="AO22">
            <v>6</v>
          </cell>
          <cell r="AP22" t="str">
            <v>ISO4217:USD</v>
          </cell>
          <cell r="AQ22" t="b">
            <v>0</v>
          </cell>
          <cell r="AR22" t="b">
            <v>0</v>
          </cell>
        </row>
        <row r="23">
          <cell r="B23" t="str">
            <v>Accrued Liabilities</v>
          </cell>
          <cell r="C23">
            <v>7</v>
          </cell>
          <cell r="E23">
            <v>32.200000000000003</v>
          </cell>
          <cell r="G23">
            <v>53.5</v>
          </cell>
          <cell r="I23">
            <v>-10</v>
          </cell>
          <cell r="K23">
            <v>158.30000000000001</v>
          </cell>
          <cell r="M23">
            <v>51.7</v>
          </cell>
          <cell r="O23">
            <v>-11.5</v>
          </cell>
          <cell r="Q23">
            <v>-31.2</v>
          </cell>
          <cell r="S23">
            <v>147.1</v>
          </cell>
          <cell r="U23">
            <v>-31.8</v>
          </cell>
          <cell r="W23">
            <v>824.6</v>
          </cell>
          <cell r="Y23">
            <v>159</v>
          </cell>
          <cell r="AA23">
            <v>663</v>
          </cell>
          <cell r="AC23">
            <v>-90.022075000000314</v>
          </cell>
          <cell r="AE23">
            <v>263.9595691026102</v>
          </cell>
          <cell r="AG23">
            <v>162.37762422650394</v>
          </cell>
          <cell r="AI23">
            <v>430.26770793780543</v>
          </cell>
          <cell r="AK23">
            <v>415.89752192327433</v>
          </cell>
          <cell r="AN23" t="str">
            <v>mstag:netIncreaseInAccruedExpenses</v>
          </cell>
          <cell r="AO23">
            <v>6</v>
          </cell>
          <cell r="AP23" t="str">
            <v>ISO4217:USD</v>
          </cell>
          <cell r="AQ23" t="b">
            <v>0</v>
          </cell>
          <cell r="AR23" t="b">
            <v>0</v>
          </cell>
        </row>
        <row r="24">
          <cell r="B24" t="str">
            <v>Net cash provided by (used in) operating activities</v>
          </cell>
          <cell r="C24">
            <v>433</v>
          </cell>
          <cell r="E24">
            <v>531.9</v>
          </cell>
          <cell r="G24">
            <v>773.2</v>
          </cell>
          <cell r="I24">
            <v>871.19999999999993</v>
          </cell>
          <cell r="K24">
            <v>957.6</v>
          </cell>
          <cell r="M24">
            <v>1149.7</v>
          </cell>
          <cell r="O24">
            <v>1227.1000000000001</v>
          </cell>
          <cell r="Q24">
            <v>1634.6</v>
          </cell>
          <cell r="S24">
            <v>1480.1999999999998</v>
          </cell>
          <cell r="U24">
            <v>2248.8000000000002</v>
          </cell>
          <cell r="W24">
            <v>3566.5999999999995</v>
          </cell>
          <cell r="Y24">
            <v>3697</v>
          </cell>
          <cell r="AA24">
            <v>4911</v>
          </cell>
          <cell r="AC24">
            <v>3200.3196302380957</v>
          </cell>
          <cell r="AE24">
            <v>5355.1952532758032</v>
          </cell>
          <cell r="AG24">
            <v>5939.1116434991454</v>
          </cell>
          <cell r="AI24">
            <v>6842.4063049086362</v>
          </cell>
          <cell r="AK24">
            <v>7389.6899765144535</v>
          </cell>
        </row>
        <row r="26">
          <cell r="B26" t="str">
            <v>CASH FLOWS FROM INVESTING ACTIVITIES</v>
          </cell>
        </row>
        <row r="27">
          <cell r="B27" t="str">
            <v>Purchases of PP&amp;E</v>
          </cell>
          <cell r="C27">
            <v>-209.9</v>
          </cell>
          <cell r="E27">
            <v>-130.80000000000001</v>
          </cell>
          <cell r="G27">
            <v>-162.69999999999999</v>
          </cell>
          <cell r="I27">
            <v>-266.89999999999998</v>
          </cell>
          <cell r="K27">
            <v>-387.8</v>
          </cell>
          <cell r="M27">
            <v>-407.8</v>
          </cell>
          <cell r="O27">
            <v>-304.2</v>
          </cell>
          <cell r="Q27">
            <v>-437.7</v>
          </cell>
          <cell r="S27">
            <v>-441.8</v>
          </cell>
          <cell r="U27">
            <v>-658.5</v>
          </cell>
          <cell r="W27">
            <v>-1356.8</v>
          </cell>
          <cell r="Y27">
            <v>-1336</v>
          </cell>
          <cell r="AA27">
            <v>-867</v>
          </cell>
          <cell r="AC27">
            <v>-1653.48</v>
          </cell>
          <cell r="AE27">
            <v>-1508.977822580707</v>
          </cell>
          <cell r="AG27">
            <v>-1637.1308428631664</v>
          </cell>
          <cell r="AI27">
            <v>-1612.7662976986658</v>
          </cell>
          <cell r="AK27">
            <v>-1950.2253061994086</v>
          </cell>
          <cell r="AN27" t="str">
            <v>mstag:capitalExpenditures</v>
          </cell>
          <cell r="AO27">
            <v>6</v>
          </cell>
          <cell r="AP27" t="str">
            <v>ISO4217:USD</v>
          </cell>
          <cell r="AQ27" t="b">
            <v>1</v>
          </cell>
          <cell r="AR27" t="b">
            <v>0</v>
          </cell>
        </row>
        <row r="28">
          <cell r="B28" t="str">
            <v>Proceeds From Maturities Of Mktable Sec.</v>
          </cell>
          <cell r="C28">
            <v>0</v>
          </cell>
          <cell r="E28">
            <v>1593.5</v>
          </cell>
          <cell r="G28">
            <v>1148.3999999999999</v>
          </cell>
          <cell r="I28">
            <v>930.7</v>
          </cell>
          <cell r="K28">
            <v>891.40000000000009</v>
          </cell>
          <cell r="M28">
            <v>486.3</v>
          </cell>
          <cell r="O28">
            <v>40</v>
          </cell>
          <cell r="Q28">
            <v>0</v>
          </cell>
          <cell r="S28">
            <v>490.3</v>
          </cell>
          <cell r="U28">
            <v>778.2</v>
          </cell>
          <cell r="W28">
            <v>370.8</v>
          </cell>
          <cell r="Y28">
            <v>8354</v>
          </cell>
          <cell r="AA28">
            <v>603</v>
          </cell>
          <cell r="AC28">
            <v>310.4545454545455</v>
          </cell>
          <cell r="AE28">
            <v>147.83549783549785</v>
          </cell>
          <cell r="AG28">
            <v>14.70999978462665</v>
          </cell>
          <cell r="AI28">
            <v>14.63681570609617</v>
          </cell>
          <cell r="AK28">
            <v>14.563995727458876</v>
          </cell>
          <cell r="AN28" t="str">
            <v>mstag:otherCashFlow</v>
          </cell>
          <cell r="AO28">
            <v>6</v>
          </cell>
          <cell r="AP28" t="str">
            <v>ISO4217:USD</v>
          </cell>
          <cell r="AQ28" t="b">
            <v>0</v>
          </cell>
          <cell r="AR28" t="b">
            <v>0</v>
          </cell>
        </row>
        <row r="29">
          <cell r="B29" t="str">
            <v>Proceeds From Sales Of Mktable Sec.</v>
          </cell>
          <cell r="O29">
            <v>843.5</v>
          </cell>
          <cell r="Q29">
            <v>1067.8</v>
          </cell>
          <cell r="S29">
            <v>301.7</v>
          </cell>
          <cell r="U29">
            <v>1621.5</v>
          </cell>
          <cell r="W29">
            <v>3338.6</v>
          </cell>
          <cell r="Y29">
            <v>13079</v>
          </cell>
          <cell r="AA29">
            <v>9835</v>
          </cell>
          <cell r="AC29">
            <v>0</v>
          </cell>
          <cell r="AE29">
            <v>0</v>
          </cell>
          <cell r="AG29">
            <v>0</v>
          </cell>
          <cell r="AI29">
            <v>0</v>
          </cell>
          <cell r="AK29">
            <v>0</v>
          </cell>
          <cell r="AN29" t="str">
            <v>mstag:otherCashFlow</v>
          </cell>
          <cell r="AO29">
            <v>6</v>
          </cell>
          <cell r="AP29" t="str">
            <v>ISO4217:USD</v>
          </cell>
          <cell r="AQ29" t="b">
            <v>0</v>
          </cell>
          <cell r="AR29" t="b">
            <v>0</v>
          </cell>
        </row>
        <row r="30">
          <cell r="B30" t="str">
            <v>Purchases Of Marketable Securities</v>
          </cell>
          <cell r="C30">
            <v>-131.30000000000001</v>
          </cell>
          <cell r="E30">
            <v>-1395.1</v>
          </cell>
          <cell r="G30">
            <v>-1646.6</v>
          </cell>
          <cell r="I30">
            <v>-854.8</v>
          </cell>
          <cell r="K30">
            <v>-767.5</v>
          </cell>
          <cell r="M30">
            <v>-766.3</v>
          </cell>
          <cell r="O30">
            <v>-1032.7</v>
          </cell>
          <cell r="Q30">
            <v>-1638.7</v>
          </cell>
          <cell r="S30">
            <v>-918.2</v>
          </cell>
          <cell r="U30">
            <v>-2952.8</v>
          </cell>
          <cell r="W30">
            <v>-5320.3</v>
          </cell>
          <cell r="Y30">
            <v>-21488</v>
          </cell>
          <cell r="AA30">
            <v>-9597</v>
          </cell>
          <cell r="AC30">
            <v>0</v>
          </cell>
          <cell r="AE30">
            <v>0</v>
          </cell>
          <cell r="AG30">
            <v>0</v>
          </cell>
          <cell r="AI30">
            <v>0</v>
          </cell>
          <cell r="AK30">
            <v>0</v>
          </cell>
          <cell r="AN30" t="str">
            <v>mstag:otherCashFlow</v>
          </cell>
          <cell r="AO30">
            <v>6</v>
          </cell>
          <cell r="AP30" t="str">
            <v>ISO4217:USD</v>
          </cell>
          <cell r="AQ30" t="b">
            <v>0</v>
          </cell>
          <cell r="AR30" t="b">
            <v>0</v>
          </cell>
        </row>
        <row r="31">
          <cell r="B31" t="str">
            <v>Acquisitions, Net Of Cash</v>
          </cell>
          <cell r="C31">
            <v>0</v>
          </cell>
          <cell r="E31">
            <v>-240.8</v>
          </cell>
          <cell r="G31">
            <v>0</v>
          </cell>
          <cell r="I31">
            <v>0</v>
          </cell>
          <cell r="K31">
            <v>0</v>
          </cell>
          <cell r="M31">
            <v>0</v>
          </cell>
          <cell r="O31">
            <v>0</v>
          </cell>
          <cell r="Q31">
            <v>0</v>
          </cell>
          <cell r="S31">
            <v>0</v>
          </cell>
          <cell r="U31">
            <v>-1899</v>
          </cell>
          <cell r="W31">
            <v>0</v>
          </cell>
          <cell r="Y31">
            <v>115</v>
          </cell>
          <cell r="AA31">
            <v>0</v>
          </cell>
          <cell r="AC31">
            <v>0</v>
          </cell>
          <cell r="AE31">
            <v>0</v>
          </cell>
          <cell r="AG31">
            <v>0</v>
          </cell>
          <cell r="AI31">
            <v>0</v>
          </cell>
          <cell r="AK31">
            <v>0</v>
          </cell>
          <cell r="AN31" t="str">
            <v>mstag:otherCashFlow</v>
          </cell>
          <cell r="AO31">
            <v>6</v>
          </cell>
          <cell r="AP31" t="str">
            <v>ISO4217:USD</v>
          </cell>
          <cell r="AQ31" t="b">
            <v>0</v>
          </cell>
          <cell r="AR31" t="b">
            <v>0</v>
          </cell>
        </row>
        <row r="32">
          <cell r="B32" t="str">
            <v>Proceeds from Sale of Leukine Business</v>
          </cell>
          <cell r="U32">
            <v>389.9</v>
          </cell>
          <cell r="W32">
            <v>0</v>
          </cell>
          <cell r="Y32">
            <v>0</v>
          </cell>
          <cell r="AA32">
            <v>0</v>
          </cell>
          <cell r="AC32">
            <v>0</v>
          </cell>
          <cell r="AE32">
            <v>0</v>
          </cell>
          <cell r="AG32">
            <v>0</v>
          </cell>
          <cell r="AI32">
            <v>0</v>
          </cell>
          <cell r="AK32">
            <v>0</v>
          </cell>
          <cell r="AN32" t="str">
            <v>mstag:gainsLossesFromSaleOfOperatingAssetsOneTime</v>
          </cell>
          <cell r="AO32">
            <v>6</v>
          </cell>
          <cell r="AP32" t="str">
            <v>ISO4217:USD</v>
          </cell>
          <cell r="AQ32" t="b">
            <v>1</v>
          </cell>
          <cell r="AR32" t="b">
            <v>0</v>
          </cell>
        </row>
        <row r="33">
          <cell r="B33" t="str">
            <v>Purchase of Certain Rights from Roche</v>
          </cell>
          <cell r="U33">
            <v>-137.5</v>
          </cell>
          <cell r="W33">
            <v>0</v>
          </cell>
          <cell r="Y33">
            <v>0</v>
          </cell>
          <cell r="AA33">
            <v>0</v>
          </cell>
          <cell r="AC33">
            <v>0</v>
          </cell>
          <cell r="AE33">
            <v>0</v>
          </cell>
          <cell r="AG33">
            <v>0</v>
          </cell>
          <cell r="AI33">
            <v>0</v>
          </cell>
          <cell r="AK33">
            <v>0</v>
          </cell>
          <cell r="AN33" t="str">
            <v>mstag:otherCashFlow</v>
          </cell>
          <cell r="AO33">
            <v>6</v>
          </cell>
          <cell r="AP33" t="str">
            <v>ISO4217:USD</v>
          </cell>
          <cell r="AQ33" t="b">
            <v>0</v>
          </cell>
          <cell r="AR33" t="b">
            <v>0</v>
          </cell>
        </row>
        <row r="34">
          <cell r="B34" t="str">
            <v>Other</v>
          </cell>
          <cell r="C34">
            <v>-48.7</v>
          </cell>
          <cell r="E34">
            <v>-17.8</v>
          </cell>
          <cell r="G34">
            <v>-33.200000000000003</v>
          </cell>
          <cell r="I34">
            <v>-119.19999999999999</v>
          </cell>
          <cell r="K34">
            <v>-38.299999999999997</v>
          </cell>
          <cell r="M34">
            <v>14.100000000000001</v>
          </cell>
          <cell r="O34">
            <v>-10</v>
          </cell>
          <cell r="Q34">
            <v>-27.7</v>
          </cell>
          <cell r="S34">
            <v>28.4</v>
          </cell>
          <cell r="U34">
            <v>-5.6</v>
          </cell>
          <cell r="W34">
            <v>-242.5</v>
          </cell>
          <cell r="Y34">
            <v>-123</v>
          </cell>
          <cell r="AA34">
            <v>-33</v>
          </cell>
          <cell r="AC34">
            <v>0</v>
          </cell>
          <cell r="AE34">
            <v>0</v>
          </cell>
          <cell r="AG34">
            <v>0</v>
          </cell>
          <cell r="AI34">
            <v>0</v>
          </cell>
          <cell r="AK34">
            <v>0</v>
          </cell>
          <cell r="AN34" t="str">
            <v>mstag:otherCashFlow</v>
          </cell>
          <cell r="AO34">
            <v>6</v>
          </cell>
          <cell r="AP34" t="str">
            <v>ISO4217:USD</v>
          </cell>
          <cell r="AQ34" t="b">
            <v>0</v>
          </cell>
          <cell r="AR34" t="b">
            <v>0</v>
          </cell>
        </row>
        <row r="35">
          <cell r="B35" t="str">
            <v>Net cash used in investing activities</v>
          </cell>
          <cell r="C35">
            <v>-180</v>
          </cell>
          <cell r="E35">
            <v>-1653.6999999999998</v>
          </cell>
          <cell r="G35">
            <v>-694.10000000000014</v>
          </cell>
          <cell r="I35">
            <v>-310.19999999999987</v>
          </cell>
          <cell r="K35">
            <v>-302.19999999999993</v>
          </cell>
          <cell r="M35">
            <v>-673.69999999999993</v>
          </cell>
          <cell r="O35">
            <v>-463.40000000000009</v>
          </cell>
          <cell r="Q35">
            <v>-1036.3000000000002</v>
          </cell>
          <cell r="S35">
            <v>-539.6</v>
          </cell>
          <cell r="U35">
            <v>-2863.8</v>
          </cell>
          <cell r="W35">
            <v>-3210.2000000000003</v>
          </cell>
          <cell r="Y35">
            <v>-1399</v>
          </cell>
          <cell r="AA35">
            <v>-59</v>
          </cell>
          <cell r="AC35">
            <v>-1343.0254545454545</v>
          </cell>
          <cell r="AE35">
            <v>-1361.1423247452092</v>
          </cell>
          <cell r="AG35">
            <v>-1622.4208430785397</v>
          </cell>
          <cell r="AI35">
            <v>-1598.1294819925697</v>
          </cell>
          <cell r="AK35">
            <v>-1935.6613104719497</v>
          </cell>
        </row>
        <row r="37">
          <cell r="B37" t="str">
            <v>CASH FLOWS FROM FINANCING ACTIVITIES</v>
          </cell>
        </row>
        <row r="38">
          <cell r="B38" t="str">
            <v>Net Proceeds from Issuance Of Common Stock Upon</v>
          </cell>
        </row>
        <row r="39">
          <cell r="B39" t="str">
            <v xml:space="preserve">      Exercise of ESO in connection with ESOP</v>
          </cell>
          <cell r="C39">
            <v>62.199999999999996</v>
          </cell>
          <cell r="E39">
            <v>82.8</v>
          </cell>
          <cell r="G39">
            <v>145.39999999999998</v>
          </cell>
          <cell r="I39">
            <v>112.6</v>
          </cell>
          <cell r="K39">
            <v>134.30000000000001</v>
          </cell>
          <cell r="M39">
            <v>345.5</v>
          </cell>
          <cell r="O39">
            <v>248.8</v>
          </cell>
          <cell r="Q39">
            <v>333.7</v>
          </cell>
          <cell r="S39">
            <v>277.7</v>
          </cell>
          <cell r="U39">
            <v>427.8</v>
          </cell>
          <cell r="W39">
            <v>529</v>
          </cell>
          <cell r="Y39">
            <v>453</v>
          </cell>
          <cell r="AA39">
            <v>1087</v>
          </cell>
          <cell r="AC39">
            <v>285.59999999999997</v>
          </cell>
          <cell r="AE39">
            <v>408.84592000000009</v>
          </cell>
          <cell r="AG39">
            <v>520.84414921000007</v>
          </cell>
          <cell r="AI39">
            <v>578.62034899356695</v>
          </cell>
          <cell r="AK39">
            <v>555.01263875462951</v>
          </cell>
          <cell r="AN39" t="str">
            <v>mstag:proceedsFromIssuanceOfCommonStock</v>
          </cell>
          <cell r="AO39">
            <v>6</v>
          </cell>
          <cell r="AP39" t="str">
            <v>ISO4217:USD</v>
          </cell>
          <cell r="AQ39" t="b">
            <v>0</v>
          </cell>
          <cell r="AR39" t="b">
            <v>0</v>
          </cell>
        </row>
        <row r="40">
          <cell r="B40" t="str">
            <v xml:space="preserve">Issuance of Zero-Coupon Convertible Notes, net </v>
          </cell>
          <cell r="U40">
            <v>2764.7</v>
          </cell>
          <cell r="W40">
            <v>0</v>
          </cell>
          <cell r="Y40">
            <v>1989</v>
          </cell>
          <cell r="AA40">
            <v>0</v>
          </cell>
          <cell r="AC40">
            <v>19.78875</v>
          </cell>
          <cell r="AE40">
            <v>19.78875</v>
          </cell>
          <cell r="AG40">
            <v>19.78875</v>
          </cell>
          <cell r="AI40">
            <v>19.78875</v>
          </cell>
          <cell r="AK40">
            <v>19.78875</v>
          </cell>
          <cell r="AN40" t="str">
            <v>mstag:proceedsFromIssuanceAndCashUsedToRepayLongTermDebt</v>
          </cell>
          <cell r="AO40">
            <v>6</v>
          </cell>
          <cell r="AP40" t="str">
            <v>ISO4217:USD</v>
          </cell>
          <cell r="AQ40" t="b">
            <v>0</v>
          </cell>
          <cell r="AR40" t="b">
            <v>0</v>
          </cell>
        </row>
        <row r="41">
          <cell r="B41" t="str">
            <v>Stock Repurchases</v>
          </cell>
          <cell r="C41">
            <v>-207.4</v>
          </cell>
          <cell r="E41">
            <v>-300.5</v>
          </cell>
          <cell r="G41">
            <v>-285.7</v>
          </cell>
          <cell r="I41">
            <v>-450</v>
          </cell>
          <cell r="K41">
            <v>-737.9</v>
          </cell>
          <cell r="M41">
            <v>-912.1</v>
          </cell>
          <cell r="O41">
            <v>-1024.7</v>
          </cell>
          <cell r="Q41">
            <v>-799.9</v>
          </cell>
          <cell r="S41">
            <v>-737.5</v>
          </cell>
          <cell r="U41">
            <v>-1420.4</v>
          </cell>
          <cell r="W41">
            <v>-1801</v>
          </cell>
          <cell r="Y41">
            <v>-4072</v>
          </cell>
          <cell r="AA41">
            <v>-4430</v>
          </cell>
          <cell r="AC41">
            <v>-7577.5000000000009</v>
          </cell>
          <cell r="AE41">
            <v>-3281.0575000000008</v>
          </cell>
          <cell r="AG41">
            <v>-3551.7447437500005</v>
          </cell>
          <cell r="AI41">
            <v>-3844.7636851093757</v>
          </cell>
          <cell r="AK41">
            <v>-3641.7121029895366</v>
          </cell>
          <cell r="AN41" t="str">
            <v>mstag:fundsUsedToRepurchaseCommonStock</v>
          </cell>
          <cell r="AO41">
            <v>6</v>
          </cell>
          <cell r="AP41" t="str">
            <v>ISO4217:USD</v>
          </cell>
          <cell r="AQ41" t="b">
            <v>1</v>
          </cell>
          <cell r="AR41" t="b">
            <v>0</v>
          </cell>
        </row>
        <row r="42">
          <cell r="B42" t="str">
            <v>Tax Benefits Related to Employee Stock Options</v>
          </cell>
          <cell r="AC42">
            <v>170.55674999999999</v>
          </cell>
          <cell r="AE42">
            <v>241.49308286250007</v>
          </cell>
          <cell r="AG42">
            <v>304.2759299385545</v>
          </cell>
          <cell r="AI42">
            <v>334.30929864953174</v>
          </cell>
          <cell r="AK42">
            <v>317.12642488736873</v>
          </cell>
          <cell r="AN42" t="str">
            <v>mstag:taxBenefitFromExerciseOfEsosCashFlowStatement</v>
          </cell>
          <cell r="AO42">
            <v>6</v>
          </cell>
          <cell r="AP42" t="str">
            <v>ISO4217:USD</v>
          </cell>
          <cell r="AQ42" t="b">
            <v>0</v>
          </cell>
          <cell r="AR42" t="b">
            <v>0</v>
          </cell>
        </row>
        <row r="43">
          <cell r="B43" t="str">
            <v>Increase (Decrease) In Commercial Paper</v>
          </cell>
          <cell r="C43">
            <v>109.8</v>
          </cell>
          <cell r="E43">
            <v>-10.1</v>
          </cell>
          <cell r="G43">
            <v>-30</v>
          </cell>
          <cell r="I43">
            <v>-69.7</v>
          </cell>
          <cell r="K43">
            <v>0</v>
          </cell>
          <cell r="M43">
            <v>99.7</v>
          </cell>
          <cell r="O43">
            <v>-0.2</v>
          </cell>
          <cell r="Q43">
            <v>0</v>
          </cell>
          <cell r="S43">
            <v>0</v>
          </cell>
          <cell r="U43">
            <v>0</v>
          </cell>
          <cell r="W43">
            <v>0</v>
          </cell>
          <cell r="Y43">
            <v>0</v>
          </cell>
          <cell r="AA43">
            <v>0</v>
          </cell>
          <cell r="AC43">
            <v>0</v>
          </cell>
          <cell r="AE43">
            <v>0</v>
          </cell>
          <cell r="AG43">
            <v>0</v>
          </cell>
          <cell r="AI43">
            <v>0</v>
          </cell>
          <cell r="AK43">
            <v>0</v>
          </cell>
          <cell r="AN43" t="str">
            <v>mstag:proceedsFromIssuanceAndCashUsedToRepayLongTermDebt</v>
          </cell>
          <cell r="AO43">
            <v>6</v>
          </cell>
          <cell r="AP43" t="str">
            <v>ISO4217:USD</v>
          </cell>
          <cell r="AQ43" t="b">
            <v>0</v>
          </cell>
          <cell r="AR43" t="b">
            <v>0</v>
          </cell>
        </row>
        <row r="44">
          <cell r="B44" t="str">
            <v>Proceeds From Additions To Long-Term Debt</v>
          </cell>
          <cell r="C44">
            <v>53</v>
          </cell>
          <cell r="E44">
            <v>12.5</v>
          </cell>
          <cell r="G44">
            <v>0</v>
          </cell>
          <cell r="I44">
            <v>0</v>
          </cell>
          <cell r="K44">
            <v>200</v>
          </cell>
          <cell r="M44">
            <v>0</v>
          </cell>
          <cell r="O44">
            <v>0</v>
          </cell>
          <cell r="Q44">
            <v>0</v>
          </cell>
          <cell r="S44">
            <v>0</v>
          </cell>
          <cell r="U44">
            <v>0</v>
          </cell>
          <cell r="W44">
            <v>0</v>
          </cell>
          <cell r="Y44">
            <v>0</v>
          </cell>
          <cell r="AA44">
            <v>0</v>
          </cell>
          <cell r="AC44">
            <v>5000</v>
          </cell>
          <cell r="AE44">
            <v>0</v>
          </cell>
          <cell r="AG44">
            <v>0</v>
          </cell>
          <cell r="AI44">
            <v>0</v>
          </cell>
          <cell r="AK44">
            <v>0</v>
          </cell>
          <cell r="AN44" t="str">
            <v>mstag:proceedsFromIssuanceAndCashUsedToRepayLongTermDebt</v>
          </cell>
          <cell r="AO44">
            <v>6</v>
          </cell>
          <cell r="AP44" t="str">
            <v>ISO4217:USD</v>
          </cell>
          <cell r="AQ44" t="b">
            <v>0</v>
          </cell>
          <cell r="AR44" t="b">
            <v>0</v>
          </cell>
        </row>
        <row r="45">
          <cell r="B45" t="str">
            <v>Repayments Of Long-Term Debt</v>
          </cell>
          <cell r="C45">
            <v>-2</v>
          </cell>
          <cell r="E45">
            <v>-12</v>
          </cell>
          <cell r="G45">
            <v>-6.2</v>
          </cell>
          <cell r="I45">
            <v>0</v>
          </cell>
          <cell r="K45">
            <v>-118.2</v>
          </cell>
          <cell r="M45">
            <v>-30</v>
          </cell>
          <cell r="O45">
            <v>-6</v>
          </cell>
          <cell r="Q45">
            <v>0</v>
          </cell>
          <cell r="S45">
            <v>0</v>
          </cell>
          <cell r="U45">
            <v>0</v>
          </cell>
          <cell r="W45">
            <v>-123</v>
          </cell>
          <cell r="Y45">
            <v>0</v>
          </cell>
          <cell r="AA45">
            <v>-1175</v>
          </cell>
          <cell r="AC45">
            <v>0</v>
          </cell>
          <cell r="AE45">
            <v>-100</v>
          </cell>
          <cell r="AG45">
            <v>0</v>
          </cell>
          <cell r="AI45">
            <v>-998</v>
          </cell>
          <cell r="AK45">
            <v>0</v>
          </cell>
          <cell r="AN45" t="str">
            <v>mstag:proceedsFromIssuanceAndCashUsedToRepayLongTermDebt</v>
          </cell>
          <cell r="AO45">
            <v>6</v>
          </cell>
          <cell r="AP45" t="str">
            <v>ISO4217:USD</v>
          </cell>
          <cell r="AQ45" t="b">
            <v>0</v>
          </cell>
          <cell r="AR45" t="b">
            <v>0</v>
          </cell>
        </row>
        <row r="46">
          <cell r="B46" t="str">
            <v>Other</v>
          </cell>
          <cell r="C46">
            <v>-22.2</v>
          </cell>
          <cell r="E46">
            <v>-30.8</v>
          </cell>
          <cell r="G46">
            <v>-47.2</v>
          </cell>
          <cell r="I46">
            <v>-51.3</v>
          </cell>
          <cell r="K46">
            <v>-63.8</v>
          </cell>
          <cell r="M46">
            <v>-17.100000000000001</v>
          </cell>
          <cell r="O46">
            <v>-51.8</v>
          </cell>
          <cell r="Q46">
            <v>-36.5</v>
          </cell>
          <cell r="S46">
            <v>-18.2</v>
          </cell>
          <cell r="U46">
            <v>5.5</v>
          </cell>
          <cell r="W46">
            <v>23.5</v>
          </cell>
          <cell r="Y46">
            <v>21</v>
          </cell>
          <cell r="AA46">
            <v>-20</v>
          </cell>
          <cell r="AC46">
            <v>0</v>
          </cell>
          <cell r="AE46">
            <v>0</v>
          </cell>
          <cell r="AG46">
            <v>0</v>
          </cell>
          <cell r="AI46">
            <v>0</v>
          </cell>
          <cell r="AK46">
            <v>0</v>
          </cell>
          <cell r="AN46" t="str">
            <v>mstag:otherCashFlow</v>
          </cell>
          <cell r="AO46">
            <v>6</v>
          </cell>
          <cell r="AP46" t="str">
            <v>ISO4217:USD</v>
          </cell>
          <cell r="AQ46" t="b">
            <v>0</v>
          </cell>
          <cell r="AR46" t="b">
            <v>0</v>
          </cell>
        </row>
        <row r="47">
          <cell r="B47" t="str">
            <v>Net cash provided by financing activities</v>
          </cell>
          <cell r="C47">
            <v>138.60000000000002</v>
          </cell>
          <cell r="E47">
            <v>-40.4</v>
          </cell>
          <cell r="G47">
            <v>-223.7</v>
          </cell>
          <cell r="I47">
            <v>-458.4</v>
          </cell>
          <cell r="K47">
            <v>-585.59999999999991</v>
          </cell>
          <cell r="M47">
            <v>-514</v>
          </cell>
          <cell r="O47">
            <v>-833.90000000000009</v>
          </cell>
          <cell r="Q47">
            <v>-502.7</v>
          </cell>
          <cell r="S47">
            <v>-478</v>
          </cell>
          <cell r="U47">
            <v>1777.6</v>
          </cell>
          <cell r="W47">
            <v>-1371.5</v>
          </cell>
          <cell r="Y47">
            <v>-1609</v>
          </cell>
          <cell r="AA47">
            <v>-4538</v>
          </cell>
          <cell r="AC47">
            <v>-2101.5545000000011</v>
          </cell>
          <cell r="AE47">
            <v>-2710.9297471375007</v>
          </cell>
          <cell r="AG47">
            <v>-2706.8359146014459</v>
          </cell>
          <cell r="AI47">
            <v>-3910.0452874662769</v>
          </cell>
          <cell r="AK47">
            <v>-2749.7842893475386</v>
          </cell>
        </row>
        <row r="49">
          <cell r="B49" t="str">
            <v xml:space="preserve">Change in cash </v>
          </cell>
          <cell r="C49">
            <v>391.6</v>
          </cell>
          <cell r="E49">
            <v>-1162.1999999999998</v>
          </cell>
          <cell r="G49">
            <v>-144.60000000000014</v>
          </cell>
          <cell r="I49">
            <v>102.60000000000002</v>
          </cell>
          <cell r="K49">
            <v>69.800000000000182</v>
          </cell>
          <cell r="M49">
            <v>-37.999999999999773</v>
          </cell>
          <cell r="O49">
            <v>-70.200000000000045</v>
          </cell>
          <cell r="Q49">
            <v>95.599999999999682</v>
          </cell>
          <cell r="S49">
            <v>462.5999999999998</v>
          </cell>
          <cell r="U49">
            <v>1162.5999999999999</v>
          </cell>
          <cell r="W49">
            <v>-1015.1000000000013</v>
          </cell>
          <cell r="Y49">
            <v>689</v>
          </cell>
          <cell r="AA49">
            <v>314</v>
          </cell>
          <cell r="AC49">
            <v>-244.26032430735995</v>
          </cell>
          <cell r="AE49">
            <v>1283.1231813930935</v>
          </cell>
          <cell r="AG49">
            <v>1609.8548858191598</v>
          </cell>
          <cell r="AI49">
            <v>1334.2315354497896</v>
          </cell>
          <cell r="AK49">
            <v>2704.2443766949655</v>
          </cell>
        </row>
        <row r="50">
          <cell r="B50" t="str">
            <v>Cash at beginning of year</v>
          </cell>
          <cell r="C50">
            <v>92</v>
          </cell>
          <cell r="E50">
            <v>128.5</v>
          </cell>
          <cell r="G50">
            <v>211.3</v>
          </cell>
          <cell r="I50">
            <v>66.699999999999875</v>
          </cell>
          <cell r="K50">
            <v>169.2999999999999</v>
          </cell>
          <cell r="M50">
            <v>239.10000000000008</v>
          </cell>
          <cell r="O50">
            <v>201.10000000000031</v>
          </cell>
          <cell r="Q50">
            <v>130.90000000000026</v>
          </cell>
          <cell r="S50">
            <v>226.49999999999994</v>
          </cell>
          <cell r="U50">
            <v>689.09999999999968</v>
          </cell>
          <cell r="W50">
            <v>1851.6999999999996</v>
          </cell>
          <cell r="Y50">
            <v>836.59999999999832</v>
          </cell>
          <cell r="AA50">
            <v>1525.5999999999983</v>
          </cell>
          <cell r="AC50">
            <v>1839.5999999999983</v>
          </cell>
          <cell r="AE50">
            <v>1595.3396756926384</v>
          </cell>
          <cell r="AG50">
            <v>2878.4628570857321</v>
          </cell>
          <cell r="AI50">
            <v>4488.3177429048919</v>
          </cell>
          <cell r="AK50">
            <v>5822.5492783546815</v>
          </cell>
        </row>
        <row r="51">
          <cell r="B51" t="str">
            <v>Cash at end of year</v>
          </cell>
          <cell r="C51">
            <v>128.505</v>
          </cell>
          <cell r="E51">
            <v>-1033.6999999999998</v>
          </cell>
          <cell r="G51">
            <v>66.699999999999875</v>
          </cell>
          <cell r="I51">
            <v>169.2999999999999</v>
          </cell>
          <cell r="K51">
            <v>239.10000000000008</v>
          </cell>
          <cell r="M51">
            <v>201.10000000000031</v>
          </cell>
          <cell r="O51">
            <v>130.90000000000026</v>
          </cell>
          <cell r="Q51">
            <v>226.49999999999994</v>
          </cell>
          <cell r="S51">
            <v>689.09999999999968</v>
          </cell>
          <cell r="U51">
            <v>1851.6999999999996</v>
          </cell>
          <cell r="W51">
            <v>836.59999999999832</v>
          </cell>
          <cell r="Y51">
            <v>1525.5999999999983</v>
          </cell>
          <cell r="AA51">
            <v>1839.5999999999983</v>
          </cell>
          <cell r="AC51">
            <v>1595.3396756926384</v>
          </cell>
          <cell r="AE51">
            <v>2878.4628570857321</v>
          </cell>
          <cell r="AG51">
            <v>4488.3177429048919</v>
          </cell>
          <cell r="AI51">
            <v>5822.5492783546815</v>
          </cell>
          <cell r="AK51">
            <v>8526.793655049647</v>
          </cell>
        </row>
        <row r="52">
          <cell r="B52" t="str">
            <v>Cash and marketable securities at end of year</v>
          </cell>
          <cell r="C52">
            <v>723.18399999999997</v>
          </cell>
          <cell r="E52">
            <v>696.68100000000004</v>
          </cell>
          <cell r="G52">
            <v>1050.3</v>
          </cell>
          <cell r="I52">
            <v>1077</v>
          </cell>
          <cell r="K52">
            <v>1026.5</v>
          </cell>
          <cell r="M52">
            <v>1276</v>
          </cell>
          <cell r="O52">
            <v>1333</v>
          </cell>
          <cell r="Q52">
            <v>2028.1</v>
          </cell>
          <cell r="S52">
            <v>2662.2</v>
          </cell>
          <cell r="U52">
            <v>4663.8999999999996</v>
          </cell>
          <cell r="W52">
            <v>5122.9000000000005</v>
          </cell>
          <cell r="Y52">
            <v>5808</v>
          </cell>
          <cell r="AA52">
            <v>5255</v>
          </cell>
          <cell r="AC52">
            <v>4700.285130238095</v>
          </cell>
          <cell r="AE52">
            <v>5835.5728137956903</v>
          </cell>
          <cell r="AG52">
            <v>7430.7176998302239</v>
          </cell>
          <cell r="AI52">
            <v>8750.3124195739165</v>
          </cell>
          <cell r="AK52">
            <v>11439.992800541424</v>
          </cell>
        </row>
        <row r="54">
          <cell r="B54" t="str">
            <v>Source: Company data and Morgan Stanley Research</v>
          </cell>
        </row>
        <row r="56">
          <cell r="W56" t="str">
            <v>2003-FY</v>
          </cell>
          <cell r="Y56" t="str">
            <v>2004-FY</v>
          </cell>
          <cell r="AA56" t="str">
            <v>2005-FY</v>
          </cell>
          <cell r="AC56" t="str">
            <v>2006-FY</v>
          </cell>
          <cell r="AE56" t="str">
            <v>2007-FY</v>
          </cell>
          <cell r="AG56" t="str">
            <v>2008-FY</v>
          </cell>
          <cell r="AI56" t="str">
            <v>2009-FY</v>
          </cell>
          <cell r="AK56" t="str">
            <v>2010-FY</v>
          </cell>
        </row>
        <row r="59">
          <cell r="B59" t="str">
            <v>EBIT</v>
          </cell>
          <cell r="C59">
            <v>785.5</v>
          </cell>
          <cell r="E59">
            <v>815.59999999999991</v>
          </cell>
          <cell r="G59">
            <v>743.59999999999991</v>
          </cell>
          <cell r="I59">
            <v>904.89999999999986</v>
          </cell>
          <cell r="K59">
            <v>792.50000000000023</v>
          </cell>
          <cell r="M59">
            <v>1188.6999999999998</v>
          </cell>
          <cell r="O59">
            <v>1493.1</v>
          </cell>
          <cell r="Q59">
            <v>1543.9999999999995</v>
          </cell>
          <cell r="S59">
            <v>1531.1999999999998</v>
          </cell>
          <cell r="U59">
            <v>2362.4999999999991</v>
          </cell>
          <cell r="W59">
            <v>3426.9999999999991</v>
          </cell>
          <cell r="Y59">
            <v>4234.8999999999996</v>
          </cell>
          <cell r="AA59">
            <v>5301</v>
          </cell>
          <cell r="AC59">
            <v>5467.6345000000001</v>
          </cell>
          <cell r="AE59">
            <v>6024.24252837104</v>
          </cell>
          <cell r="AG59">
            <v>6561.5580806048583</v>
          </cell>
          <cell r="AI59">
            <v>6844.3819233177674</v>
          </cell>
          <cell r="AK59">
            <v>7203.7814496699866</v>
          </cell>
        </row>
        <row r="60">
          <cell r="B60" t="str">
            <v>EBIT * (1-tax)</v>
          </cell>
          <cell r="C60">
            <v>573.37117172969624</v>
          </cell>
          <cell r="E60">
            <v>550.09259483698941</v>
          </cell>
          <cell r="G60">
            <v>503.3153575025176</v>
          </cell>
          <cell r="I60">
            <v>639.25077418684384</v>
          </cell>
          <cell r="K60">
            <v>592.76497562108227</v>
          </cell>
          <cell r="M60">
            <v>838.03155831427625</v>
          </cell>
          <cell r="O60">
            <v>1045.2271995913677</v>
          </cell>
          <cell r="Q60">
            <v>1049.897867765633</v>
          </cell>
          <cell r="S60">
            <v>1016.7138943248531</v>
          </cell>
          <cell r="U60">
            <v>1683.8269035532987</v>
          </cell>
          <cell r="W60">
            <v>2440.2970281428247</v>
          </cell>
          <cell r="Y60">
            <v>3083.8713773645991</v>
          </cell>
          <cell r="AA60">
            <v>4007.8787821838005</v>
          </cell>
          <cell r="AC60">
            <v>4187.6740317983431</v>
          </cell>
          <cell r="AE60">
            <v>4608.5455342038458</v>
          </cell>
          <cell r="AG60">
            <v>5052.3997220657411</v>
          </cell>
          <cell r="AI60">
            <v>5304.39599057127</v>
          </cell>
          <cell r="AK60">
            <v>5586.5325142190741</v>
          </cell>
        </row>
        <row r="61">
          <cell r="B61" t="str">
            <v>Depreciation</v>
          </cell>
          <cell r="C61">
            <v>50.7</v>
          </cell>
          <cell r="E61">
            <v>74.5</v>
          </cell>
          <cell r="G61">
            <v>84.2</v>
          </cell>
          <cell r="I61">
            <v>100.3</v>
          </cell>
          <cell r="K61">
            <v>117.1</v>
          </cell>
          <cell r="M61">
            <v>143.80000000000001</v>
          </cell>
          <cell r="O61">
            <v>176.8</v>
          </cell>
          <cell r="Q61">
            <v>211.8</v>
          </cell>
          <cell r="S61">
            <v>265.89999999999998</v>
          </cell>
          <cell r="U61">
            <v>447.3</v>
          </cell>
          <cell r="W61">
            <v>686.5</v>
          </cell>
          <cell r="Y61">
            <v>734</v>
          </cell>
          <cell r="AA61">
            <v>841</v>
          </cell>
          <cell r="AC61">
            <v>772.04066666666665</v>
          </cell>
          <cell r="AE61">
            <v>1130.7377096774276</v>
          </cell>
          <cell r="AG61">
            <v>1349.0218220591833</v>
          </cell>
          <cell r="AI61">
            <v>1564.0573284190054</v>
          </cell>
          <cell r="AK61">
            <v>1824.087369245593</v>
          </cell>
        </row>
        <row r="62">
          <cell r="B62" t="str">
            <v>Cap Ex</v>
          </cell>
          <cell r="C62">
            <v>-209.9</v>
          </cell>
          <cell r="E62">
            <v>-130.80000000000001</v>
          </cell>
          <cell r="G62">
            <v>-162.69999999999999</v>
          </cell>
          <cell r="I62">
            <v>-266.89999999999998</v>
          </cell>
          <cell r="K62">
            <v>-387.8</v>
          </cell>
          <cell r="M62">
            <v>-407.8</v>
          </cell>
          <cell r="O62">
            <v>-304.2</v>
          </cell>
          <cell r="Q62">
            <v>-437.7</v>
          </cell>
          <cell r="S62">
            <v>-441.8</v>
          </cell>
          <cell r="U62">
            <v>-658.5</v>
          </cell>
          <cell r="W62">
            <v>-1356.8</v>
          </cell>
          <cell r="Y62">
            <v>-1336</v>
          </cell>
          <cell r="AA62">
            <v>-867</v>
          </cell>
          <cell r="AC62">
            <v>-1653.48</v>
          </cell>
          <cell r="AE62">
            <v>-1508.977822580707</v>
          </cell>
          <cell r="AG62">
            <v>-1637.1308428631664</v>
          </cell>
          <cell r="AI62">
            <v>-1612.7662976986658</v>
          </cell>
          <cell r="AK62">
            <v>-1950.2253061994086</v>
          </cell>
        </row>
        <row r="63">
          <cell r="B63" t="str">
            <v>Change to WC</v>
          </cell>
          <cell r="C63">
            <v>-38.9</v>
          </cell>
          <cell r="E63">
            <v>-15.100000000000001</v>
          </cell>
          <cell r="G63">
            <v>74</v>
          </cell>
          <cell r="I63">
            <v>-35.9</v>
          </cell>
          <cell r="K63">
            <v>136.80000000000001</v>
          </cell>
          <cell r="M63">
            <v>-4.2999999999999972</v>
          </cell>
          <cell r="O63">
            <v>-224.5</v>
          </cell>
          <cell r="Q63">
            <v>-120.70000000000002</v>
          </cell>
          <cell r="S63">
            <v>-99.4</v>
          </cell>
          <cell r="U63">
            <v>-249.60000000000002</v>
          </cell>
          <cell r="W63">
            <v>442.6</v>
          </cell>
          <cell r="Y63">
            <v>-375</v>
          </cell>
          <cell r="AA63">
            <v>10</v>
          </cell>
          <cell r="AC63">
            <v>-896.10421892857164</v>
          </cell>
          <cell r="AE63">
            <v>-228.14442589918781</v>
          </cell>
          <cell r="AG63">
            <v>-348.82458203561737</v>
          </cell>
          <cell r="AI63">
            <v>10.64580031759715</v>
          </cell>
          <cell r="AK63">
            <v>-46.53831528920216</v>
          </cell>
        </row>
        <row r="64">
          <cell r="B64" t="str">
            <v>Non-Cash Charges</v>
          </cell>
          <cell r="C64">
            <v>37.9</v>
          </cell>
          <cell r="E64">
            <v>152.80000000000001</v>
          </cell>
          <cell r="G64">
            <v>77.3</v>
          </cell>
          <cell r="I64">
            <v>78.400000000000006</v>
          </cell>
          <cell r="K64">
            <v>4.7000000000000028</v>
          </cell>
          <cell r="M64">
            <v>38.800000000000004</v>
          </cell>
          <cell r="O64">
            <v>26.6</v>
          </cell>
          <cell r="Q64">
            <v>28.4</v>
          </cell>
          <cell r="S64">
            <v>-50.500000000000014</v>
          </cell>
          <cell r="U64">
            <v>3191.4</v>
          </cell>
          <cell r="W64">
            <v>-90.6</v>
          </cell>
          <cell r="Y64">
            <v>772</v>
          </cell>
          <cell r="AA64">
            <v>71</v>
          </cell>
          <cell r="AC64">
            <v>-300</v>
          </cell>
          <cell r="AE64">
            <v>0</v>
          </cell>
          <cell r="AG64">
            <v>0</v>
          </cell>
          <cell r="AI64">
            <v>0</v>
          </cell>
          <cell r="AK64">
            <v>0</v>
          </cell>
        </row>
        <row r="65">
          <cell r="B65" t="str">
            <v>Tax Benefit from Stock Options</v>
          </cell>
          <cell r="C65">
            <v>0</v>
          </cell>
          <cell r="E65">
            <v>0</v>
          </cell>
          <cell r="G65">
            <v>0</v>
          </cell>
          <cell r="I65">
            <v>48.6</v>
          </cell>
          <cell r="K65">
            <v>54.7</v>
          </cell>
          <cell r="M65">
            <v>108.2</v>
          </cell>
          <cell r="O65">
            <v>151.80000000000001</v>
          </cell>
          <cell r="Q65">
            <v>376.6</v>
          </cell>
          <cell r="S65">
            <v>244.5</v>
          </cell>
          <cell r="U65">
            <v>251.6</v>
          </cell>
          <cell r="W65">
            <v>268.60000000000002</v>
          </cell>
          <cell r="Y65">
            <v>203</v>
          </cell>
          <cell r="AA65">
            <v>315</v>
          </cell>
          <cell r="AC65">
            <v>0</v>
          </cell>
          <cell r="AE65">
            <v>0</v>
          </cell>
          <cell r="AG65">
            <v>0</v>
          </cell>
          <cell r="AI65">
            <v>0</v>
          </cell>
          <cell r="AK65">
            <v>0</v>
          </cell>
        </row>
        <row r="66">
          <cell r="B66" t="str">
            <v>Free Cash Flow</v>
          </cell>
          <cell r="C66">
            <v>413.17117172969631</v>
          </cell>
          <cell r="E66">
            <v>631.49259483698938</v>
          </cell>
          <cell r="G66">
            <v>576.11535750251767</v>
          </cell>
          <cell r="I66">
            <v>563.75077418684384</v>
          </cell>
          <cell r="K66">
            <v>518.26497562108227</v>
          </cell>
          <cell r="M66">
            <v>716.7315583142763</v>
          </cell>
          <cell r="O66">
            <v>871.72719959136771</v>
          </cell>
          <cell r="Q66">
            <v>1108.2978677656329</v>
          </cell>
          <cell r="S66">
            <v>935.413894324853</v>
          </cell>
          <cell r="U66">
            <v>4666.0269035532992</v>
          </cell>
          <cell r="W66">
            <v>2390.5970281428249</v>
          </cell>
          <cell r="Y66">
            <v>3081.8713773645991</v>
          </cell>
          <cell r="AA66">
            <v>4377.8787821838005</v>
          </cell>
          <cell r="AC66">
            <v>2110.1304795364381</v>
          </cell>
          <cell r="AE66">
            <v>4002.1609954013784</v>
          </cell>
          <cell r="AG66">
            <v>4415.466119226141</v>
          </cell>
          <cell r="AI66">
            <v>5266.3328216092068</v>
          </cell>
          <cell r="AK66">
            <v>5413.8562619760569</v>
          </cell>
        </row>
        <row r="68">
          <cell r="B68" t="str">
            <v>CFO</v>
          </cell>
          <cell r="C68">
            <v>433</v>
          </cell>
          <cell r="E68">
            <v>531.9</v>
          </cell>
          <cell r="G68">
            <v>773.2</v>
          </cell>
          <cell r="I68">
            <v>871.19999999999993</v>
          </cell>
          <cell r="K68">
            <v>957.6</v>
          </cell>
          <cell r="M68">
            <v>1149.7</v>
          </cell>
          <cell r="O68">
            <v>1227.1000000000001</v>
          </cell>
          <cell r="Q68">
            <v>1634.6</v>
          </cell>
          <cell r="S68">
            <v>1480.1999999999998</v>
          </cell>
          <cell r="U68">
            <v>2248.8000000000002</v>
          </cell>
          <cell r="W68">
            <v>3566.5999999999995</v>
          </cell>
          <cell r="Y68">
            <v>3697</v>
          </cell>
          <cell r="AA68">
            <v>4911</v>
          </cell>
          <cell r="AC68">
            <v>3200.3196302380957</v>
          </cell>
          <cell r="AE68">
            <v>5355.1952532758032</v>
          </cell>
          <cell r="AG68">
            <v>5939.1116434991454</v>
          </cell>
          <cell r="AI68">
            <v>6842.4063049086362</v>
          </cell>
          <cell r="AK68">
            <v>7389.6899765144535</v>
          </cell>
        </row>
        <row r="69">
          <cell r="B69" t="str">
            <v>Cap Ex</v>
          </cell>
          <cell r="C69">
            <v>-209.9</v>
          </cell>
          <cell r="E69">
            <v>-130.80000000000001</v>
          </cell>
          <cell r="G69">
            <v>-162.69999999999999</v>
          </cell>
          <cell r="I69">
            <v>-266.89999999999998</v>
          </cell>
          <cell r="K69">
            <v>-387.8</v>
          </cell>
          <cell r="M69">
            <v>-407.8</v>
          </cell>
          <cell r="O69">
            <v>-304.2</v>
          </cell>
          <cell r="Q69">
            <v>-437.7</v>
          </cell>
          <cell r="S69">
            <v>-441.8</v>
          </cell>
          <cell r="U69">
            <v>-658.5</v>
          </cell>
          <cell r="W69">
            <v>-1356.8</v>
          </cell>
          <cell r="Y69">
            <v>-1336</v>
          </cell>
          <cell r="AA69">
            <v>-867</v>
          </cell>
          <cell r="AC69">
            <v>-1653.48</v>
          </cell>
          <cell r="AE69">
            <v>-1508.977822580707</v>
          </cell>
          <cell r="AG69">
            <v>-1637.1308428631664</v>
          </cell>
          <cell r="AI69">
            <v>-1612.7662976986658</v>
          </cell>
          <cell r="AK69">
            <v>-1950.2253061994086</v>
          </cell>
        </row>
        <row r="70">
          <cell r="AC70">
            <v>170.55674999999999</v>
          </cell>
          <cell r="AE70">
            <v>241.49308286250007</v>
          </cell>
          <cell r="AG70">
            <v>304.2759299385545</v>
          </cell>
          <cell r="AI70">
            <v>334.30929864953174</v>
          </cell>
          <cell r="AK70">
            <v>317.12642488736873</v>
          </cell>
        </row>
        <row r="71">
          <cell r="B71" t="str">
            <v>Free Cash Flow</v>
          </cell>
          <cell r="C71">
            <v>223.1</v>
          </cell>
          <cell r="E71">
            <v>401.09999999999997</v>
          </cell>
          <cell r="G71">
            <v>610.5</v>
          </cell>
          <cell r="I71">
            <v>604.29999999999995</v>
          </cell>
          <cell r="K71">
            <v>569.79999999999995</v>
          </cell>
          <cell r="M71">
            <v>741.90000000000009</v>
          </cell>
          <cell r="O71">
            <v>922.90000000000009</v>
          </cell>
          <cell r="Q71">
            <v>1196.8999999999999</v>
          </cell>
          <cell r="S71">
            <v>1038.3999999999999</v>
          </cell>
          <cell r="U71">
            <v>1590.3000000000002</v>
          </cell>
          <cell r="W71">
            <v>2209.7999999999993</v>
          </cell>
          <cell r="Y71">
            <v>2361</v>
          </cell>
          <cell r="AA71">
            <v>4044</v>
          </cell>
          <cell r="AC71">
            <v>1717.3963802380956</v>
          </cell>
          <cell r="AE71">
            <v>4087.7105135575966</v>
          </cell>
          <cell r="AG71">
            <v>4606.2567305745333</v>
          </cell>
          <cell r="AI71">
            <v>5563.9493058595026</v>
          </cell>
          <cell r="AK71">
            <v>5756.5910952024133</v>
          </cell>
        </row>
        <row r="76">
          <cell r="S76" t="str">
            <v>Cap Ex</v>
          </cell>
          <cell r="U76">
            <v>0.29282283884738525</v>
          </cell>
          <cell r="W76">
            <v>0.38041832557617905</v>
          </cell>
          <cell r="Y76">
            <v>0.36137408709764673</v>
          </cell>
          <cell r="AA76">
            <v>0.17654245571166768</v>
          </cell>
          <cell r="AC76">
            <v>0.51666089361111267</v>
          </cell>
          <cell r="AE76">
            <v>0.28177830148352795</v>
          </cell>
          <cell r="AG76">
            <v>0.27565247820440336</v>
          </cell>
          <cell r="AI76">
            <v>0.23570162685920773</v>
          </cell>
          <cell r="AK76">
            <v>0.26391165426391605</v>
          </cell>
        </row>
        <row r="77">
          <cell r="S77" t="str">
            <v>Repurchase</v>
          </cell>
          <cell r="U77">
            <v>0.63162575595873349</v>
          </cell>
          <cell r="W77">
            <v>0.50496270958335676</v>
          </cell>
          <cell r="Y77">
            <v>1.1014335948065999</v>
          </cell>
          <cell r="AA77">
            <v>0.90205660761555695</v>
          </cell>
          <cell r="AC77">
            <v>2.3677322503678342</v>
          </cell>
          <cell r="AE77">
            <v>0.61268681062431096</v>
          </cell>
          <cell r="AG77">
            <v>0.59802626334490316</v>
          </cell>
          <cell r="AI77">
            <v>0.56190227732474785</v>
          </cell>
          <cell r="AK77">
            <v>0.49280986273625083</v>
          </cell>
        </row>
        <row r="78">
          <cell r="S78" t="str">
            <v>Debt Repayment</v>
          </cell>
          <cell r="U78">
            <v>0</v>
          </cell>
          <cell r="W78">
            <v>3.4486625918241469E-2</v>
          </cell>
          <cell r="Y78">
            <v>0</v>
          </cell>
          <cell r="AA78">
            <v>0.23925880676033395</v>
          </cell>
          <cell r="AC78">
            <v>0</v>
          </cell>
          <cell r="AE78">
            <v>1.8673455452222668E-2</v>
          </cell>
          <cell r="AG78">
            <v>0</v>
          </cell>
          <cell r="AI78">
            <v>0.1458551210681614</v>
          </cell>
          <cell r="AK78">
            <v>0</v>
          </cell>
        </row>
        <row r="79">
          <cell r="S79" t="str">
            <v>M&amp;A</v>
          </cell>
          <cell r="U79">
            <v>0.84445037353255059</v>
          </cell>
          <cell r="W79">
            <v>0</v>
          </cell>
          <cell r="Y79">
            <v>-3.1106302407357317E-2</v>
          </cell>
          <cell r="AA79">
            <v>0</v>
          </cell>
          <cell r="AC79">
            <v>0.68743133629947006</v>
          </cell>
          <cell r="AE79">
            <v>0</v>
          </cell>
          <cell r="AG79">
            <v>0</v>
          </cell>
          <cell r="AI79">
            <v>0</v>
          </cell>
          <cell r="AK79">
            <v>0</v>
          </cell>
        </row>
      </sheetData>
      <sheetData sheetId="10" refreshError="1"/>
      <sheetData sheetId="11" refreshError="1"/>
      <sheetData sheetId="12" refreshError="1"/>
      <sheetData sheetId="13" refreshError="1"/>
      <sheetData sheetId="14" refreshError="1">
        <row r="1">
          <cell r="A1" t="str">
            <v>US Sales ($M)</v>
          </cell>
          <cell r="B1" t="str">
            <v xml:space="preserve">Aranesp </v>
          </cell>
          <cell r="C1" t="str">
            <v xml:space="preserve">YoY </v>
          </cell>
          <cell r="D1" t="str">
            <v>Aranesp  Share</v>
          </cell>
          <cell r="E1" t="str">
            <v xml:space="preserve">Procrit </v>
          </cell>
          <cell r="F1" t="str">
            <v xml:space="preserve">YoY </v>
          </cell>
          <cell r="G1" t="str">
            <v>Total ($M)</v>
          </cell>
          <cell r="H1" t="str">
            <v xml:space="preserve">YoY </v>
          </cell>
        </row>
        <row r="2">
          <cell r="A2" t="str">
            <v>4Q02A</v>
          </cell>
          <cell r="B2">
            <v>150</v>
          </cell>
          <cell r="D2">
            <v>0.15739769150052466</v>
          </cell>
          <cell r="E2">
            <v>803</v>
          </cell>
          <cell r="G2">
            <v>953</v>
          </cell>
        </row>
        <row r="3">
          <cell r="A3" t="str">
            <v>2002A</v>
          </cell>
          <cell r="B3">
            <v>150</v>
          </cell>
          <cell r="D3">
            <v>4.7110552763819098E-2</v>
          </cell>
          <cell r="E3">
            <v>3034</v>
          </cell>
          <cell r="G3">
            <v>3184</v>
          </cell>
        </row>
        <row r="4">
          <cell r="A4" t="str">
            <v>1Q03A</v>
          </cell>
          <cell r="B4">
            <v>157.9</v>
          </cell>
          <cell r="D4">
            <v>0.1792484958565104</v>
          </cell>
          <cell r="E4">
            <v>723</v>
          </cell>
          <cell r="G4">
            <v>880.9</v>
          </cell>
        </row>
        <row r="5">
          <cell r="A5" t="str">
            <v>2Q03A</v>
          </cell>
          <cell r="B5">
            <v>216.6</v>
          </cell>
          <cell r="D5">
            <v>0.23451710697271544</v>
          </cell>
          <cell r="E5">
            <v>707</v>
          </cell>
          <cell r="G5">
            <v>923.6</v>
          </cell>
        </row>
        <row r="6">
          <cell r="A6" t="str">
            <v>3Q03A</v>
          </cell>
          <cell r="B6">
            <v>283.89999999999998</v>
          </cell>
          <cell r="D6">
            <v>0.28766845678386865</v>
          </cell>
          <cell r="E6">
            <v>703</v>
          </cell>
          <cell r="G6">
            <v>986.9</v>
          </cell>
        </row>
        <row r="7">
          <cell r="A7" t="str">
            <v>4Q03A</v>
          </cell>
          <cell r="B7">
            <v>321.5</v>
          </cell>
          <cell r="C7">
            <v>1.1433333333333335</v>
          </cell>
          <cell r="D7">
            <v>0.32392947103274561</v>
          </cell>
          <cell r="E7">
            <v>671</v>
          </cell>
          <cell r="F7">
            <v>-0.16438356164383561</v>
          </cell>
          <cell r="G7">
            <v>992.5</v>
          </cell>
          <cell r="H7">
            <v>4.1448058761804907E-2</v>
          </cell>
        </row>
        <row r="8">
          <cell r="A8" t="str">
            <v>2003A</v>
          </cell>
          <cell r="B8">
            <v>979.9</v>
          </cell>
          <cell r="C8">
            <v>5.5326666666666666</v>
          </cell>
          <cell r="D8">
            <v>0.25896561748460584</v>
          </cell>
          <cell r="E8">
            <v>2804</v>
          </cell>
          <cell r="F8">
            <v>-7.5807514831905065E-2</v>
          </cell>
          <cell r="G8">
            <v>3783.9</v>
          </cell>
          <cell r="H8">
            <v>0.18841080402010046</v>
          </cell>
        </row>
        <row r="9">
          <cell r="A9" t="str">
            <v>1Q04A</v>
          </cell>
          <cell r="B9">
            <v>329.6</v>
          </cell>
          <cell r="C9">
            <v>1.0873970867637746</v>
          </cell>
          <cell r="D9">
            <v>0.32389937106918243</v>
          </cell>
          <cell r="E9">
            <v>688</v>
          </cell>
          <cell r="F9">
            <v>-4.8409405255878335E-2</v>
          </cell>
          <cell r="G9">
            <v>1017.6</v>
          </cell>
          <cell r="H9">
            <v>0.15518220002270411</v>
          </cell>
        </row>
        <row r="10">
          <cell r="A10" t="str">
            <v>2Q04A</v>
          </cell>
          <cell r="B10">
            <v>380.7</v>
          </cell>
          <cell r="C10">
            <v>0.75761772853185594</v>
          </cell>
          <cell r="D10">
            <v>0.3954502960423808</v>
          </cell>
          <cell r="E10">
            <v>582</v>
          </cell>
          <cell r="F10">
            <v>-0.1768033946251768</v>
          </cell>
          <cell r="G10">
            <v>962.7</v>
          </cell>
          <cell r="H10">
            <v>4.2334343871806013E-2</v>
          </cell>
        </row>
        <row r="11">
          <cell r="A11" t="str">
            <v>3Q04A</v>
          </cell>
          <cell r="B11">
            <v>374</v>
          </cell>
          <cell r="C11">
            <v>0.31736526946107801</v>
          </cell>
          <cell r="D11">
            <v>0.3789260385005066</v>
          </cell>
          <cell r="E11">
            <v>613</v>
          </cell>
          <cell r="F11">
            <v>-0.12802275960170695</v>
          </cell>
          <cell r="G11">
            <v>987</v>
          </cell>
          <cell r="H11">
            <v>1.0132738879331527E-4</v>
          </cell>
        </row>
        <row r="12">
          <cell r="A12" t="str">
            <v>4Q04A</v>
          </cell>
          <cell r="B12">
            <v>424</v>
          </cell>
          <cell r="C12">
            <v>0.3188180404354588</v>
          </cell>
          <cell r="D12">
            <v>0.42315369261477048</v>
          </cell>
          <cell r="E12">
            <v>578</v>
          </cell>
          <cell r="F12">
            <v>-0.13859910581222057</v>
          </cell>
          <cell r="G12">
            <v>1002</v>
          </cell>
          <cell r="H12">
            <v>9.5717884130981368E-3</v>
          </cell>
        </row>
        <row r="13">
          <cell r="A13" t="str">
            <v>2004A</v>
          </cell>
          <cell r="B13">
            <v>1533.3</v>
          </cell>
          <cell r="C13">
            <v>0.56475150525563822</v>
          </cell>
          <cell r="D13">
            <v>0.38387201762511575</v>
          </cell>
          <cell r="E13">
            <v>2461</v>
          </cell>
          <cell r="F13">
            <v>-0.12232524964336666</v>
          </cell>
          <cell r="G13">
            <v>3994.3</v>
          </cell>
          <cell r="H13">
            <v>5.5604006448373378E-2</v>
          </cell>
        </row>
        <row r="14">
          <cell r="A14" t="str">
            <v>1Q05A</v>
          </cell>
          <cell r="B14">
            <v>447</v>
          </cell>
          <cell r="C14">
            <v>0.3561893203883495</v>
          </cell>
          <cell r="D14">
            <v>0.44169960474308301</v>
          </cell>
          <cell r="E14">
            <v>565</v>
          </cell>
          <cell r="F14">
            <v>-0.17877906976744184</v>
          </cell>
          <cell r="G14">
            <v>1012</v>
          </cell>
          <cell r="H14">
            <v>-5.5031446540880768E-3</v>
          </cell>
        </row>
        <row r="15">
          <cell r="A15" t="str">
            <v>2Q05A</v>
          </cell>
          <cell r="B15">
            <v>536</v>
          </cell>
          <cell r="C15">
            <v>0.40793275545048591</v>
          </cell>
          <cell r="D15">
            <v>0.48638838475499091</v>
          </cell>
          <cell r="E15">
            <v>566</v>
          </cell>
          <cell r="F15">
            <v>-2.7491408934707917E-2</v>
          </cell>
          <cell r="G15">
            <v>1102</v>
          </cell>
          <cell r="H15">
            <v>0.14469720577542322</v>
          </cell>
        </row>
        <row r="16">
          <cell r="A16" t="str">
            <v>3Q05A</v>
          </cell>
          <cell r="B16">
            <v>542</v>
          </cell>
          <cell r="C16">
            <v>0.44919786096256686</v>
          </cell>
          <cell r="D16">
            <v>0.48522829006266788</v>
          </cell>
          <cell r="E16">
            <v>575</v>
          </cell>
          <cell r="F16">
            <v>-6.1990212071778128E-2</v>
          </cell>
          <cell r="G16">
            <v>1117</v>
          </cell>
          <cell r="H16">
            <v>0.13171225937183384</v>
          </cell>
        </row>
        <row r="17">
          <cell r="A17" t="str">
            <v>4Q05A</v>
          </cell>
          <cell r="B17">
            <v>579</v>
          </cell>
          <cell r="C17">
            <v>0.36556603773584895</v>
          </cell>
          <cell r="D17">
            <v>0.51742627345844505</v>
          </cell>
          <cell r="E17">
            <v>540</v>
          </cell>
          <cell r="F17">
            <v>-6.5743944636678209E-2</v>
          </cell>
          <cell r="G17">
            <v>1119</v>
          </cell>
          <cell r="H17">
            <v>0.11676646706586835</v>
          </cell>
        </row>
        <row r="18">
          <cell r="A18" t="str">
            <v>2005A</v>
          </cell>
          <cell r="B18">
            <v>2104</v>
          </cell>
          <cell r="C18">
            <v>0.37220374355964259</v>
          </cell>
          <cell r="D18">
            <v>0.48367816091954025</v>
          </cell>
          <cell r="E18">
            <v>2246</v>
          </cell>
          <cell r="F18">
            <v>-8.7362860625761929E-2</v>
          </cell>
          <cell r="G18">
            <v>4350</v>
          </cell>
          <cell r="H18">
            <v>8.9051898956012288E-2</v>
          </cell>
        </row>
        <row r="19">
          <cell r="A19" t="str">
            <v>1Q06A</v>
          </cell>
          <cell r="B19">
            <v>596</v>
          </cell>
          <cell r="C19">
            <v>0.33333333333333326</v>
          </cell>
          <cell r="D19">
            <v>0.53072128227960824</v>
          </cell>
          <cell r="E19">
            <v>527</v>
          </cell>
          <cell r="F19">
            <v>-6.7256637168141564E-2</v>
          </cell>
          <cell r="G19">
            <v>1123</v>
          </cell>
          <cell r="H19">
            <v>0.10968379446640308</v>
          </cell>
        </row>
        <row r="20">
          <cell r="A20" t="str">
            <v>2Q06E</v>
          </cell>
          <cell r="B20">
            <v>645</v>
          </cell>
          <cell r="C20">
            <v>0.20335820895522394</v>
          </cell>
          <cell r="D20">
            <v>0.54020100502512558</v>
          </cell>
          <cell r="E20">
            <v>549</v>
          </cell>
          <cell r="F20">
            <v>-3.0035335689045928E-2</v>
          </cell>
          <cell r="G20">
            <v>1194</v>
          </cell>
          <cell r="H20">
            <v>8.3484573502722315E-2</v>
          </cell>
        </row>
        <row r="21">
          <cell r="A21" t="str">
            <v>3Q06E</v>
          </cell>
          <cell r="B21">
            <v>665</v>
          </cell>
          <cell r="C21">
            <v>0.22693726937269365</v>
          </cell>
          <cell r="D21">
            <v>0.53115015974440893</v>
          </cell>
          <cell r="E21">
            <v>587</v>
          </cell>
          <cell r="F21">
            <v>2.0869565217391362E-2</v>
          </cell>
          <cell r="G21">
            <v>1252</v>
          </cell>
          <cell r="H21">
            <v>0.12085944494180834</v>
          </cell>
        </row>
        <row r="22">
          <cell r="A22" t="str">
            <v>4Q06E</v>
          </cell>
          <cell r="B22">
            <v>690</v>
          </cell>
          <cell r="C22">
            <v>0.19170984455958551</v>
          </cell>
          <cell r="D22">
            <v>0.56097560975609762</v>
          </cell>
          <cell r="E22">
            <v>540</v>
          </cell>
          <cell r="F22">
            <v>0</v>
          </cell>
          <cell r="G22">
            <v>1230</v>
          </cell>
          <cell r="H22">
            <v>9.9195710455764141E-2</v>
          </cell>
        </row>
        <row r="23">
          <cell r="A23" t="str">
            <v>2006E</v>
          </cell>
          <cell r="B23">
            <v>2596</v>
          </cell>
          <cell r="C23">
            <v>0.23384030418250945</v>
          </cell>
          <cell r="D23">
            <v>0.54094603042300482</v>
          </cell>
          <cell r="E23">
            <v>2203</v>
          </cell>
          <cell r="F23">
            <v>-1.9145146927871726E-2</v>
          </cell>
          <cell r="G23">
            <v>4799</v>
          </cell>
          <cell r="H23">
            <v>0.1032183908045976</v>
          </cell>
        </row>
        <row r="24">
          <cell r="A24" t="str">
            <v>2007E</v>
          </cell>
          <cell r="B24">
            <v>2975</v>
          </cell>
          <cell r="C24">
            <v>0.14599383667180277</v>
          </cell>
          <cell r="D24">
            <v>0.60198300283286121</v>
          </cell>
          <cell r="E24">
            <v>1967</v>
          </cell>
          <cell r="F24">
            <v>-0.10712664548343165</v>
          </cell>
          <cell r="G24">
            <v>4942</v>
          </cell>
          <cell r="H24">
            <v>2.97978745571994E-2</v>
          </cell>
        </row>
        <row r="25">
          <cell r="A25" t="str">
            <v>2008E</v>
          </cell>
          <cell r="B25">
            <v>3300</v>
          </cell>
          <cell r="C25">
            <v>0.10924369747899165</v>
          </cell>
          <cell r="D25">
            <v>0.65075921908893708</v>
          </cell>
          <cell r="E25">
            <v>1771</v>
          </cell>
          <cell r="F25">
            <v>-9.9644128113879016E-2</v>
          </cell>
          <cell r="G25">
            <v>5071</v>
          </cell>
          <cell r="H25">
            <v>2.6102792391744289E-2</v>
          </cell>
        </row>
        <row r="26">
          <cell r="A26" t="str">
            <v>2009E</v>
          </cell>
          <cell r="B26">
            <v>3600</v>
          </cell>
          <cell r="C26">
            <v>9.0909090909090828E-2</v>
          </cell>
          <cell r="D26">
            <v>0.69310743165190603</v>
          </cell>
          <cell r="E26">
            <v>1594</v>
          </cell>
          <cell r="F26">
            <v>-9.9943534726143368E-2</v>
          </cell>
          <cell r="G26">
            <v>5194</v>
          </cell>
          <cell r="H26">
            <v>2.4255570893314982E-2</v>
          </cell>
        </row>
      </sheetData>
      <sheetData sheetId="15" refreshError="1"/>
      <sheetData sheetId="16" refreshError="1"/>
      <sheetData sheetId="17"/>
      <sheetData sheetId="18" refreshError="1">
        <row r="1">
          <cell r="C1" t="str">
            <v>At Risk
for FN</v>
          </cell>
          <cell r="D1" t="str">
            <v>Treated Front-line</v>
          </cell>
          <cell r="E1" t="str">
            <v>Untreated
Front-line</v>
          </cell>
        </row>
        <row r="2">
          <cell r="B2" t="str">
            <v>Breast Cancer</v>
          </cell>
          <cell r="C2">
            <v>117000</v>
          </cell>
          <cell r="D2">
            <v>30420</v>
          </cell>
          <cell r="E2">
            <v>86580</v>
          </cell>
          <cell r="G2" t="str">
            <v>US</v>
          </cell>
          <cell r="H2" t="str">
            <v>1Q04</v>
          </cell>
          <cell r="I2" t="str">
            <v>2Q04</v>
          </cell>
          <cell r="J2" t="str">
            <v>3Q04</v>
          </cell>
          <cell r="L2" t="str">
            <v>n= 411</v>
          </cell>
          <cell r="M2" t="str">
            <v>AMG 162</v>
          </cell>
          <cell r="N2" t="str">
            <v>Fosamax</v>
          </cell>
          <cell r="O2" t="str">
            <v>Placebo</v>
          </cell>
        </row>
        <row r="3">
          <cell r="B3" t="str">
            <v>Lung Cancer</v>
          </cell>
          <cell r="C3">
            <v>138000</v>
          </cell>
          <cell r="D3">
            <v>11040</v>
          </cell>
          <cell r="E3">
            <v>126960</v>
          </cell>
          <cell r="G3" t="str">
            <v>Aranesp</v>
          </cell>
          <cell r="H3">
            <v>0.37</v>
          </cell>
          <cell r="I3">
            <v>0.39</v>
          </cell>
          <cell r="J3">
            <v>0.43</v>
          </cell>
          <cell r="L3" t="str">
            <v>BMD (6 months)</v>
          </cell>
          <cell r="M3" t="str">
            <v>+4-5%</v>
          </cell>
          <cell r="N3" t="str">
            <v>+5%</v>
          </cell>
        </row>
        <row r="4">
          <cell r="G4" t="str">
            <v>Procrit</v>
          </cell>
          <cell r="H4">
            <v>0.63</v>
          </cell>
          <cell r="I4">
            <v>0.61</v>
          </cell>
          <cell r="J4">
            <v>0.56999999999999995</v>
          </cell>
          <cell r="L4" t="str">
            <v>BMD (12 months)</v>
          </cell>
          <cell r="M4" t="str">
            <v>+4-7%</v>
          </cell>
          <cell r="N4" t="str">
            <v>+5%</v>
          </cell>
          <cell r="O4">
            <v>0.01</v>
          </cell>
          <cell r="S4" t="str">
            <v>Patent</v>
          </cell>
          <cell r="T4" t="str">
            <v>Date Issued</v>
          </cell>
          <cell r="U4" t="str">
            <v>Description*</v>
          </cell>
          <cell r="V4" t="str">
            <v>Status</v>
          </cell>
        </row>
        <row r="5">
          <cell r="L5" t="str">
            <v>Dyspepsia</v>
          </cell>
          <cell r="M5">
            <v>0.05</v>
          </cell>
          <cell r="N5">
            <v>0.2</v>
          </cell>
          <cell r="O5">
            <v>0.04</v>
          </cell>
          <cell r="S5" t="str">
            <v>'422</v>
          </cell>
          <cell r="T5">
            <v>36424</v>
          </cell>
          <cell r="U5" t="str">
            <v>Composition of therapeutically effective amount of erythropoietin</v>
          </cell>
          <cell r="V5" t="str">
            <v>Previously found to be valid and infringed upon</v>
          </cell>
        </row>
        <row r="6">
          <cell r="S6" t="str">
            <v>'080</v>
          </cell>
          <cell r="T6">
            <v>35535</v>
          </cell>
          <cell r="U6" t="str">
            <v>Erythropoietin product and manufacturing process</v>
          </cell>
          <cell r="V6" t="str">
            <v>Previously found to be valid and infringed upon</v>
          </cell>
        </row>
        <row r="7">
          <cell r="S7" t="str">
            <v>'698</v>
          </cell>
          <cell r="T7">
            <v>35521</v>
          </cell>
          <cell r="U7" t="str">
            <v>Preparation process of erythropoietin product active in vivo</v>
          </cell>
          <cell r="V7" t="str">
            <v>Found to be valid and infringed upon today</v>
          </cell>
        </row>
        <row r="8">
          <cell r="M8" t="str">
            <v>AMG 162</v>
          </cell>
          <cell r="N8" t="str">
            <v>Fosamax</v>
          </cell>
          <cell r="O8" t="str">
            <v>Placebo</v>
          </cell>
          <cell r="P8" t="str">
            <v>p-value 
(AMG162 vs. Fosomax)</v>
          </cell>
          <cell r="S8" t="str">
            <v>'349</v>
          </cell>
          <cell r="T8">
            <v>35916</v>
          </cell>
          <cell r="U8" t="str">
            <v>Use of vertebrae cells to produce erythropoietin products</v>
          </cell>
          <cell r="V8" t="str">
            <v>Found to be valid and infringed upon today</v>
          </cell>
        </row>
        <row r="9">
          <cell r="L9" t="str">
            <v>Lumbar Spine</v>
          </cell>
          <cell r="M9" t="str">
            <v>+5%</v>
          </cell>
          <cell r="N9" t="str">
            <v>+5%</v>
          </cell>
          <cell r="O9" t="str">
            <v>-1%</v>
          </cell>
          <cell r="P9" t="str">
            <v>NS</v>
          </cell>
          <cell r="S9" t="str">
            <v>Note:  * Broadest claim</v>
          </cell>
        </row>
        <row r="10">
          <cell r="L10" t="str">
            <v>Hip</v>
          </cell>
          <cell r="M10" t="str">
            <v>+3%</v>
          </cell>
          <cell r="N10" t="str">
            <v>+2%</v>
          </cell>
          <cell r="O10" t="str">
            <v>-1%</v>
          </cell>
          <cell r="P10" t="str">
            <v>p=0.01</v>
          </cell>
        </row>
        <row r="11">
          <cell r="L11" t="str">
            <v>Distal radius</v>
          </cell>
          <cell r="M11" t="str">
            <v>+1.2%</v>
          </cell>
          <cell r="N11" t="str">
            <v>0%</v>
          </cell>
          <cell r="O11" t="str">
            <v>-2%</v>
          </cell>
          <cell r="P11" t="str">
            <v>p&lt;0.01</v>
          </cell>
        </row>
      </sheetData>
      <sheetData sheetId="19" refreshError="1">
        <row r="4">
          <cell r="B4" t="str">
            <v>(For Marketing Pack)</v>
          </cell>
        </row>
        <row r="6">
          <cell r="D6" t="str">
            <v>2004A</v>
          </cell>
          <cell r="F6" t="str">
            <v>2005A</v>
          </cell>
          <cell r="H6" t="str">
            <v>2006E</v>
          </cell>
          <cell r="J6" t="str">
            <v>2007E</v>
          </cell>
        </row>
        <row r="7">
          <cell r="B7" t="str">
            <v>Epogen</v>
          </cell>
          <cell r="D7">
            <v>2600.6</v>
          </cell>
          <cell r="F7">
            <v>2455</v>
          </cell>
          <cell r="H7">
            <v>2514</v>
          </cell>
          <cell r="J7">
            <v>2572.1174973954289</v>
          </cell>
        </row>
        <row r="8">
          <cell r="B8" t="str">
            <v>Aranesp</v>
          </cell>
          <cell r="D8">
            <v>2472.9</v>
          </cell>
          <cell r="F8">
            <v>3273</v>
          </cell>
          <cell r="H8">
            <v>3913</v>
          </cell>
          <cell r="J8">
            <v>4350</v>
          </cell>
        </row>
        <row r="9">
          <cell r="B9" t="str">
            <v>Neulasta</v>
          </cell>
          <cell r="D9">
            <v>1739.6</v>
          </cell>
          <cell r="F9">
            <v>2288</v>
          </cell>
          <cell r="H9">
            <v>2603</v>
          </cell>
          <cell r="J9">
            <v>2889.3300000000004</v>
          </cell>
        </row>
        <row r="10">
          <cell r="B10" t="str">
            <v>Enbrel</v>
          </cell>
          <cell r="D10">
            <v>1900.3</v>
          </cell>
          <cell r="F10">
            <v>2573</v>
          </cell>
          <cell r="H10">
            <v>2793</v>
          </cell>
          <cell r="J10">
            <v>3016.8307284116399</v>
          </cell>
        </row>
        <row r="11">
          <cell r="B11" t="str">
            <v>EPS</v>
          </cell>
          <cell r="D11">
            <v>2.36950115525927</v>
          </cell>
          <cell r="F11">
            <v>3.2027027027027026</v>
          </cell>
          <cell r="H11">
            <v>3.6698689952539394</v>
          </cell>
          <cell r="J11">
            <v>4.1013211403748855</v>
          </cell>
        </row>
        <row r="12">
          <cell r="B12" t="str">
            <v>Consensus</v>
          </cell>
          <cell r="D12">
            <v>2.41</v>
          </cell>
          <cell r="F12">
            <v>3.21</v>
          </cell>
          <cell r="H12">
            <v>3.64</v>
          </cell>
          <cell r="J12">
            <v>4.13</v>
          </cell>
        </row>
      </sheetData>
      <sheetData sheetId="20" refreshError="1"/>
      <sheetData sheetId="21" refreshError="1"/>
      <sheetData sheetId="22" refreshError="1"/>
      <sheetData sheetId="23" refreshError="1"/>
      <sheetData sheetId="2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5 Year Sales &amp; Earnings"/>
      <sheetName val="Annual Prod Sales"/>
      <sheetName val="Qrt Sales"/>
      <sheetName val="Qtr Income"/>
      <sheetName val="Qtr Margin"/>
      <sheetName val="Q-Preview"/>
      <sheetName val="CF2"/>
      <sheetName val="CF2part2"/>
      <sheetName val="Balance Sheet"/>
      <sheetName val="Lipitor&amp;Ari "/>
      <sheetName val="Lipitor Only"/>
      <sheetName val="P&amp;L"/>
      <sheetName val="Quarterly"/>
      <sheetName val="Ann. Prod Sales (2)"/>
      <sheetName val="Blank"/>
      <sheetName val="Viagra model"/>
      <sheetName val="IS-COMPS"/>
      <sheetName val="BS"/>
      <sheetName val="Cashflow"/>
      <sheetName val="Alliance lose Lipitor"/>
      <sheetName val="Lipitor &amp; Aricept "/>
      <sheetName val="Sales &amp; Op. Earnings"/>
      <sheetName val="Zeldox"/>
      <sheetName val="QRT_LINK"/>
      <sheetName val="Stat Sheet"/>
      <sheetName val="Q-PreviewOLD"/>
      <sheetName val="Disclaimer"/>
      <sheetName val="IndexInformation"/>
      <sheetName val="MainCode"/>
      <sheetName val="NY UPLOAD shadow"/>
    </sheetNames>
    <sheetDataSet>
      <sheetData sheetId="0" refreshError="1"/>
      <sheetData sheetId="1" refreshError="1"/>
      <sheetData sheetId="2" refreshError="1"/>
      <sheetData sheetId="3" refreshError="1"/>
      <sheetData sheetId="4" refreshError="1">
        <row r="3">
          <cell r="A3" t="str">
            <v>Table 5</v>
          </cell>
          <cell r="AO3" t="str">
            <v>Table 5</v>
          </cell>
          <cell r="AP3" t="str">
            <v>(continued)</v>
          </cell>
          <cell r="BV3" t="str">
            <v>Table 5</v>
          </cell>
          <cell r="BW3" t="str">
            <v>(continued)</v>
          </cell>
          <cell r="DC3" t="str">
            <v>Table 5</v>
          </cell>
          <cell r="DD3" t="str">
            <v>(continued)</v>
          </cell>
        </row>
        <row r="4">
          <cell r="A4" t="str">
            <v>Pfizer</v>
          </cell>
          <cell r="AO4" t="str">
            <v>Pfizer</v>
          </cell>
          <cell r="BV4" t="str">
            <v>Pfizer</v>
          </cell>
          <cell r="DC4" t="str">
            <v>Pfizer</v>
          </cell>
        </row>
        <row r="5">
          <cell r="A5" t="str">
            <v>Quarterly Sales Analysis 1998-2005E</v>
          </cell>
          <cell r="AO5" t="str">
            <v>Quarterly Sales Analysis 1998-2005E</v>
          </cell>
          <cell r="BV5" t="str">
            <v>Quarterly Sales Analysis 1998-2005E</v>
          </cell>
          <cell r="DC5" t="str">
            <v>Quarterly Sales Analysis 1998-2005E</v>
          </cell>
        </row>
        <row r="6">
          <cell r="A6" t="str">
            <v>($ Millions)</v>
          </cell>
          <cell r="AO6" t="str">
            <v>($ Millions)</v>
          </cell>
          <cell r="BV6" t="str">
            <v>($ Millions)</v>
          </cell>
          <cell r="DC6" t="str">
            <v>($ Millions)</v>
          </cell>
        </row>
        <row r="8">
          <cell r="B8" t="str">
            <v>Cardiovascular</v>
          </cell>
          <cell r="Y8" t="str">
            <v>Central Nervous System</v>
          </cell>
          <cell r="AP8" t="str">
            <v>Anti-Infectives</v>
          </cell>
          <cell r="BJ8" t="str">
            <v xml:space="preserve">Anti-Inflammatories    </v>
          </cell>
          <cell r="CA8" t="str">
            <v>Allergy</v>
          </cell>
          <cell r="CM8" t="str">
            <v>Diabetes</v>
          </cell>
        </row>
        <row r="9">
          <cell r="B9" t="str">
            <v>Procardia XL</v>
          </cell>
          <cell r="F9" t="str">
            <v xml:space="preserve">Norvasc   </v>
          </cell>
          <cell r="J9" t="str">
            <v>Cardura</v>
          </cell>
          <cell r="M9" t="str">
            <v>Lipitor</v>
          </cell>
          <cell r="Q9" t="str">
            <v xml:space="preserve">  Other Cardio (a) </v>
          </cell>
          <cell r="U9" t="str">
            <v>Total Cardio</v>
          </cell>
          <cell r="Y9" t="str">
            <v>Zoloft</v>
          </cell>
          <cell r="AC9" t="str">
            <v>Zeldox</v>
          </cell>
          <cell r="AG9" t="str">
            <v>Other CNS (b)</v>
          </cell>
          <cell r="AK9" t="str">
            <v>Total CNS</v>
          </cell>
          <cell r="AP9" t="str">
            <v xml:space="preserve">Diflucan  </v>
          </cell>
          <cell r="AT9" t="str">
            <v>Zithromax</v>
          </cell>
          <cell r="AX9" t="str">
            <v>Trovan</v>
          </cell>
          <cell r="BB9" t="str">
            <v>Other (c)</v>
          </cell>
          <cell r="BF9" t="str">
            <v>Total Anti-Infectives</v>
          </cell>
          <cell r="BJ9" t="str">
            <v>Feldene</v>
          </cell>
          <cell r="BN9" t="str">
            <v xml:space="preserve">Other </v>
          </cell>
          <cell r="BR9" t="str">
            <v>Total</v>
          </cell>
          <cell r="BW9" t="str">
            <v>Viagra</v>
          </cell>
          <cell r="CA9" t="str">
            <v>Zyrtec/Reactine (d)</v>
          </cell>
          <cell r="CE9" t="str">
            <v>Other</v>
          </cell>
          <cell r="CI9" t="str">
            <v>Total</v>
          </cell>
          <cell r="CM9" t="str">
            <v xml:space="preserve">Glucotrol XL </v>
          </cell>
          <cell r="CQ9" t="str">
            <v>Other (e)</v>
          </cell>
          <cell r="CU9" t="str">
            <v>Total</v>
          </cell>
          <cell r="CY9" t="str">
            <v>Other Products</v>
          </cell>
          <cell r="DD9" t="str">
            <v>New Products</v>
          </cell>
          <cell r="DH9" t="str">
            <v>Alliance Revenues (c)</v>
          </cell>
          <cell r="DL9" t="str">
            <v>Total Pharmaceuticals</v>
          </cell>
          <cell r="DP9" t="str">
            <v>Animal Health</v>
          </cell>
          <cell r="DT9" t="str">
            <v>Consumer Health</v>
          </cell>
          <cell r="DX9" t="str">
            <v>Total Corporate Sales</v>
          </cell>
        </row>
        <row r="10">
          <cell r="B10" t="str">
            <v>U.S.</v>
          </cell>
          <cell r="C10" t="str">
            <v>Intl</v>
          </cell>
          <cell r="D10" t="str">
            <v>Total</v>
          </cell>
          <cell r="F10" t="str">
            <v>U.S.</v>
          </cell>
          <cell r="G10" t="str">
            <v>Intl</v>
          </cell>
          <cell r="H10" t="str">
            <v>Total</v>
          </cell>
          <cell r="J10" t="str">
            <v>U.S.</v>
          </cell>
          <cell r="K10" t="str">
            <v>Intl</v>
          </cell>
          <cell r="L10" t="str">
            <v>Total</v>
          </cell>
          <cell r="M10" t="str">
            <v>U.S.</v>
          </cell>
          <cell r="N10" t="str">
            <v>Intl</v>
          </cell>
          <cell r="O10" t="str">
            <v>Total</v>
          </cell>
          <cell r="Q10" t="str">
            <v>U.S.</v>
          </cell>
          <cell r="R10" t="str">
            <v>Intl</v>
          </cell>
          <cell r="S10" t="str">
            <v>Total</v>
          </cell>
          <cell r="U10" t="str">
            <v xml:space="preserve">U.S. </v>
          </cell>
          <cell r="V10" t="str">
            <v xml:space="preserve">Intl </v>
          </cell>
          <cell r="W10" t="str">
            <v xml:space="preserve">Total </v>
          </cell>
          <cell r="Y10" t="str">
            <v>U.S.</v>
          </cell>
          <cell r="Z10" t="str">
            <v xml:space="preserve">Intl </v>
          </cell>
          <cell r="AA10" t="str">
            <v xml:space="preserve">Total </v>
          </cell>
          <cell r="AC10" t="str">
            <v>U.S.</v>
          </cell>
          <cell r="AD10" t="str">
            <v xml:space="preserve">Intl </v>
          </cell>
          <cell r="AE10" t="str">
            <v xml:space="preserve">Total </v>
          </cell>
          <cell r="AG10" t="str">
            <v>U.S.</v>
          </cell>
          <cell r="AH10" t="str">
            <v xml:space="preserve">Intl </v>
          </cell>
          <cell r="AI10" t="str">
            <v xml:space="preserve">Total </v>
          </cell>
          <cell r="AK10" t="str">
            <v>U.S.</v>
          </cell>
          <cell r="AL10" t="str">
            <v xml:space="preserve">Intl </v>
          </cell>
          <cell r="AM10" t="str">
            <v xml:space="preserve">Total </v>
          </cell>
          <cell r="AP10" t="str">
            <v>U.S.</v>
          </cell>
          <cell r="AQ10" t="str">
            <v>Intl</v>
          </cell>
          <cell r="AR10" t="str">
            <v xml:space="preserve">Total </v>
          </cell>
          <cell r="AT10" t="str">
            <v>U.S.</v>
          </cell>
          <cell r="AU10" t="str">
            <v>Intl</v>
          </cell>
          <cell r="AV10" t="str">
            <v xml:space="preserve">Total </v>
          </cell>
          <cell r="AX10" t="str">
            <v>U.S.</v>
          </cell>
          <cell r="AY10" t="str">
            <v>Intl</v>
          </cell>
          <cell r="AZ10" t="str">
            <v xml:space="preserve">Total </v>
          </cell>
          <cell r="BB10" t="str">
            <v>U.S.</v>
          </cell>
          <cell r="BC10" t="str">
            <v>Intl</v>
          </cell>
          <cell r="BD10" t="str">
            <v xml:space="preserve">Total </v>
          </cell>
          <cell r="BF10" t="str">
            <v>U.S.</v>
          </cell>
          <cell r="BG10" t="str">
            <v>Intl</v>
          </cell>
          <cell r="BH10" t="str">
            <v>Total</v>
          </cell>
          <cell r="BJ10" t="str">
            <v>U.S.</v>
          </cell>
          <cell r="BK10" t="str">
            <v>Intl</v>
          </cell>
          <cell r="BL10" t="str">
            <v xml:space="preserve">Total </v>
          </cell>
          <cell r="BN10" t="str">
            <v>U.S.</v>
          </cell>
          <cell r="BO10" t="str">
            <v xml:space="preserve">Intl </v>
          </cell>
          <cell r="BP10" t="str">
            <v xml:space="preserve">Total </v>
          </cell>
          <cell r="BR10" t="str">
            <v>U.S.</v>
          </cell>
          <cell r="BS10" t="str">
            <v xml:space="preserve">Intl </v>
          </cell>
          <cell r="BT10" t="str">
            <v xml:space="preserve">Total </v>
          </cell>
          <cell r="BW10" t="str">
            <v>U.S.</v>
          </cell>
          <cell r="BX10" t="str">
            <v>Intl</v>
          </cell>
          <cell r="BY10" t="str">
            <v xml:space="preserve">Total </v>
          </cell>
          <cell r="CA10" t="str">
            <v>U.S.</v>
          </cell>
          <cell r="CB10" t="str">
            <v>Intl</v>
          </cell>
          <cell r="CC10" t="str">
            <v xml:space="preserve">Total </v>
          </cell>
          <cell r="CE10" t="str">
            <v>U.S.</v>
          </cell>
          <cell r="CF10" t="str">
            <v xml:space="preserve">Intl </v>
          </cell>
          <cell r="CG10" t="str">
            <v xml:space="preserve">Total </v>
          </cell>
          <cell r="CI10" t="str">
            <v>U.S.</v>
          </cell>
          <cell r="CJ10" t="str">
            <v xml:space="preserve">Intl </v>
          </cell>
          <cell r="CK10" t="str">
            <v xml:space="preserve">Total </v>
          </cell>
          <cell r="CM10" t="str">
            <v>U.S.</v>
          </cell>
          <cell r="CN10" t="str">
            <v>Intl</v>
          </cell>
          <cell r="CO10" t="str">
            <v xml:space="preserve">Total </v>
          </cell>
          <cell r="CQ10" t="str">
            <v>U.S.</v>
          </cell>
          <cell r="CR10" t="str">
            <v xml:space="preserve">Intl </v>
          </cell>
          <cell r="CS10" t="str">
            <v xml:space="preserve">Total </v>
          </cell>
          <cell r="CU10" t="str">
            <v>U.S.</v>
          </cell>
          <cell r="CV10" t="str">
            <v xml:space="preserve">Intl </v>
          </cell>
          <cell r="CW10" t="str">
            <v xml:space="preserve">Total </v>
          </cell>
          <cell r="CY10" t="str">
            <v>U.S.</v>
          </cell>
          <cell r="CZ10" t="str">
            <v xml:space="preserve">Intl </v>
          </cell>
          <cell r="DA10" t="str">
            <v xml:space="preserve">Total </v>
          </cell>
          <cell r="DD10" t="str">
            <v>U.S.</v>
          </cell>
          <cell r="DE10" t="str">
            <v>Intl</v>
          </cell>
          <cell r="DF10" t="str">
            <v xml:space="preserve">Total </v>
          </cell>
          <cell r="DH10" t="str">
            <v>U.S.</v>
          </cell>
          <cell r="DI10" t="str">
            <v>Intl</v>
          </cell>
          <cell r="DJ10" t="str">
            <v xml:space="preserve">Total </v>
          </cell>
          <cell r="DL10" t="str">
            <v>U.S.</v>
          </cell>
          <cell r="DM10" t="str">
            <v xml:space="preserve">Intl </v>
          </cell>
          <cell r="DN10" t="str">
            <v xml:space="preserve">Total </v>
          </cell>
          <cell r="DP10" t="str">
            <v>U.S.</v>
          </cell>
          <cell r="DQ10" t="str">
            <v>Intl</v>
          </cell>
          <cell r="DR10" t="str">
            <v xml:space="preserve">Total  </v>
          </cell>
          <cell r="DT10" t="str">
            <v>U.S.</v>
          </cell>
          <cell r="DU10" t="str">
            <v>Intl</v>
          </cell>
          <cell r="DV10" t="str">
            <v xml:space="preserve">Total  </v>
          </cell>
          <cell r="DX10" t="str">
            <v>U.S.</v>
          </cell>
          <cell r="DY10" t="str">
            <v xml:space="preserve">Intl </v>
          </cell>
          <cell r="DZ10" t="str">
            <v xml:space="preserve">Total </v>
          </cell>
        </row>
        <row r="12">
          <cell r="A12" t="str">
            <v>1994</v>
          </cell>
          <cell r="AO12" t="str">
            <v>1994</v>
          </cell>
          <cell r="BV12" t="str">
            <v>1994</v>
          </cell>
          <cell r="DC12" t="str">
            <v>1994</v>
          </cell>
        </row>
        <row r="13">
          <cell r="A13" t="str">
            <v xml:space="preserve"> 1Q</v>
          </cell>
          <cell r="B13">
            <v>336.1</v>
          </cell>
          <cell r="C13">
            <v>0</v>
          </cell>
          <cell r="D13">
            <v>336.1</v>
          </cell>
          <cell r="F13">
            <v>61.9</v>
          </cell>
          <cell r="G13">
            <v>92.2</v>
          </cell>
          <cell r="H13">
            <v>154.1</v>
          </cell>
          <cell r="J13">
            <v>22.6</v>
          </cell>
          <cell r="K13">
            <v>49.5</v>
          </cell>
          <cell r="L13">
            <v>72.099999999999994</v>
          </cell>
          <cell r="Q13">
            <v>11.099999999999966</v>
          </cell>
          <cell r="R13">
            <v>32.400000000000006</v>
          </cell>
          <cell r="S13">
            <v>43.499999999999972</v>
          </cell>
          <cell r="U13">
            <v>431.7</v>
          </cell>
          <cell r="V13">
            <v>174.1</v>
          </cell>
          <cell r="W13">
            <v>605.79999999999995</v>
          </cell>
          <cell r="Y13">
            <v>141.6</v>
          </cell>
          <cell r="Z13">
            <v>15.3</v>
          </cell>
          <cell r="AA13">
            <v>156.9</v>
          </cell>
          <cell r="AC13">
            <v>0</v>
          </cell>
          <cell r="AD13">
            <v>0</v>
          </cell>
          <cell r="AE13">
            <v>0</v>
          </cell>
          <cell r="AG13">
            <v>6.4000000000000057</v>
          </cell>
          <cell r="AH13">
            <v>7.6999999999999993</v>
          </cell>
          <cell r="AI13">
            <v>14.100000000000005</v>
          </cell>
          <cell r="AK13">
            <v>148</v>
          </cell>
          <cell r="AL13">
            <v>23</v>
          </cell>
          <cell r="AM13">
            <v>171</v>
          </cell>
          <cell r="AO13" t="str">
            <v xml:space="preserve"> 1Q</v>
          </cell>
          <cell r="AP13">
            <v>71.599999999999994</v>
          </cell>
          <cell r="AQ13">
            <v>86</v>
          </cell>
          <cell r="AR13">
            <v>157.6</v>
          </cell>
          <cell r="AT13">
            <v>36.1</v>
          </cell>
          <cell r="AU13">
            <v>11.1</v>
          </cell>
          <cell r="AV13">
            <v>47.2</v>
          </cell>
          <cell r="AX13">
            <v>0</v>
          </cell>
          <cell r="AY13">
            <v>0</v>
          </cell>
          <cell r="AZ13">
            <v>0</v>
          </cell>
          <cell r="BB13">
            <v>47.700000000000017</v>
          </cell>
          <cell r="BC13">
            <v>167.00000000000003</v>
          </cell>
          <cell r="BD13">
            <v>214.70000000000005</v>
          </cell>
          <cell r="BF13">
            <v>155.4</v>
          </cell>
          <cell r="BG13">
            <v>264.10000000000002</v>
          </cell>
          <cell r="BH13">
            <v>419.5</v>
          </cell>
          <cell r="BJ13">
            <v>10.6</v>
          </cell>
          <cell r="BK13">
            <v>64.7</v>
          </cell>
          <cell r="BL13">
            <v>75.3</v>
          </cell>
          <cell r="BN13">
            <v>0.40000000000000036</v>
          </cell>
          <cell r="BO13">
            <v>16.299999999999997</v>
          </cell>
          <cell r="BP13">
            <v>16.699999999999996</v>
          </cell>
          <cell r="BR13">
            <v>11</v>
          </cell>
          <cell r="BS13">
            <v>81</v>
          </cell>
          <cell r="BT13">
            <v>92</v>
          </cell>
          <cell r="BV13" t="str">
            <v xml:space="preserve"> 1Q</v>
          </cell>
          <cell r="BW13">
            <v>0</v>
          </cell>
          <cell r="BX13">
            <v>0</v>
          </cell>
          <cell r="BY13">
            <v>0</v>
          </cell>
          <cell r="CA13">
            <v>0</v>
          </cell>
          <cell r="CB13">
            <v>1.3</v>
          </cell>
          <cell r="CC13">
            <v>1.3</v>
          </cell>
          <cell r="CE13">
            <v>0</v>
          </cell>
          <cell r="CF13">
            <v>-0.30000000000000004</v>
          </cell>
          <cell r="CG13">
            <v>-0.30000000000000004</v>
          </cell>
          <cell r="CI13">
            <v>0</v>
          </cell>
          <cell r="CJ13">
            <v>1</v>
          </cell>
          <cell r="CK13">
            <v>1</v>
          </cell>
          <cell r="CL13">
            <v>0</v>
          </cell>
          <cell r="CM13">
            <v>0</v>
          </cell>
          <cell r="CN13">
            <v>0</v>
          </cell>
          <cell r="CO13">
            <v>0</v>
          </cell>
          <cell r="CQ13">
            <v>61</v>
          </cell>
          <cell r="CR13">
            <v>7</v>
          </cell>
          <cell r="CS13">
            <v>68</v>
          </cell>
          <cell r="CU13">
            <v>61</v>
          </cell>
          <cell r="CV13">
            <v>7</v>
          </cell>
          <cell r="CW13">
            <v>68</v>
          </cell>
          <cell r="CY13">
            <v>7.6999999999999602</v>
          </cell>
          <cell r="CZ13">
            <v>45.899999999999977</v>
          </cell>
          <cell r="DA13">
            <v>53.599999999999937</v>
          </cell>
          <cell r="DC13" t="str">
            <v xml:space="preserve"> 1Q</v>
          </cell>
          <cell r="DD13">
            <v>0</v>
          </cell>
          <cell r="DE13">
            <v>0</v>
          </cell>
          <cell r="DF13">
            <v>0</v>
          </cell>
          <cell r="DL13">
            <v>814.8</v>
          </cell>
          <cell r="DM13">
            <v>596.1</v>
          </cell>
          <cell r="DN13">
            <v>1410.9</v>
          </cell>
          <cell r="DP13">
            <v>38.299999999999997</v>
          </cell>
          <cell r="DQ13">
            <v>107</v>
          </cell>
          <cell r="DR13">
            <v>145.30000000000001</v>
          </cell>
          <cell r="DT13">
            <v>75</v>
          </cell>
          <cell r="DU13">
            <v>32</v>
          </cell>
          <cell r="DV13">
            <v>107</v>
          </cell>
          <cell r="DX13">
            <v>928.09999999999991</v>
          </cell>
          <cell r="DY13">
            <v>735.1</v>
          </cell>
          <cell r="DZ13">
            <v>1663.1999999999998</v>
          </cell>
        </row>
        <row r="14">
          <cell r="A14" t="str">
            <v xml:space="preserve"> 2Q</v>
          </cell>
          <cell r="B14">
            <v>249.7</v>
          </cell>
          <cell r="C14">
            <v>0</v>
          </cell>
          <cell r="D14">
            <v>249.7</v>
          </cell>
          <cell r="F14">
            <v>66.900000000000006</v>
          </cell>
          <cell r="G14">
            <v>107.5</v>
          </cell>
          <cell r="H14">
            <v>174.4</v>
          </cell>
          <cell r="J14">
            <v>20.7</v>
          </cell>
          <cell r="K14">
            <v>53.7</v>
          </cell>
          <cell r="L14">
            <v>74.400000000000006</v>
          </cell>
          <cell r="Q14">
            <v>7.0999999999999659</v>
          </cell>
          <cell r="R14">
            <v>31.900000000000006</v>
          </cell>
          <cell r="S14">
            <v>38.999999999999972</v>
          </cell>
          <cell r="U14">
            <v>344.4</v>
          </cell>
          <cell r="V14">
            <v>193.1</v>
          </cell>
          <cell r="W14">
            <v>537.5</v>
          </cell>
          <cell r="Y14">
            <v>140.6</v>
          </cell>
          <cell r="Z14">
            <v>17.399999999999999</v>
          </cell>
          <cell r="AA14">
            <v>158</v>
          </cell>
          <cell r="AC14">
            <v>0</v>
          </cell>
          <cell r="AD14">
            <v>0</v>
          </cell>
          <cell r="AE14">
            <v>0</v>
          </cell>
          <cell r="AG14">
            <v>5.4000000000000057</v>
          </cell>
          <cell r="AH14">
            <v>8.6000000000000014</v>
          </cell>
          <cell r="AI14">
            <v>14.000000000000007</v>
          </cell>
          <cell r="AK14">
            <v>146</v>
          </cell>
          <cell r="AL14">
            <v>26</v>
          </cell>
          <cell r="AM14">
            <v>172</v>
          </cell>
          <cell r="AO14" t="str">
            <v xml:space="preserve"> 2Q</v>
          </cell>
          <cell r="AP14">
            <v>75.7</v>
          </cell>
          <cell r="AQ14">
            <v>92.4</v>
          </cell>
          <cell r="AR14">
            <v>168.10000000000002</v>
          </cell>
          <cell r="AT14">
            <v>22.5</v>
          </cell>
          <cell r="AU14">
            <v>14</v>
          </cell>
          <cell r="AV14">
            <v>36.5</v>
          </cell>
          <cell r="AX14">
            <v>0</v>
          </cell>
          <cell r="AY14">
            <v>0</v>
          </cell>
          <cell r="AZ14">
            <v>0</v>
          </cell>
          <cell r="BB14">
            <v>40.299999999999997</v>
          </cell>
          <cell r="BC14">
            <v>148.5</v>
          </cell>
          <cell r="BD14">
            <v>188.8</v>
          </cell>
          <cell r="BF14">
            <v>138.5</v>
          </cell>
          <cell r="BG14">
            <v>254.9</v>
          </cell>
          <cell r="BH14">
            <v>393.4</v>
          </cell>
          <cell r="BJ14">
            <v>6.9</v>
          </cell>
          <cell r="BK14">
            <v>63.3</v>
          </cell>
          <cell r="BL14">
            <v>70.2</v>
          </cell>
          <cell r="BN14">
            <v>9.9999999999999645E-2</v>
          </cell>
          <cell r="BO14">
            <v>10.700000000000003</v>
          </cell>
          <cell r="BP14">
            <v>10.800000000000002</v>
          </cell>
          <cell r="BR14">
            <v>7</v>
          </cell>
          <cell r="BS14">
            <v>74</v>
          </cell>
          <cell r="BT14">
            <v>81</v>
          </cell>
          <cell r="BV14" t="str">
            <v xml:space="preserve"> 2Q</v>
          </cell>
          <cell r="BW14">
            <v>0</v>
          </cell>
          <cell r="BX14">
            <v>0</v>
          </cell>
          <cell r="BY14">
            <v>0</v>
          </cell>
          <cell r="CA14">
            <v>0</v>
          </cell>
          <cell r="CB14">
            <v>3</v>
          </cell>
          <cell r="CC14">
            <v>3</v>
          </cell>
          <cell r="CE14">
            <v>0</v>
          </cell>
          <cell r="CF14">
            <v>0</v>
          </cell>
          <cell r="CG14">
            <v>0</v>
          </cell>
          <cell r="CI14">
            <v>0</v>
          </cell>
          <cell r="CJ14">
            <v>3</v>
          </cell>
          <cell r="CK14">
            <v>3</v>
          </cell>
          <cell r="CM14">
            <v>7.2</v>
          </cell>
          <cell r="CN14">
            <v>0</v>
          </cell>
          <cell r="CO14">
            <v>7.2</v>
          </cell>
          <cell r="CQ14">
            <v>48.8</v>
          </cell>
          <cell r="CR14">
            <v>8</v>
          </cell>
          <cell r="CS14">
            <v>56.8</v>
          </cell>
          <cell r="CU14">
            <v>56</v>
          </cell>
          <cell r="CV14">
            <v>8</v>
          </cell>
          <cell r="CW14">
            <v>64</v>
          </cell>
          <cell r="CY14">
            <v>5.3999999999999773</v>
          </cell>
          <cell r="CZ14">
            <v>53.200000000000017</v>
          </cell>
          <cell r="DA14">
            <v>58.599999999999994</v>
          </cell>
          <cell r="DC14" t="str">
            <v xml:space="preserve"> 2Q</v>
          </cell>
          <cell r="DD14">
            <v>0</v>
          </cell>
          <cell r="DE14">
            <v>0</v>
          </cell>
          <cell r="DF14">
            <v>0</v>
          </cell>
          <cell r="DL14">
            <v>697.3</v>
          </cell>
          <cell r="DM14">
            <v>612.20000000000005</v>
          </cell>
          <cell r="DN14">
            <v>1309.5</v>
          </cell>
          <cell r="DP14">
            <v>38.799999999999997</v>
          </cell>
          <cell r="DQ14">
            <v>102.6</v>
          </cell>
          <cell r="DR14">
            <v>141.39999999999998</v>
          </cell>
          <cell r="DT14">
            <v>75</v>
          </cell>
          <cell r="DU14">
            <v>32</v>
          </cell>
          <cell r="DV14">
            <v>107</v>
          </cell>
          <cell r="DX14">
            <v>811.09999999999991</v>
          </cell>
          <cell r="DY14">
            <v>746.80000000000007</v>
          </cell>
          <cell r="DZ14">
            <v>1557.9</v>
          </cell>
        </row>
        <row r="15">
          <cell r="A15" t="str">
            <v xml:space="preserve"> 3Q</v>
          </cell>
          <cell r="B15">
            <v>292.60000000000002</v>
          </cell>
          <cell r="C15">
            <v>0</v>
          </cell>
          <cell r="D15">
            <v>292.60000000000002</v>
          </cell>
          <cell r="F15">
            <v>87.6</v>
          </cell>
          <cell r="G15">
            <v>122.2</v>
          </cell>
          <cell r="H15">
            <v>209.8</v>
          </cell>
          <cell r="J15">
            <v>26.2</v>
          </cell>
          <cell r="K15">
            <v>55.2</v>
          </cell>
          <cell r="L15">
            <v>81.400000000000006</v>
          </cell>
          <cell r="Q15">
            <v>8.4999999999999432</v>
          </cell>
          <cell r="R15">
            <v>32.900000000000006</v>
          </cell>
          <cell r="S15">
            <v>41.399999999999949</v>
          </cell>
          <cell r="U15">
            <v>414.9</v>
          </cell>
          <cell r="V15">
            <v>210.3</v>
          </cell>
          <cell r="W15">
            <v>625.20000000000005</v>
          </cell>
          <cell r="Y15">
            <v>176.7</v>
          </cell>
          <cell r="Z15">
            <v>20.399999999999999</v>
          </cell>
          <cell r="AA15">
            <v>197.1</v>
          </cell>
          <cell r="AC15">
            <v>0</v>
          </cell>
          <cell r="AD15">
            <v>0</v>
          </cell>
          <cell r="AE15">
            <v>0</v>
          </cell>
          <cell r="AG15">
            <v>6.3000000000000114</v>
          </cell>
          <cell r="AH15">
            <v>7.6000000000000014</v>
          </cell>
          <cell r="AI15">
            <v>13.900000000000013</v>
          </cell>
          <cell r="AK15">
            <v>183</v>
          </cell>
          <cell r="AL15">
            <v>28</v>
          </cell>
          <cell r="AM15">
            <v>211</v>
          </cell>
          <cell r="AO15" t="str">
            <v xml:space="preserve"> 3Q</v>
          </cell>
          <cell r="AP15">
            <v>94.3</v>
          </cell>
          <cell r="AQ15">
            <v>103.3</v>
          </cell>
          <cell r="AR15">
            <v>197.6</v>
          </cell>
          <cell r="AT15">
            <v>25.7</v>
          </cell>
          <cell r="AU15">
            <v>19</v>
          </cell>
          <cell r="AV15">
            <v>44.7</v>
          </cell>
          <cell r="AX15">
            <v>0</v>
          </cell>
          <cell r="AY15">
            <v>0</v>
          </cell>
          <cell r="AZ15">
            <v>0</v>
          </cell>
          <cell r="BB15">
            <v>40.800000000000011</v>
          </cell>
          <cell r="BC15">
            <v>156.30000000000001</v>
          </cell>
          <cell r="BD15">
            <v>197.10000000000002</v>
          </cell>
          <cell r="BF15">
            <v>160.80000000000001</v>
          </cell>
          <cell r="BG15">
            <v>278.60000000000002</v>
          </cell>
          <cell r="BH15">
            <v>439.40000000000003</v>
          </cell>
          <cell r="BJ15">
            <v>6.8</v>
          </cell>
          <cell r="BK15">
            <v>66.099999999999994</v>
          </cell>
          <cell r="BL15">
            <v>72.899999999999991</v>
          </cell>
          <cell r="BN15">
            <v>0.20000000000000018</v>
          </cell>
          <cell r="BO15">
            <v>15.900000000000006</v>
          </cell>
          <cell r="BP15">
            <v>16.100000000000005</v>
          </cell>
          <cell r="BR15">
            <v>7</v>
          </cell>
          <cell r="BS15">
            <v>82</v>
          </cell>
          <cell r="BT15">
            <v>89</v>
          </cell>
          <cell r="BV15" t="str">
            <v xml:space="preserve"> 3Q</v>
          </cell>
          <cell r="BW15">
            <v>0</v>
          </cell>
          <cell r="BX15">
            <v>0</v>
          </cell>
          <cell r="BY15">
            <v>0</v>
          </cell>
          <cell r="CA15">
            <v>0</v>
          </cell>
          <cell r="CB15">
            <v>4</v>
          </cell>
          <cell r="CC15">
            <v>4</v>
          </cell>
          <cell r="CE15">
            <v>0</v>
          </cell>
          <cell r="CF15">
            <v>0</v>
          </cell>
          <cell r="CG15">
            <v>0</v>
          </cell>
          <cell r="CI15">
            <v>0</v>
          </cell>
          <cell r="CJ15">
            <v>4</v>
          </cell>
          <cell r="CK15">
            <v>4</v>
          </cell>
          <cell r="CM15">
            <v>4.5</v>
          </cell>
          <cell r="CN15">
            <v>0</v>
          </cell>
          <cell r="CO15">
            <v>4.5</v>
          </cell>
          <cell r="CQ15">
            <v>38.5</v>
          </cell>
          <cell r="CR15">
            <v>8</v>
          </cell>
          <cell r="CS15">
            <v>46.5</v>
          </cell>
          <cell r="CU15">
            <v>43</v>
          </cell>
          <cell r="CV15">
            <v>8</v>
          </cell>
          <cell r="CW15">
            <v>51</v>
          </cell>
          <cell r="CY15">
            <v>6.0999999999999659</v>
          </cell>
          <cell r="CZ15">
            <v>55.800000000000011</v>
          </cell>
          <cell r="DA15">
            <v>61.899999999999977</v>
          </cell>
          <cell r="DC15" t="str">
            <v xml:space="preserve"> 3Q</v>
          </cell>
          <cell r="DD15">
            <v>0</v>
          </cell>
          <cell r="DE15">
            <v>0</v>
          </cell>
          <cell r="DF15">
            <v>0</v>
          </cell>
          <cell r="DL15">
            <v>814.8</v>
          </cell>
          <cell r="DM15">
            <v>666.7</v>
          </cell>
          <cell r="DN15">
            <v>1481.5</v>
          </cell>
          <cell r="DP15">
            <v>50</v>
          </cell>
          <cell r="DQ15">
            <v>93</v>
          </cell>
          <cell r="DR15">
            <v>143</v>
          </cell>
          <cell r="DT15">
            <v>75</v>
          </cell>
          <cell r="DU15">
            <v>33</v>
          </cell>
          <cell r="DV15">
            <v>108</v>
          </cell>
          <cell r="DX15">
            <v>939.8</v>
          </cell>
          <cell r="DY15">
            <v>792.7</v>
          </cell>
          <cell r="DZ15">
            <v>1732.5</v>
          </cell>
        </row>
        <row r="16">
          <cell r="A16" t="str">
            <v xml:space="preserve"> 4Q</v>
          </cell>
          <cell r="B16">
            <v>298.8</v>
          </cell>
          <cell r="C16">
            <v>0</v>
          </cell>
          <cell r="D16">
            <v>298.8</v>
          </cell>
          <cell r="F16">
            <v>86.1</v>
          </cell>
          <cell r="G16">
            <v>143.19999999999999</v>
          </cell>
          <cell r="H16">
            <v>229.29999999999998</v>
          </cell>
          <cell r="J16">
            <v>26</v>
          </cell>
          <cell r="K16">
            <v>59.4</v>
          </cell>
          <cell r="L16">
            <v>85.4</v>
          </cell>
          <cell r="Q16">
            <v>9.1000000000000227</v>
          </cell>
          <cell r="R16">
            <v>36.5</v>
          </cell>
          <cell r="S16">
            <v>45.600000000000023</v>
          </cell>
          <cell r="U16">
            <v>420</v>
          </cell>
          <cell r="V16">
            <v>239.1</v>
          </cell>
          <cell r="W16">
            <v>659.1</v>
          </cell>
          <cell r="Y16">
            <v>179.5</v>
          </cell>
          <cell r="Z16">
            <v>26.9</v>
          </cell>
          <cell r="AA16">
            <v>206.4</v>
          </cell>
          <cell r="AC16">
            <v>0</v>
          </cell>
          <cell r="AD16">
            <v>0</v>
          </cell>
          <cell r="AE16">
            <v>0</v>
          </cell>
          <cell r="AG16">
            <v>6.5</v>
          </cell>
          <cell r="AH16">
            <v>8.1000000000000014</v>
          </cell>
          <cell r="AI16">
            <v>14.600000000000001</v>
          </cell>
          <cell r="AK16">
            <v>186</v>
          </cell>
          <cell r="AL16">
            <v>35</v>
          </cell>
          <cell r="AM16">
            <v>221</v>
          </cell>
          <cell r="AO16" t="str">
            <v xml:space="preserve"> 4Q</v>
          </cell>
          <cell r="AP16">
            <v>86.2</v>
          </cell>
          <cell r="AQ16">
            <v>111.3</v>
          </cell>
          <cell r="AR16">
            <v>197.5</v>
          </cell>
          <cell r="AT16">
            <v>39.1</v>
          </cell>
          <cell r="AU16">
            <v>38.700000000000003</v>
          </cell>
          <cell r="AV16">
            <v>77.800000000000011</v>
          </cell>
          <cell r="AX16">
            <v>0</v>
          </cell>
          <cell r="AY16">
            <v>0</v>
          </cell>
          <cell r="AZ16">
            <v>0</v>
          </cell>
          <cell r="BB16">
            <v>45.299999999999983</v>
          </cell>
          <cell r="BC16">
            <v>178.5</v>
          </cell>
          <cell r="BD16">
            <v>223.79999999999998</v>
          </cell>
          <cell r="BF16">
            <v>170.6</v>
          </cell>
          <cell r="BG16">
            <v>328.5</v>
          </cell>
          <cell r="BH16">
            <v>499.1</v>
          </cell>
          <cell r="BJ16">
            <v>11.2</v>
          </cell>
          <cell r="BK16">
            <v>72.2</v>
          </cell>
          <cell r="BL16">
            <v>83.4</v>
          </cell>
          <cell r="BN16">
            <v>-0.19999999999999929</v>
          </cell>
          <cell r="BO16">
            <v>17.799999999999997</v>
          </cell>
          <cell r="BP16">
            <v>17.599999999999998</v>
          </cell>
          <cell r="BR16">
            <v>11</v>
          </cell>
          <cell r="BS16">
            <v>90</v>
          </cell>
          <cell r="BT16">
            <v>101</v>
          </cell>
          <cell r="BV16" t="str">
            <v xml:space="preserve"> 4Q</v>
          </cell>
          <cell r="BW16">
            <v>0</v>
          </cell>
          <cell r="BX16">
            <v>0</v>
          </cell>
          <cell r="BY16">
            <v>0</v>
          </cell>
          <cell r="CA16">
            <v>0</v>
          </cell>
          <cell r="CB16">
            <v>2.9</v>
          </cell>
          <cell r="CC16">
            <v>2.9</v>
          </cell>
          <cell r="CE16">
            <v>0</v>
          </cell>
          <cell r="CF16">
            <v>0.10000000000000009</v>
          </cell>
          <cell r="CG16">
            <v>0.10000000000000009</v>
          </cell>
          <cell r="CI16">
            <v>0</v>
          </cell>
          <cell r="CJ16">
            <v>3</v>
          </cell>
          <cell r="CK16">
            <v>3</v>
          </cell>
          <cell r="CM16">
            <v>11.9</v>
          </cell>
          <cell r="CN16">
            <v>0</v>
          </cell>
          <cell r="CO16">
            <v>11.9</v>
          </cell>
          <cell r="CQ16">
            <v>32.1</v>
          </cell>
          <cell r="CR16">
            <v>9</v>
          </cell>
          <cell r="CS16">
            <v>41.1</v>
          </cell>
          <cell r="CU16">
            <v>44</v>
          </cell>
          <cell r="CV16">
            <v>9</v>
          </cell>
          <cell r="CW16">
            <v>53</v>
          </cell>
          <cell r="CY16">
            <v>7.1999999999999602</v>
          </cell>
          <cell r="CZ16">
            <v>65.899999999999977</v>
          </cell>
          <cell r="DA16">
            <v>73.099999999999937</v>
          </cell>
          <cell r="DC16" t="str">
            <v xml:space="preserve"> 4Q</v>
          </cell>
          <cell r="DD16">
            <v>0</v>
          </cell>
          <cell r="DE16">
            <v>0</v>
          </cell>
          <cell r="DF16">
            <v>0</v>
          </cell>
          <cell r="DL16">
            <v>838.8</v>
          </cell>
          <cell r="DM16">
            <v>770.5</v>
          </cell>
          <cell r="DN16">
            <v>1609.3</v>
          </cell>
          <cell r="DP16">
            <v>48</v>
          </cell>
          <cell r="DQ16">
            <v>127.7</v>
          </cell>
          <cell r="DR16">
            <v>175.7</v>
          </cell>
          <cell r="DT16">
            <v>49</v>
          </cell>
          <cell r="DU16">
            <v>38</v>
          </cell>
          <cell r="DV16">
            <v>87</v>
          </cell>
          <cell r="DX16">
            <v>935.8</v>
          </cell>
          <cell r="DY16">
            <v>936.2</v>
          </cell>
          <cell r="DZ16">
            <v>1872</v>
          </cell>
        </row>
        <row r="18">
          <cell r="A18" t="str">
            <v>1994</v>
          </cell>
          <cell r="B18">
            <v>1177.2</v>
          </cell>
          <cell r="C18">
            <v>0</v>
          </cell>
          <cell r="D18">
            <v>1177.2</v>
          </cell>
          <cell r="F18">
            <v>302.5</v>
          </cell>
          <cell r="G18">
            <v>465.09999999999997</v>
          </cell>
          <cell r="H18">
            <v>767.59999999999991</v>
          </cell>
          <cell r="J18">
            <v>95.5</v>
          </cell>
          <cell r="K18">
            <v>217.8</v>
          </cell>
          <cell r="L18">
            <v>313.3</v>
          </cell>
          <cell r="Q18">
            <v>35.799999999999898</v>
          </cell>
          <cell r="R18">
            <v>133.70000000000002</v>
          </cell>
          <cell r="S18">
            <v>169.49999999999991</v>
          </cell>
          <cell r="U18">
            <v>1611</v>
          </cell>
          <cell r="V18">
            <v>816.6</v>
          </cell>
          <cell r="W18">
            <v>2427.6</v>
          </cell>
          <cell r="Y18">
            <v>638.4</v>
          </cell>
          <cell r="Z18">
            <v>80</v>
          </cell>
          <cell r="AA18">
            <v>718.4</v>
          </cell>
          <cell r="AC18">
            <v>0</v>
          </cell>
          <cell r="AD18">
            <v>0</v>
          </cell>
          <cell r="AE18">
            <v>0</v>
          </cell>
          <cell r="AG18">
            <v>24.600000000000023</v>
          </cell>
          <cell r="AH18">
            <v>32</v>
          </cell>
          <cell r="AI18">
            <v>56.60000000000003</v>
          </cell>
          <cell r="AK18">
            <v>663</v>
          </cell>
          <cell r="AL18">
            <v>112</v>
          </cell>
          <cell r="AM18">
            <v>775</v>
          </cell>
          <cell r="AO18" t="str">
            <v>1994</v>
          </cell>
          <cell r="AP18">
            <v>327.8</v>
          </cell>
          <cell r="AQ18">
            <v>393</v>
          </cell>
          <cell r="AR18">
            <v>720.80000000000007</v>
          </cell>
          <cell r="AT18">
            <v>123.4</v>
          </cell>
          <cell r="AU18">
            <v>82.800000000000011</v>
          </cell>
          <cell r="AV18">
            <v>206.20000000000002</v>
          </cell>
          <cell r="AX18">
            <v>0</v>
          </cell>
          <cell r="AY18">
            <v>0</v>
          </cell>
          <cell r="AZ18">
            <v>0</v>
          </cell>
          <cell r="BB18">
            <v>174.1</v>
          </cell>
          <cell r="BC18">
            <v>650.29999999999995</v>
          </cell>
          <cell r="BD18">
            <v>824.40000000000009</v>
          </cell>
          <cell r="BF18">
            <v>625.29999999999995</v>
          </cell>
          <cell r="BG18">
            <v>1126.0999999999999</v>
          </cell>
          <cell r="BH18">
            <v>1751.4</v>
          </cell>
          <cell r="BJ18">
            <v>35.5</v>
          </cell>
          <cell r="BK18">
            <v>266.3</v>
          </cell>
          <cell r="BL18">
            <v>301.79999999999995</v>
          </cell>
          <cell r="BN18">
            <v>0.50000000000000089</v>
          </cell>
          <cell r="BO18">
            <v>60.7</v>
          </cell>
          <cell r="BP18">
            <v>61.2</v>
          </cell>
          <cell r="BR18">
            <v>36</v>
          </cell>
          <cell r="BS18">
            <v>327</v>
          </cell>
          <cell r="BT18">
            <v>363</v>
          </cell>
          <cell r="BV18" t="str">
            <v>1994</v>
          </cell>
          <cell r="BW18">
            <v>0</v>
          </cell>
          <cell r="BX18">
            <v>0</v>
          </cell>
          <cell r="BY18">
            <v>0</v>
          </cell>
          <cell r="CA18">
            <v>0</v>
          </cell>
          <cell r="CB18">
            <v>11.200000000000001</v>
          </cell>
          <cell r="CC18">
            <v>11.200000000000001</v>
          </cell>
          <cell r="CE18">
            <v>0</v>
          </cell>
          <cell r="CF18">
            <v>-0.19999999999999996</v>
          </cell>
          <cell r="CG18">
            <v>-0.19999999999999996</v>
          </cell>
          <cell r="CI18">
            <v>0</v>
          </cell>
          <cell r="CJ18">
            <v>11</v>
          </cell>
          <cell r="CK18">
            <v>11</v>
          </cell>
          <cell r="CM18">
            <v>23.6</v>
          </cell>
          <cell r="CN18">
            <v>0</v>
          </cell>
          <cell r="CO18">
            <v>23.6</v>
          </cell>
          <cell r="CP18">
            <v>0</v>
          </cell>
          <cell r="CQ18">
            <v>180.4</v>
          </cell>
          <cell r="CR18">
            <v>32</v>
          </cell>
          <cell r="CS18">
            <v>212.4</v>
          </cell>
          <cell r="CU18">
            <v>204</v>
          </cell>
          <cell r="CV18">
            <v>32</v>
          </cell>
          <cell r="CW18">
            <v>236</v>
          </cell>
          <cell r="CY18">
            <v>26.399999999999864</v>
          </cell>
          <cell r="CZ18">
            <v>220.79999999999998</v>
          </cell>
          <cell r="DA18">
            <v>247.19999999999985</v>
          </cell>
          <cell r="DC18" t="str">
            <v>1994</v>
          </cell>
          <cell r="DD18">
            <v>0</v>
          </cell>
          <cell r="DE18">
            <v>0</v>
          </cell>
          <cell r="DF18">
            <v>0</v>
          </cell>
          <cell r="DL18">
            <v>3165.7</v>
          </cell>
          <cell r="DM18">
            <v>2645.5</v>
          </cell>
          <cell r="DN18">
            <v>5811.2</v>
          </cell>
          <cell r="DP18">
            <v>175.1</v>
          </cell>
          <cell r="DQ18">
            <v>430.3</v>
          </cell>
          <cell r="DR18">
            <v>605.4</v>
          </cell>
          <cell r="DT18">
            <v>319</v>
          </cell>
          <cell r="DU18">
            <v>90</v>
          </cell>
          <cell r="DV18">
            <v>409</v>
          </cell>
          <cell r="DX18">
            <v>3614.8</v>
          </cell>
          <cell r="DY18">
            <v>3210.8</v>
          </cell>
          <cell r="DZ18">
            <v>6825.6</v>
          </cell>
        </row>
        <row r="20">
          <cell r="A20" t="str">
            <v xml:space="preserve">1995/94 </v>
          </cell>
          <cell r="AO20" t="str">
            <v xml:space="preserve">1995/94 </v>
          </cell>
          <cell r="BV20" t="str">
            <v xml:space="preserve">1995/94 </v>
          </cell>
          <cell r="DC20" t="str">
            <v xml:space="preserve">1995/94 </v>
          </cell>
        </row>
        <row r="21">
          <cell r="A21" t="str">
            <v xml:space="preserve"> 1Q</v>
          </cell>
          <cell r="B21">
            <v>-2.2314787265694733E-2</v>
          </cell>
          <cell r="C21" t="str">
            <v>NM</v>
          </cell>
          <cell r="D21">
            <v>-2.2314787265694733E-2</v>
          </cell>
          <cell r="F21">
            <v>0.89176090468497571</v>
          </cell>
          <cell r="G21">
            <v>0.61605206073752705</v>
          </cell>
          <cell r="H21">
            <v>0.72680077871512028</v>
          </cell>
          <cell r="J21">
            <v>0.34955752212389374</v>
          </cell>
          <cell r="K21">
            <v>0.15151515151515152</v>
          </cell>
          <cell r="L21">
            <v>0.21359223300970884</v>
          </cell>
          <cell r="Q21">
            <v>-0.30630630630631034</v>
          </cell>
          <cell r="R21">
            <v>-3.0864197530864192E-2</v>
          </cell>
          <cell r="S21">
            <v>-0.10114942528735717</v>
          </cell>
          <cell r="U21">
            <v>0.12091730368311325</v>
          </cell>
          <cell r="V21">
            <v>0.36358414704192998</v>
          </cell>
          <cell r="W21">
            <v>0.19065698250247609</v>
          </cell>
          <cell r="Y21">
            <v>0.47598870056497183</v>
          </cell>
          <cell r="Z21">
            <v>0.84313725490196068</v>
          </cell>
          <cell r="AA21">
            <v>0.51179094964945815</v>
          </cell>
          <cell r="AC21" t="str">
            <v>NM</v>
          </cell>
          <cell r="AD21" t="str">
            <v>NM</v>
          </cell>
          <cell r="AE21" t="str">
            <v>NM</v>
          </cell>
          <cell r="AG21">
            <v>9.3749999999999029E-2</v>
          </cell>
          <cell r="AH21">
            <v>1.2987012987013173E-2</v>
          </cell>
          <cell r="AI21">
            <v>4.9645390070921669E-2</v>
          </cell>
          <cell r="AK21">
            <v>0.45945945945945948</v>
          </cell>
          <cell r="AL21">
            <v>0.56521739130434778</v>
          </cell>
          <cell r="AM21">
            <v>0.47368421052631576</v>
          </cell>
          <cell r="AO21" t="str">
            <v xml:space="preserve"> 1Q</v>
          </cell>
          <cell r="AP21">
            <v>0.33240223463687169</v>
          </cell>
          <cell r="AQ21">
            <v>0.2023255813953489</v>
          </cell>
          <cell r="AR21">
            <v>0.26142131979695443</v>
          </cell>
          <cell r="AT21">
            <v>0.65373961218836563</v>
          </cell>
          <cell r="AU21">
            <v>2.9909909909909906</v>
          </cell>
          <cell r="AV21">
            <v>1.2033898305084745</v>
          </cell>
          <cell r="AX21" t="str">
            <v>NM</v>
          </cell>
          <cell r="AY21" t="str">
            <v>NM</v>
          </cell>
          <cell r="AZ21" t="str">
            <v>NM</v>
          </cell>
          <cell r="BB21">
            <v>-1.4675052410902415E-2</v>
          </cell>
          <cell r="BC21">
            <v>1.7964071856286401E-3</v>
          </cell>
          <cell r="BD21">
            <v>-1.863064741500058E-3</v>
          </cell>
          <cell r="BF21">
            <v>0.30051480051480045</v>
          </cell>
          <cell r="BG21">
            <v>0.19273002650511159</v>
          </cell>
          <cell r="BH21">
            <v>0.23265792610250302</v>
          </cell>
          <cell r="BJ21">
            <v>-0.43396226415094336</v>
          </cell>
          <cell r="BK21">
            <v>-1.0819165378670831E-2</v>
          </cell>
          <cell r="BL21">
            <v>-7.0385126162018558E-2</v>
          </cell>
          <cell r="BN21" t="str">
            <v xml:space="preserve">  NM</v>
          </cell>
          <cell r="BO21">
            <v>-1.8404907975459951E-2</v>
          </cell>
          <cell r="BP21">
            <v>-4.1916167664670413E-2</v>
          </cell>
          <cell r="BR21">
            <v>-0.45454545454545453</v>
          </cell>
          <cell r="BS21">
            <v>-1.2345679012345678E-2</v>
          </cell>
          <cell r="BT21">
            <v>-6.5217391304347824E-2</v>
          </cell>
          <cell r="BV21" t="str">
            <v xml:space="preserve"> 1Q</v>
          </cell>
          <cell r="BW21" t="str">
            <v>NM</v>
          </cell>
          <cell r="BX21" t="str">
            <v>NM</v>
          </cell>
          <cell r="BY21" t="str">
            <v>NM</v>
          </cell>
          <cell r="CA21" t="str">
            <v xml:space="preserve">    NM</v>
          </cell>
          <cell r="CB21">
            <v>0.53846153846153844</v>
          </cell>
          <cell r="CC21" t="str">
            <v xml:space="preserve">    NM</v>
          </cell>
          <cell r="CE21" t="str">
            <v xml:space="preserve">   NM</v>
          </cell>
          <cell r="CF21" t="str">
            <v xml:space="preserve">  NM</v>
          </cell>
          <cell r="CG21" t="str">
            <v xml:space="preserve">   NM</v>
          </cell>
          <cell r="CI21" t="str">
            <v xml:space="preserve">   NM</v>
          </cell>
          <cell r="CJ21">
            <v>1</v>
          </cell>
          <cell r="CK21">
            <v>1</v>
          </cell>
          <cell r="CM21" t="str">
            <v xml:space="preserve">    NM</v>
          </cell>
          <cell r="CN21" t="str">
            <v xml:space="preserve">    NM</v>
          </cell>
          <cell r="CO21" t="str">
            <v xml:space="preserve">    NM</v>
          </cell>
          <cell r="CQ21">
            <v>-0.58360655737704925</v>
          </cell>
          <cell r="CR21">
            <v>0.14285714285714285</v>
          </cell>
          <cell r="CS21">
            <v>-0.50882352941176467</v>
          </cell>
          <cell r="CU21">
            <v>-0.34426229508196721</v>
          </cell>
          <cell r="CV21">
            <v>0.14285714285714285</v>
          </cell>
          <cell r="CW21">
            <v>-0.29411764705882354</v>
          </cell>
          <cell r="CY21">
            <v>-0.49350649350649384</v>
          </cell>
          <cell r="CZ21">
            <v>0.27233115468409846</v>
          </cell>
          <cell r="DA21">
            <v>0.16231343283582353</v>
          </cell>
          <cell r="DC21" t="str">
            <v xml:space="preserve"> 1Q</v>
          </cell>
          <cell r="DD21" t="str">
            <v xml:space="preserve">    NM</v>
          </cell>
          <cell r="DE21" t="str">
            <v xml:space="preserve">    NM</v>
          </cell>
          <cell r="DF21" t="str">
            <v xml:space="preserve">    NM</v>
          </cell>
          <cell r="DL21">
            <v>0.16826215022091315</v>
          </cell>
          <cell r="DM21">
            <v>0.23603422244589842</v>
          </cell>
          <cell r="DN21">
            <v>0.19689559855411434</v>
          </cell>
          <cell r="DP21">
            <v>1.5691906005221936</v>
          </cell>
          <cell r="DQ21">
            <v>0.6327102803738317</v>
          </cell>
          <cell r="DR21">
            <v>0.87955953200275294</v>
          </cell>
          <cell r="DT21">
            <v>-0.10666666666666667</v>
          </cell>
          <cell r="DU21">
            <v>-3.125E-2</v>
          </cell>
          <cell r="DV21">
            <v>-8.4112149532710276E-2</v>
          </cell>
          <cell r="DX21">
            <v>0.20385734295873295</v>
          </cell>
          <cell r="DY21">
            <v>0.2821384845599238</v>
          </cell>
          <cell r="DZ21">
            <v>0.2384559884559887</v>
          </cell>
        </row>
        <row r="22">
          <cell r="A22" t="str">
            <v xml:space="preserve"> 2Q</v>
          </cell>
          <cell r="B22">
            <v>-3.4841810172206604E-2</v>
          </cell>
          <cell r="C22" t="str">
            <v>NM</v>
          </cell>
          <cell r="D22">
            <v>-3.4841810172206604E-2</v>
          </cell>
          <cell r="F22">
            <v>0.75037369207772775</v>
          </cell>
          <cell r="G22">
            <v>0.69860465116279069</v>
          </cell>
          <cell r="H22">
            <v>0.71846330275229342</v>
          </cell>
          <cell r="J22">
            <v>0.47826086956521752</v>
          </cell>
          <cell r="K22">
            <v>0.32588454376163872</v>
          </cell>
          <cell r="L22">
            <v>0.36827956989247318</v>
          </cell>
          <cell r="Q22">
            <v>-8.4507042253524733E-2</v>
          </cell>
          <cell r="R22">
            <v>0.17868338557993602</v>
          </cell>
          <cell r="S22">
            <v>0.13076923076922925</v>
          </cell>
          <cell r="U22">
            <v>0.14750290360046461</v>
          </cell>
          <cell r="V22">
            <v>0.509062661833247</v>
          </cell>
          <cell r="W22">
            <v>0.27739534883720912</v>
          </cell>
          <cell r="Y22">
            <v>0.44096728307254623</v>
          </cell>
          <cell r="Z22">
            <v>1.1264367816091956</v>
          </cell>
          <cell r="AA22">
            <v>0.51645569620253162</v>
          </cell>
          <cell r="AC22" t="str">
            <v>NM</v>
          </cell>
          <cell r="AD22" t="str">
            <v>NM</v>
          </cell>
          <cell r="AE22" t="str">
            <v>NM</v>
          </cell>
          <cell r="AG22">
            <v>-0.18518518518518498</v>
          </cell>
          <cell r="AH22">
            <v>4.651162790697657E-2</v>
          </cell>
          <cell r="AI22">
            <v>-4.2857142857142934E-2</v>
          </cell>
          <cell r="AK22">
            <v>0.4178082191780822</v>
          </cell>
          <cell r="AL22">
            <v>0.76923076923076927</v>
          </cell>
          <cell r="AM22">
            <v>0.47093023255813954</v>
          </cell>
          <cell r="AO22" t="str">
            <v xml:space="preserve"> 2Q</v>
          </cell>
          <cell r="AP22">
            <v>0.21003963011889024</v>
          </cell>
          <cell r="AQ22">
            <v>0.35173160173160173</v>
          </cell>
          <cell r="AR22">
            <v>0.28792385484830441</v>
          </cell>
          <cell r="AT22">
            <v>0.8533333333333335</v>
          </cell>
          <cell r="AU22">
            <v>2.8285714285714287</v>
          </cell>
          <cell r="AV22">
            <v>1.6109589041095893</v>
          </cell>
          <cell r="AX22" t="str">
            <v>NM</v>
          </cell>
          <cell r="AY22" t="str">
            <v>NM</v>
          </cell>
          <cell r="AZ22" t="str">
            <v>NM</v>
          </cell>
          <cell r="BB22">
            <v>-1.4888337468982844E-2</v>
          </cell>
          <cell r="BC22">
            <v>0.19730639730639737</v>
          </cell>
          <cell r="BD22">
            <v>0.15201271186440671</v>
          </cell>
          <cell r="BF22">
            <v>0.24909747292418771</v>
          </cell>
          <cell r="BG22">
            <v>0.39780306002353866</v>
          </cell>
          <cell r="BH22">
            <v>0.34544992374173866</v>
          </cell>
          <cell r="BJ22">
            <v>-0.1304347826086957</v>
          </cell>
          <cell r="BK22">
            <v>0.12164296998420226</v>
          </cell>
          <cell r="BL22">
            <v>9.6866096866096818E-2</v>
          </cell>
          <cell r="BN22" t="str">
            <v xml:space="preserve">  NM</v>
          </cell>
          <cell r="BO22">
            <v>0.30841121495327067</v>
          </cell>
          <cell r="BP22">
            <v>0.38888888888888856</v>
          </cell>
          <cell r="BR22">
            <v>0</v>
          </cell>
          <cell r="BS22">
            <v>0.14864864864864866</v>
          </cell>
          <cell r="BT22">
            <v>0.13580246913580246</v>
          </cell>
          <cell r="BV22" t="str">
            <v xml:space="preserve"> 2Q</v>
          </cell>
          <cell r="BW22" t="str">
            <v>NM</v>
          </cell>
          <cell r="BX22" t="str">
            <v>NM</v>
          </cell>
          <cell r="BY22" t="str">
            <v>NM</v>
          </cell>
          <cell r="CA22" t="str">
            <v xml:space="preserve">    NM</v>
          </cell>
          <cell r="CB22">
            <v>9.9999999999999936E-2</v>
          </cell>
          <cell r="CC22">
            <v>9.9999999999999936E-2</v>
          </cell>
          <cell r="CE22" t="str">
            <v xml:space="preserve">   NM</v>
          </cell>
          <cell r="CF22" t="str">
            <v xml:space="preserve">  NM</v>
          </cell>
          <cell r="CG22" t="str">
            <v xml:space="preserve">   NM</v>
          </cell>
          <cell r="CI22" t="str">
            <v xml:space="preserve">   NM</v>
          </cell>
          <cell r="CJ22">
            <v>0</v>
          </cell>
          <cell r="CK22">
            <v>1</v>
          </cell>
          <cell r="CM22">
            <v>1.7083333333333335</v>
          </cell>
          <cell r="CN22" t="str">
            <v xml:space="preserve">    NM</v>
          </cell>
          <cell r="CO22">
            <v>1.7083333333333335</v>
          </cell>
          <cell r="CQ22">
            <v>-0.57991803278688525</v>
          </cell>
          <cell r="CR22">
            <v>0.125</v>
          </cell>
          <cell r="CS22">
            <v>-0.48063380281690138</v>
          </cell>
          <cell r="CU22">
            <v>-0.2857142857142857</v>
          </cell>
          <cell r="CV22">
            <v>0.125</v>
          </cell>
          <cell r="CW22">
            <v>-0.234375</v>
          </cell>
          <cell r="CY22" t="str">
            <v xml:space="preserve">    NM</v>
          </cell>
          <cell r="CZ22">
            <v>0.25751879699248142</v>
          </cell>
          <cell r="DA22">
            <v>1.1945392491468839E-2</v>
          </cell>
          <cell r="DC22" t="str">
            <v xml:space="preserve"> 2Q</v>
          </cell>
          <cell r="DD22" t="str">
            <v xml:space="preserve">    NM</v>
          </cell>
          <cell r="DE22" t="str">
            <v xml:space="preserve">    NM</v>
          </cell>
          <cell r="DF22" t="str">
            <v xml:space="preserve">    NM</v>
          </cell>
          <cell r="DL22">
            <v>0.17252258712175544</v>
          </cell>
          <cell r="DM22">
            <v>0.40084939562234556</v>
          </cell>
          <cell r="DN22">
            <v>0.27926689576174113</v>
          </cell>
          <cell r="DP22">
            <v>1.2938144329896908</v>
          </cell>
          <cell r="DQ22">
            <v>0.91033138401559466</v>
          </cell>
          <cell r="DR22">
            <v>1.015558698727016</v>
          </cell>
          <cell r="DT22">
            <v>-0.17333333333333334</v>
          </cell>
          <cell r="DU22">
            <v>0.1875</v>
          </cell>
          <cell r="DV22">
            <v>-6.5420560747663545E-2</v>
          </cell>
          <cell r="DX22">
            <v>0.19418074220194814</v>
          </cell>
          <cell r="DY22">
            <v>0.46170326727370087</v>
          </cell>
          <cell r="DZ22">
            <v>0.32242120803645913</v>
          </cell>
        </row>
        <row r="23">
          <cell r="A23" t="str">
            <v xml:space="preserve"> 3Q</v>
          </cell>
          <cell r="B23">
            <v>-2.7341079972659308E-3</v>
          </cell>
          <cell r="C23" t="str">
            <v>NM</v>
          </cell>
          <cell r="D23">
            <v>-2.7341079972659308E-3</v>
          </cell>
          <cell r="F23">
            <v>0.5821917808219178</v>
          </cell>
          <cell r="G23">
            <v>0.59901800327332244</v>
          </cell>
          <cell r="H23">
            <v>0.59199237368922775</v>
          </cell>
          <cell r="J23">
            <v>0.43129770992366417</v>
          </cell>
          <cell r="K23">
            <v>0.29347826086956524</v>
          </cell>
          <cell r="L23">
            <v>0.33783783783783783</v>
          </cell>
          <cell r="Q23">
            <v>-0.35294117647058393</v>
          </cell>
          <cell r="R23">
            <v>0.23100303951367759</v>
          </cell>
          <cell r="S23">
            <v>0.11111111111111248</v>
          </cell>
          <cell r="U23">
            <v>0.14099783080260306</v>
          </cell>
          <cell r="V23">
            <v>0.46124583927722301</v>
          </cell>
          <cell r="W23">
            <v>0.24872040946896992</v>
          </cell>
          <cell r="Y23">
            <v>0.34917940011318632</v>
          </cell>
          <cell r="Z23">
            <v>0.88235294117647067</v>
          </cell>
          <cell r="AA23">
            <v>0.4043632673769661</v>
          </cell>
          <cell r="AC23" t="str">
            <v>NM</v>
          </cell>
          <cell r="AD23" t="str">
            <v>NM</v>
          </cell>
          <cell r="AE23" t="str">
            <v>NM</v>
          </cell>
          <cell r="AG23">
            <v>-0.26984126984127205</v>
          </cell>
          <cell r="AH23">
            <v>0.13157894736842102</v>
          </cell>
          <cell r="AI23">
            <v>-5.0359712230217006E-2</v>
          </cell>
          <cell r="AK23">
            <v>0.32786885245901637</v>
          </cell>
          <cell r="AL23">
            <v>0.6785714285714286</v>
          </cell>
          <cell r="AM23">
            <v>0.37440758293838861</v>
          </cell>
          <cell r="AO23" t="str">
            <v xml:space="preserve"> 3Q</v>
          </cell>
          <cell r="AP23">
            <v>6.4687168610816637E-2</v>
          </cell>
          <cell r="AQ23">
            <v>0.27395934172313646</v>
          </cell>
          <cell r="AR23">
            <v>0.17408906882591096</v>
          </cell>
          <cell r="AT23">
            <v>0.19066147859922189</v>
          </cell>
          <cell r="AU23">
            <v>0.96842105263157885</v>
          </cell>
          <cell r="AV23">
            <v>0.52125279642058153</v>
          </cell>
          <cell r="AX23" t="str">
            <v>NM</v>
          </cell>
          <cell r="AY23" t="str">
            <v>NM</v>
          </cell>
          <cell r="AZ23" t="str">
            <v>NM</v>
          </cell>
          <cell r="BB23">
            <v>7.3529411764705857E-2</v>
          </cell>
          <cell r="BC23">
            <v>0.10556621880998079</v>
          </cell>
          <cell r="BD23">
            <v>9.8934550989345504E-2</v>
          </cell>
          <cell r="BF23">
            <v>8.7064676616915415E-2</v>
          </cell>
          <cell r="BG23">
            <v>0.22684852835606598</v>
          </cell>
          <cell r="BH23">
            <v>0.17569412835685022</v>
          </cell>
          <cell r="BJ23">
            <v>-0.17647058823529416</v>
          </cell>
          <cell r="BK23">
            <v>6.6565809379727781E-2</v>
          </cell>
          <cell r="BL23">
            <v>4.3895747599451349E-2</v>
          </cell>
          <cell r="BN23" t="str">
            <v xml:space="preserve">  NM</v>
          </cell>
          <cell r="BO23">
            <v>0.10062893081760967</v>
          </cell>
          <cell r="BP23">
            <v>4.9689440993788407E-2</v>
          </cell>
          <cell r="BR23">
            <v>-0.2857142857142857</v>
          </cell>
          <cell r="BS23">
            <v>7.3170731707317069E-2</v>
          </cell>
          <cell r="BT23">
            <v>4.49438202247191E-2</v>
          </cell>
          <cell r="BV23" t="str">
            <v xml:space="preserve"> 3Q</v>
          </cell>
          <cell r="BW23" t="str">
            <v>NM</v>
          </cell>
          <cell r="BX23" t="str">
            <v>NM</v>
          </cell>
          <cell r="BY23" t="str">
            <v>NM</v>
          </cell>
          <cell r="CA23" t="str">
            <v xml:space="preserve">    NM</v>
          </cell>
          <cell r="CB23">
            <v>0</v>
          </cell>
          <cell r="CC23">
            <v>0</v>
          </cell>
          <cell r="CE23" t="str">
            <v xml:space="preserve">   NM</v>
          </cell>
          <cell r="CF23" t="str">
            <v xml:space="preserve">  NM</v>
          </cell>
          <cell r="CG23" t="str">
            <v xml:space="preserve">   NM</v>
          </cell>
          <cell r="CI23" t="str">
            <v xml:space="preserve">   NM</v>
          </cell>
          <cell r="CJ23">
            <v>0</v>
          </cell>
          <cell r="CK23">
            <v>0.5</v>
          </cell>
          <cell r="CM23">
            <v>3.9555555555555557</v>
          </cell>
          <cell r="CN23" t="str">
            <v xml:space="preserve">    NM</v>
          </cell>
          <cell r="CO23">
            <v>3.9555555555555557</v>
          </cell>
          <cell r="CQ23">
            <v>-0.59220779220779218</v>
          </cell>
          <cell r="CR23">
            <v>0.125</v>
          </cell>
          <cell r="CS23">
            <v>-0.46881720430107526</v>
          </cell>
          <cell r="CU23">
            <v>-0.11627906976744186</v>
          </cell>
          <cell r="CV23">
            <v>0.125</v>
          </cell>
          <cell r="CW23">
            <v>-7.8431372549019607E-2</v>
          </cell>
          <cell r="CY23">
            <v>0.85245901639345489</v>
          </cell>
          <cell r="CZ23">
            <v>-1.4336917562725234E-2</v>
          </cell>
          <cell r="DA23">
            <v>7.1082390953149902E-2</v>
          </cell>
          <cell r="DC23" t="str">
            <v xml:space="preserve"> 3Q</v>
          </cell>
          <cell r="DD23" t="str">
            <v xml:space="preserve">    NM</v>
          </cell>
          <cell r="DE23" t="str">
            <v xml:space="preserve">    NM</v>
          </cell>
          <cell r="DF23" t="str">
            <v xml:space="preserve">    NM</v>
          </cell>
          <cell r="DL23">
            <v>0.16286205203730983</v>
          </cell>
          <cell r="DM23">
            <v>0.2780860956952152</v>
          </cell>
          <cell r="DN23">
            <v>0.21471481606479914</v>
          </cell>
          <cell r="DP23">
            <v>1.54</v>
          </cell>
          <cell r="DQ23">
            <v>0.89247311827956988</v>
          </cell>
          <cell r="DR23">
            <v>1.118881118881119</v>
          </cell>
          <cell r="DT23">
            <v>-5.3333333333333337E-2</v>
          </cell>
          <cell r="DU23">
            <v>0.12121212121212122</v>
          </cell>
          <cell r="DV23">
            <v>0</v>
          </cell>
          <cell r="DX23">
            <v>0.21887635667163233</v>
          </cell>
          <cell r="DY23">
            <v>0.34363567553929586</v>
          </cell>
          <cell r="DZ23">
            <v>0.2759595959595959</v>
          </cell>
        </row>
        <row r="24">
          <cell r="A24" t="str">
            <v xml:space="preserve"> 4Q</v>
          </cell>
          <cell r="B24">
            <v>-8.7684069611780407E-2</v>
          </cell>
          <cell r="C24" t="str">
            <v>NM</v>
          </cell>
          <cell r="D24">
            <v>-8.7684069611780407E-2</v>
          </cell>
          <cell r="F24">
            <v>0.72822299651567968</v>
          </cell>
          <cell r="G24">
            <v>0.51326815642458101</v>
          </cell>
          <cell r="H24">
            <v>0.59398168338421298</v>
          </cell>
          <cell r="J24">
            <v>0.52692307692307705</v>
          </cell>
          <cell r="K24">
            <v>0.26430976430976422</v>
          </cell>
          <cell r="L24">
            <v>0.3442622950819671</v>
          </cell>
          <cell r="Q24">
            <v>-0.3296703296703351</v>
          </cell>
          <cell r="R24">
            <v>-1.6438356164382627E-2</v>
          </cell>
          <cell r="S24">
            <v>-7.8947368421053085E-2</v>
          </cell>
          <cell r="U24">
            <v>0.11238095238095236</v>
          </cell>
          <cell r="V24">
            <v>0.37055625261396902</v>
          </cell>
          <cell r="W24">
            <v>0.20603853739948408</v>
          </cell>
          <cell r="Y24">
            <v>0.31754874651810583</v>
          </cell>
          <cell r="Z24">
            <v>0.84758364312267676</v>
          </cell>
          <cell r="AA24">
            <v>0.3866279069767441</v>
          </cell>
          <cell r="AC24" t="str">
            <v>NM</v>
          </cell>
          <cell r="AD24" t="str">
            <v>NM</v>
          </cell>
          <cell r="AE24" t="str">
            <v>NM</v>
          </cell>
          <cell r="AG24">
            <v>-0.61538461538461542</v>
          </cell>
          <cell r="AH24">
            <v>2.4691358024690826E-2</v>
          </cell>
          <cell r="AI24">
            <v>-0.26027397260273999</v>
          </cell>
          <cell r="AK24">
            <v>0.28494623655913981</v>
          </cell>
          <cell r="AL24">
            <v>0.65714285714285714</v>
          </cell>
          <cell r="AM24">
            <v>0.34389140271493213</v>
          </cell>
          <cell r="AO24" t="str">
            <v xml:space="preserve"> 4Q</v>
          </cell>
          <cell r="AP24">
            <v>0.17285382830626439</v>
          </cell>
          <cell r="AQ24">
            <v>0.16981132075471692</v>
          </cell>
          <cell r="AR24">
            <v>0.17113924050632903</v>
          </cell>
          <cell r="AT24">
            <v>0.91815856777493599</v>
          </cell>
          <cell r="AU24">
            <v>0.47803617571059426</v>
          </cell>
          <cell r="AV24">
            <v>0.6992287917737785</v>
          </cell>
          <cell r="AX24" t="str">
            <v>NM</v>
          </cell>
          <cell r="AY24" t="str">
            <v>NM</v>
          </cell>
          <cell r="AZ24" t="str">
            <v>NM</v>
          </cell>
          <cell r="BB24">
            <v>-4.8565121412803301E-2</v>
          </cell>
          <cell r="BC24">
            <v>-1.3445378151260377E-2</v>
          </cell>
          <cell r="BD24">
            <v>-2.0554066130473485E-2</v>
          </cell>
          <cell r="BF24">
            <v>0.28487690504103164</v>
          </cell>
          <cell r="BG24">
            <v>0.106544901065449</v>
          </cell>
          <cell r="BH24">
            <v>0.1675015027048688</v>
          </cell>
          <cell r="BJ24">
            <v>-0.38392857142857134</v>
          </cell>
          <cell r="BK24">
            <v>4.2936288088642575E-2</v>
          </cell>
          <cell r="BL24">
            <v>-1.4388489208633127E-2</v>
          </cell>
          <cell r="BN24" t="str">
            <v xml:space="preserve">  NM</v>
          </cell>
          <cell r="BO24">
            <v>-0.11797752808988735</v>
          </cell>
          <cell r="BP24">
            <v>-0.10227272727272703</v>
          </cell>
          <cell r="BR24">
            <v>-0.36363636363636365</v>
          </cell>
          <cell r="BS24">
            <v>1.1111111111111112E-2</v>
          </cell>
          <cell r="BT24">
            <v>-2.9702970297029702E-2</v>
          </cell>
          <cell r="BV24" t="str">
            <v xml:space="preserve"> 4Q</v>
          </cell>
          <cell r="BW24" t="str">
            <v>NM</v>
          </cell>
          <cell r="BX24" t="str">
            <v>NM</v>
          </cell>
          <cell r="BY24" t="str">
            <v>NM</v>
          </cell>
          <cell r="CA24" t="str">
            <v xml:space="preserve">    NM</v>
          </cell>
          <cell r="CB24">
            <v>-0.58620689655172409</v>
          </cell>
          <cell r="CC24">
            <v>-0.58620689655172409</v>
          </cell>
          <cell r="CE24" t="str">
            <v xml:space="preserve">   NM</v>
          </cell>
          <cell r="CF24" t="str">
            <v xml:space="preserve">  NM</v>
          </cell>
          <cell r="CG24" t="str">
            <v xml:space="preserve">   NM</v>
          </cell>
          <cell r="CI24" t="str">
            <v xml:space="preserve">   NM</v>
          </cell>
          <cell r="CJ24">
            <v>-0.66666666666666663</v>
          </cell>
          <cell r="CK24">
            <v>0.33333333333333331</v>
          </cell>
          <cell r="CM24">
            <v>1.1344537815126048</v>
          </cell>
          <cell r="CN24" t="str">
            <v xml:space="preserve">    NM</v>
          </cell>
          <cell r="CO24">
            <v>1.1344537815126048</v>
          </cell>
          <cell r="CQ24">
            <v>-0.32710280373831774</v>
          </cell>
          <cell r="CR24">
            <v>0</v>
          </cell>
          <cell r="CS24">
            <v>-0.25547445255474449</v>
          </cell>
          <cell r="CU24">
            <v>6.8181818181818177E-2</v>
          </cell>
          <cell r="CV24">
            <v>0</v>
          </cell>
          <cell r="CW24">
            <v>5.6603773584905662E-2</v>
          </cell>
          <cell r="CY24">
            <v>-0.36111111111111233</v>
          </cell>
          <cell r="CZ24">
            <v>7.4355083459787238E-2</v>
          </cell>
          <cell r="DA24">
            <v>3.1463748290013471E-2</v>
          </cell>
          <cell r="DC24" t="str">
            <v xml:space="preserve"> 4Q</v>
          </cell>
          <cell r="DD24" t="str">
            <v xml:space="preserve">    NM</v>
          </cell>
          <cell r="DE24" t="str">
            <v xml:space="preserve">    NM</v>
          </cell>
          <cell r="DF24" t="str">
            <v xml:space="preserve">    NM</v>
          </cell>
          <cell r="DL24">
            <v>0.17668097281831194</v>
          </cell>
          <cell r="DM24">
            <v>0.19532770927968851</v>
          </cell>
          <cell r="DN24">
            <v>0.18560864972348229</v>
          </cell>
          <cell r="DP24">
            <v>1.5</v>
          </cell>
          <cell r="DQ24">
            <v>0.86374314800313234</v>
          </cell>
          <cell r="DR24">
            <v>1.0375640295959023</v>
          </cell>
          <cell r="DT24">
            <v>0</v>
          </cell>
          <cell r="DU24">
            <v>0</v>
          </cell>
          <cell r="DV24">
            <v>0</v>
          </cell>
          <cell r="DX24">
            <v>0.23530668946356065</v>
          </cell>
          <cell r="DY24">
            <v>0.27857295449690234</v>
          </cell>
          <cell r="DZ24">
            <v>0.25694444444444442</v>
          </cell>
        </row>
        <row r="26">
          <cell r="A26" t="str">
            <v xml:space="preserve">1995/94 </v>
          </cell>
          <cell r="B26">
            <v>-3.669724770642202E-2</v>
          </cell>
          <cell r="C26" t="str">
            <v>NM</v>
          </cell>
          <cell r="D26">
            <v>-3.669724770642202E-2</v>
          </cell>
          <cell r="F26">
            <v>0.72429752066115682</v>
          </cell>
          <cell r="G26">
            <v>0.59901096538378873</v>
          </cell>
          <cell r="H26">
            <v>0.64838457529963534</v>
          </cell>
          <cell r="J26">
            <v>0.44816753926701591</v>
          </cell>
          <cell r="K26">
            <v>0.26124885215794302</v>
          </cell>
          <cell r="L26">
            <v>0.31822534312160888</v>
          </cell>
          <cell r="Q26">
            <v>-0.27932960893854986</v>
          </cell>
          <cell r="R26">
            <v>8.7509349289453864E-2</v>
          </cell>
          <cell r="S26">
            <v>1.0029498525073288E-2</v>
          </cell>
          <cell r="U26">
            <v>0.12954686530105519</v>
          </cell>
          <cell r="V26">
            <v>0.4251775655155523</v>
          </cell>
          <cell r="W26">
            <v>0.22899159663865554</v>
          </cell>
          <cell r="Y26">
            <v>0.38862781954887216</v>
          </cell>
          <cell r="Z26">
            <v>0.91625000000000023</v>
          </cell>
          <cell r="AA26">
            <v>0.44738307349665929</v>
          </cell>
          <cell r="AC26" t="str">
            <v>NM</v>
          </cell>
          <cell r="AD26" t="str">
            <v>NM</v>
          </cell>
          <cell r="AE26" t="str">
            <v>NM</v>
          </cell>
          <cell r="AG26">
            <v>-0.24796747967479749</v>
          </cell>
          <cell r="AH26">
            <v>5.3125000000000089E-2</v>
          </cell>
          <cell r="AI26">
            <v>-7.7738515901060512E-2</v>
          </cell>
          <cell r="AK26">
            <v>0.36500754147812975</v>
          </cell>
          <cell r="AL26">
            <v>0.66964285714285721</v>
          </cell>
          <cell r="AM26">
            <v>0.40903225806451604</v>
          </cell>
          <cell r="AO26" t="str">
            <v xml:space="preserve">1995/94 </v>
          </cell>
          <cell r="AP26">
            <v>0.18517388651616828</v>
          </cell>
          <cell r="AQ26">
            <v>0.24707379134860052</v>
          </cell>
          <cell r="AR26">
            <v>0.21892341842397323</v>
          </cell>
          <cell r="AT26">
            <v>0.67747163695299828</v>
          </cell>
          <cell r="AU26">
            <v>1.32487922705314</v>
          </cell>
          <cell r="AV26">
            <v>0.93743937924345278</v>
          </cell>
          <cell r="AW26" t="e">
            <v>#DIV/0!</v>
          </cell>
          <cell r="AX26" t="str">
            <v>NM</v>
          </cell>
          <cell r="AY26" t="str">
            <v>NM</v>
          </cell>
          <cell r="AZ26" t="str">
            <v>NM</v>
          </cell>
          <cell r="BB26">
            <v>-2.8719126938542283E-3</v>
          </cell>
          <cell r="BC26">
            <v>6.7199753959711117E-2</v>
          </cell>
          <cell r="BD26">
            <v>5.240174672489073E-2</v>
          </cell>
          <cell r="BF26">
            <v>0.22996961458499943</v>
          </cell>
          <cell r="BG26">
            <v>0.22244916082053101</v>
          </cell>
          <cell r="BH26">
            <v>0.22513417837158833</v>
          </cell>
          <cell r="BJ26">
            <v>-0.3098591549295775</v>
          </cell>
          <cell r="BK26">
            <v>5.4449868569282689E-2</v>
          </cell>
          <cell r="BL26">
            <v>1.159708416169658E-2</v>
          </cell>
          <cell r="BN26" t="str">
            <v xml:space="preserve">  NM</v>
          </cell>
          <cell r="BO26">
            <v>4.1186161449752845E-2</v>
          </cell>
          <cell r="BP26">
            <v>4.0849673202614456E-2</v>
          </cell>
          <cell r="BR26">
            <v>-0.30555555555555558</v>
          </cell>
          <cell r="BS26">
            <v>5.1987767584097844E-2</v>
          </cell>
          <cell r="BT26">
            <v>1.6528925619834656E-2</v>
          </cell>
          <cell r="BV26" t="str">
            <v xml:space="preserve">1995/94 </v>
          </cell>
          <cell r="BW26" t="str">
            <v>NM</v>
          </cell>
          <cell r="BX26" t="str">
            <v>NM</v>
          </cell>
          <cell r="BY26" t="str">
            <v>NM</v>
          </cell>
          <cell r="CA26" t="str">
            <v xml:space="preserve">    NM</v>
          </cell>
          <cell r="CB26">
            <v>-6.2500000000000111E-2</v>
          </cell>
          <cell r="CC26">
            <v>-6.2500000000000111E-2</v>
          </cell>
          <cell r="CE26" t="str">
            <v xml:space="preserve">   NM</v>
          </cell>
          <cell r="CF26" t="str">
            <v xml:space="preserve">  NM</v>
          </cell>
          <cell r="CG26" t="str">
            <v xml:space="preserve">   NM</v>
          </cell>
          <cell r="CI26" t="str">
            <v xml:space="preserve">   NM</v>
          </cell>
          <cell r="CJ26">
            <v>-9.0909090909090939E-2</v>
          </cell>
          <cell r="CK26">
            <v>0.63636363636363646</v>
          </cell>
          <cell r="CM26">
            <v>2.4661016949152543</v>
          </cell>
          <cell r="CN26" t="str">
            <v xml:space="preserve">    NM</v>
          </cell>
          <cell r="CO26">
            <v>2.4661016949152543</v>
          </cell>
          <cell r="CQ26">
            <v>-0.53880266075388028</v>
          </cell>
          <cell r="CR26">
            <v>9.375E-2</v>
          </cell>
          <cell r="CS26">
            <v>-0.44350282485875714</v>
          </cell>
          <cell r="CU26">
            <v>-0.19117647058823528</v>
          </cell>
          <cell r="CV26">
            <v>9.375E-2</v>
          </cell>
          <cell r="CW26">
            <v>-0.15254237288135597</v>
          </cell>
          <cell r="CY26">
            <v>-0.53787878787878585</v>
          </cell>
          <cell r="CZ26">
            <v>0.13722826086956541</v>
          </cell>
          <cell r="DA26">
            <v>6.5129449838188469E-2</v>
          </cell>
          <cell r="DC26" t="str">
            <v xml:space="preserve">1995/94 </v>
          </cell>
          <cell r="DD26" t="str">
            <v xml:space="preserve">    NM</v>
          </cell>
          <cell r="DE26" t="str">
            <v xml:space="preserve">    NM</v>
          </cell>
          <cell r="DF26" t="str">
            <v xml:space="preserve">    NM</v>
          </cell>
          <cell r="DL26">
            <v>0.17004138105316366</v>
          </cell>
          <cell r="DM26">
            <v>0.27291627291627291</v>
          </cell>
          <cell r="DN26">
            <v>0.21687431167400884</v>
          </cell>
          <cell r="DP26">
            <v>1.4808680753854937</v>
          </cell>
          <cell r="DQ26">
            <v>0.82361143388333724</v>
          </cell>
          <cell r="DR26">
            <v>1.0137099438387842</v>
          </cell>
          <cell r="DT26">
            <v>-9.0909090909090912E-2</v>
          </cell>
          <cell r="DU26">
            <v>3.3333333333333333E-2</v>
          </cell>
          <cell r="DV26">
            <v>-3.9119804400977995E-2</v>
          </cell>
          <cell r="DX26">
            <v>0.21373243332964464</v>
          </cell>
          <cell r="DY26">
            <v>0.33804659274947041</v>
          </cell>
          <cell r="DZ26">
            <v>0.2722105016408814</v>
          </cell>
        </row>
        <row r="28">
          <cell r="A28" t="str">
            <v>1995</v>
          </cell>
          <cell r="AO28" t="str">
            <v>1995</v>
          </cell>
          <cell r="BV28" t="str">
            <v>1995</v>
          </cell>
          <cell r="DC28" t="str">
            <v>1995</v>
          </cell>
        </row>
        <row r="29">
          <cell r="A29" t="str">
            <v xml:space="preserve"> 1Q</v>
          </cell>
          <cell r="B29">
            <v>328.6</v>
          </cell>
          <cell r="C29">
            <v>0</v>
          </cell>
          <cell r="D29">
            <v>328.6</v>
          </cell>
          <cell r="F29">
            <v>117.1</v>
          </cell>
          <cell r="G29">
            <v>149</v>
          </cell>
          <cell r="H29">
            <v>266.10000000000002</v>
          </cell>
          <cell r="J29">
            <v>30.5</v>
          </cell>
          <cell r="K29">
            <v>57</v>
          </cell>
          <cell r="L29">
            <v>87.5</v>
          </cell>
          <cell r="Q29">
            <v>7.6999999999999318</v>
          </cell>
          <cell r="R29">
            <v>31.400000000000006</v>
          </cell>
          <cell r="S29">
            <v>39.099999999999937</v>
          </cell>
          <cell r="U29">
            <v>483.9</v>
          </cell>
          <cell r="V29">
            <v>237.4</v>
          </cell>
          <cell r="W29">
            <v>721.3</v>
          </cell>
          <cell r="Y29">
            <v>209</v>
          </cell>
          <cell r="Z29">
            <v>28.2</v>
          </cell>
          <cell r="AA29">
            <v>237.2</v>
          </cell>
          <cell r="AC29">
            <v>0</v>
          </cell>
          <cell r="AD29">
            <v>0</v>
          </cell>
          <cell r="AE29">
            <v>0</v>
          </cell>
          <cell r="AG29">
            <v>7</v>
          </cell>
          <cell r="AH29">
            <v>7.8000000000000007</v>
          </cell>
          <cell r="AI29">
            <v>14.8</v>
          </cell>
          <cell r="AK29">
            <v>216</v>
          </cell>
          <cell r="AL29">
            <v>36</v>
          </cell>
          <cell r="AM29">
            <v>252</v>
          </cell>
          <cell r="AO29" t="str">
            <v xml:space="preserve"> 1Q</v>
          </cell>
          <cell r="AP29">
            <v>95.4</v>
          </cell>
          <cell r="AQ29">
            <v>103.4</v>
          </cell>
          <cell r="AR29">
            <v>198.8</v>
          </cell>
          <cell r="AT29">
            <v>59.7</v>
          </cell>
          <cell r="AU29">
            <v>44.3</v>
          </cell>
          <cell r="AV29">
            <v>104</v>
          </cell>
          <cell r="AX29">
            <v>0</v>
          </cell>
          <cell r="AY29">
            <v>0</v>
          </cell>
          <cell r="AZ29">
            <v>0</v>
          </cell>
          <cell r="BB29">
            <v>46.999999999999972</v>
          </cell>
          <cell r="BC29">
            <v>167.3</v>
          </cell>
          <cell r="BD29">
            <v>214.29999999999998</v>
          </cell>
          <cell r="BF29">
            <v>202.1</v>
          </cell>
          <cell r="BG29">
            <v>315</v>
          </cell>
          <cell r="BH29">
            <v>517.1</v>
          </cell>
          <cell r="BJ29">
            <v>6</v>
          </cell>
          <cell r="BK29">
            <v>64</v>
          </cell>
          <cell r="BL29">
            <v>70</v>
          </cell>
          <cell r="BN29">
            <v>0</v>
          </cell>
          <cell r="BO29">
            <v>16</v>
          </cell>
          <cell r="BP29">
            <v>16</v>
          </cell>
          <cell r="BR29">
            <v>6</v>
          </cell>
          <cell r="BS29">
            <v>80</v>
          </cell>
          <cell r="BT29">
            <v>86</v>
          </cell>
          <cell r="BV29" t="str">
            <v xml:space="preserve"> 1Q</v>
          </cell>
          <cell r="BW29">
            <v>0</v>
          </cell>
          <cell r="BX29">
            <v>0</v>
          </cell>
          <cell r="BY29">
            <v>0</v>
          </cell>
          <cell r="CA29">
            <v>0</v>
          </cell>
          <cell r="CB29">
            <v>2</v>
          </cell>
          <cell r="CC29">
            <v>2</v>
          </cell>
          <cell r="CE29">
            <v>0</v>
          </cell>
          <cell r="CF29">
            <v>0</v>
          </cell>
          <cell r="CG29">
            <v>0</v>
          </cell>
          <cell r="CI29">
            <v>0</v>
          </cell>
          <cell r="CJ29">
            <v>2</v>
          </cell>
          <cell r="CK29">
            <v>2</v>
          </cell>
          <cell r="CM29">
            <v>14.6</v>
          </cell>
          <cell r="CN29">
            <v>0</v>
          </cell>
          <cell r="CO29">
            <v>14.6</v>
          </cell>
          <cell r="CQ29">
            <v>25.4</v>
          </cell>
          <cell r="CR29">
            <v>8</v>
          </cell>
          <cell r="CS29">
            <v>33.4</v>
          </cell>
          <cell r="CU29">
            <v>40</v>
          </cell>
          <cell r="CV29">
            <v>8</v>
          </cell>
          <cell r="CW29">
            <v>48</v>
          </cell>
          <cell r="CY29">
            <v>3.8999999999999773</v>
          </cell>
          <cell r="CZ29">
            <v>58.400000000000091</v>
          </cell>
          <cell r="DA29">
            <v>62.300000000000068</v>
          </cell>
          <cell r="DC29" t="str">
            <v xml:space="preserve"> 1Q</v>
          </cell>
          <cell r="DD29">
            <v>0</v>
          </cell>
          <cell r="DE29">
            <v>0</v>
          </cell>
          <cell r="DF29">
            <v>0</v>
          </cell>
          <cell r="DL29">
            <v>951.9</v>
          </cell>
          <cell r="DM29">
            <v>736.80000000000007</v>
          </cell>
          <cell r="DN29">
            <v>1688.7</v>
          </cell>
          <cell r="DP29">
            <v>98.4</v>
          </cell>
          <cell r="DQ29">
            <v>174.7</v>
          </cell>
          <cell r="DR29">
            <v>273.10000000000002</v>
          </cell>
          <cell r="DT29">
            <v>67</v>
          </cell>
          <cell r="DU29">
            <v>31</v>
          </cell>
          <cell r="DV29">
            <v>98</v>
          </cell>
          <cell r="DX29">
            <v>1117.3</v>
          </cell>
          <cell r="DY29">
            <v>942.5</v>
          </cell>
          <cell r="DZ29">
            <v>2059.8000000000002</v>
          </cell>
        </row>
        <row r="30">
          <cell r="A30" t="str">
            <v xml:space="preserve"> 2Q</v>
          </cell>
          <cell r="B30">
            <v>241</v>
          </cell>
          <cell r="C30">
            <v>0</v>
          </cell>
          <cell r="D30">
            <v>241</v>
          </cell>
          <cell r="F30">
            <v>117.1</v>
          </cell>
          <cell r="G30">
            <v>182.6</v>
          </cell>
          <cell r="H30">
            <v>299.7</v>
          </cell>
          <cell r="J30">
            <v>30.6</v>
          </cell>
          <cell r="K30">
            <v>71.2</v>
          </cell>
          <cell r="L30">
            <v>101.80000000000001</v>
          </cell>
          <cell r="Q30">
            <v>6.4999999999999432</v>
          </cell>
          <cell r="R30">
            <v>37.599999999999966</v>
          </cell>
          <cell r="S30">
            <v>44.099999999999909</v>
          </cell>
          <cell r="U30">
            <v>395.2</v>
          </cell>
          <cell r="V30">
            <v>291.39999999999998</v>
          </cell>
          <cell r="W30">
            <v>686.59999999999991</v>
          </cell>
          <cell r="Y30">
            <v>202.6</v>
          </cell>
          <cell r="Z30">
            <v>37</v>
          </cell>
          <cell r="AA30">
            <v>239.6</v>
          </cell>
          <cell r="AC30">
            <v>0</v>
          </cell>
          <cell r="AD30">
            <v>0</v>
          </cell>
          <cell r="AE30">
            <v>0</v>
          </cell>
          <cell r="AG30">
            <v>4.4000000000000057</v>
          </cell>
          <cell r="AH30">
            <v>9</v>
          </cell>
          <cell r="AI30">
            <v>13.400000000000006</v>
          </cell>
          <cell r="AK30">
            <v>207</v>
          </cell>
          <cell r="AL30">
            <v>46</v>
          </cell>
          <cell r="AM30">
            <v>253</v>
          </cell>
          <cell r="AO30" t="str">
            <v xml:space="preserve"> 2Q</v>
          </cell>
          <cell r="AP30">
            <v>91.6</v>
          </cell>
          <cell r="AQ30">
            <v>124.9</v>
          </cell>
          <cell r="AR30">
            <v>216.5</v>
          </cell>
          <cell r="AT30">
            <v>41.7</v>
          </cell>
          <cell r="AU30">
            <v>53.6</v>
          </cell>
          <cell r="AV30">
            <v>95.300000000000011</v>
          </cell>
          <cell r="AX30">
            <v>0</v>
          </cell>
          <cell r="AY30">
            <v>0</v>
          </cell>
          <cell r="AZ30">
            <v>0</v>
          </cell>
          <cell r="BB30">
            <v>39.699999999999989</v>
          </cell>
          <cell r="BC30">
            <v>177.8</v>
          </cell>
          <cell r="BD30">
            <v>217.5</v>
          </cell>
          <cell r="BF30">
            <v>173</v>
          </cell>
          <cell r="BG30">
            <v>356.3</v>
          </cell>
          <cell r="BH30">
            <v>529.29999999999995</v>
          </cell>
          <cell r="BJ30">
            <v>6</v>
          </cell>
          <cell r="BK30">
            <v>71</v>
          </cell>
          <cell r="BL30">
            <v>77</v>
          </cell>
          <cell r="BN30">
            <v>1</v>
          </cell>
          <cell r="BO30">
            <v>14</v>
          </cell>
          <cell r="BP30">
            <v>15</v>
          </cell>
          <cell r="BR30">
            <v>7</v>
          </cell>
          <cell r="BS30">
            <v>85</v>
          </cell>
          <cell r="BT30">
            <v>92</v>
          </cell>
          <cell r="BV30" t="str">
            <v xml:space="preserve"> 2Q</v>
          </cell>
          <cell r="BW30">
            <v>0</v>
          </cell>
          <cell r="BX30">
            <v>0</v>
          </cell>
          <cell r="BY30">
            <v>0</v>
          </cell>
          <cell r="CA30">
            <v>0</v>
          </cell>
          <cell r="CB30">
            <v>3.3</v>
          </cell>
          <cell r="CC30">
            <v>3.3</v>
          </cell>
          <cell r="CE30">
            <v>3</v>
          </cell>
          <cell r="CF30">
            <v>-0.29999999999999982</v>
          </cell>
          <cell r="CG30">
            <v>2.7</v>
          </cell>
          <cell r="CI30">
            <v>3</v>
          </cell>
          <cell r="CJ30">
            <v>3</v>
          </cell>
          <cell r="CK30">
            <v>6</v>
          </cell>
          <cell r="CM30">
            <v>19.5</v>
          </cell>
          <cell r="CN30">
            <v>0</v>
          </cell>
          <cell r="CO30">
            <v>19.5</v>
          </cell>
          <cell r="CQ30">
            <v>20.5</v>
          </cell>
          <cell r="CR30">
            <v>9</v>
          </cell>
          <cell r="CS30">
            <v>29.5</v>
          </cell>
          <cell r="CU30">
            <v>40</v>
          </cell>
          <cell r="CV30">
            <v>9</v>
          </cell>
          <cell r="CW30">
            <v>49</v>
          </cell>
          <cell r="CY30">
            <v>-7.5999999999999659</v>
          </cell>
          <cell r="CZ30">
            <v>66.900000000000034</v>
          </cell>
          <cell r="DA30">
            <v>59.300000000000068</v>
          </cell>
          <cell r="DC30" t="str">
            <v xml:space="preserve"> 2Q</v>
          </cell>
          <cell r="DD30">
            <v>0</v>
          </cell>
          <cell r="DE30">
            <v>0</v>
          </cell>
          <cell r="DF30">
            <v>0</v>
          </cell>
          <cell r="DL30">
            <v>817.6</v>
          </cell>
          <cell r="DM30">
            <v>857.6</v>
          </cell>
          <cell r="DN30">
            <v>1675.2</v>
          </cell>
          <cell r="DP30">
            <v>89</v>
          </cell>
          <cell r="DQ30">
            <v>196</v>
          </cell>
          <cell r="DR30">
            <v>285</v>
          </cell>
          <cell r="DT30">
            <v>62</v>
          </cell>
          <cell r="DU30">
            <v>38</v>
          </cell>
          <cell r="DV30">
            <v>100</v>
          </cell>
          <cell r="DX30">
            <v>968.6</v>
          </cell>
          <cell r="DY30">
            <v>1091.5999999999999</v>
          </cell>
          <cell r="DZ30">
            <v>2060.1999999999998</v>
          </cell>
        </row>
        <row r="31">
          <cell r="A31" t="str">
            <v xml:space="preserve"> 3Q</v>
          </cell>
          <cell r="B31">
            <v>291.8</v>
          </cell>
          <cell r="C31">
            <v>0</v>
          </cell>
          <cell r="D31">
            <v>291.8</v>
          </cell>
          <cell r="F31">
            <v>138.6</v>
          </cell>
          <cell r="G31">
            <v>195.4</v>
          </cell>
          <cell r="H31">
            <v>334</v>
          </cell>
          <cell r="J31">
            <v>37.5</v>
          </cell>
          <cell r="K31">
            <v>71.400000000000006</v>
          </cell>
          <cell r="L31">
            <v>108.9</v>
          </cell>
          <cell r="Q31">
            <v>5.5</v>
          </cell>
          <cell r="R31">
            <v>40.5</v>
          </cell>
          <cell r="S31">
            <v>46</v>
          </cell>
          <cell r="U31">
            <v>473.4</v>
          </cell>
          <cell r="V31">
            <v>307.3</v>
          </cell>
          <cell r="W31">
            <v>780.7</v>
          </cell>
          <cell r="Y31">
            <v>238.4</v>
          </cell>
          <cell r="Z31">
            <v>38.4</v>
          </cell>
          <cell r="AA31">
            <v>276.8</v>
          </cell>
          <cell r="AC31">
            <v>0</v>
          </cell>
          <cell r="AD31">
            <v>0</v>
          </cell>
          <cell r="AE31">
            <v>0</v>
          </cell>
          <cell r="AG31">
            <v>4.5999999999999943</v>
          </cell>
          <cell r="AH31">
            <v>8.6000000000000014</v>
          </cell>
          <cell r="AI31">
            <v>13.199999999999996</v>
          </cell>
          <cell r="AK31">
            <v>243</v>
          </cell>
          <cell r="AL31">
            <v>47</v>
          </cell>
          <cell r="AM31">
            <v>290</v>
          </cell>
          <cell r="AO31" t="str">
            <v xml:space="preserve"> 3Q</v>
          </cell>
          <cell r="AP31">
            <v>100.4</v>
          </cell>
          <cell r="AQ31">
            <v>131.6</v>
          </cell>
          <cell r="AR31">
            <v>232</v>
          </cell>
          <cell r="AT31">
            <v>30.6</v>
          </cell>
          <cell r="AU31">
            <v>37.4</v>
          </cell>
          <cell r="AV31">
            <v>68</v>
          </cell>
          <cell r="AX31">
            <v>0</v>
          </cell>
          <cell r="AY31">
            <v>0</v>
          </cell>
          <cell r="AZ31">
            <v>0</v>
          </cell>
          <cell r="BB31">
            <v>43.800000000000011</v>
          </cell>
          <cell r="BC31">
            <v>172.8</v>
          </cell>
          <cell r="BD31">
            <v>216.60000000000002</v>
          </cell>
          <cell r="BF31">
            <v>174.8</v>
          </cell>
          <cell r="BG31">
            <v>341.8</v>
          </cell>
          <cell r="BH31">
            <v>516.6</v>
          </cell>
          <cell r="BJ31">
            <v>5.6</v>
          </cell>
          <cell r="BK31">
            <v>70.5</v>
          </cell>
          <cell r="BL31">
            <v>76.099999999999994</v>
          </cell>
          <cell r="BN31">
            <v>-0.59999999999999964</v>
          </cell>
          <cell r="BO31">
            <v>17.5</v>
          </cell>
          <cell r="BP31">
            <v>16.899999999999999</v>
          </cell>
          <cell r="BR31">
            <v>5</v>
          </cell>
          <cell r="BS31">
            <v>88</v>
          </cell>
          <cell r="BT31">
            <v>93</v>
          </cell>
          <cell r="BV31" t="str">
            <v xml:space="preserve"> 3Q</v>
          </cell>
          <cell r="BW31">
            <v>0</v>
          </cell>
          <cell r="BX31">
            <v>0</v>
          </cell>
          <cell r="BY31">
            <v>0</v>
          </cell>
          <cell r="CA31">
            <v>0</v>
          </cell>
          <cell r="CB31">
            <v>4</v>
          </cell>
          <cell r="CC31">
            <v>4</v>
          </cell>
          <cell r="CE31">
            <v>2</v>
          </cell>
          <cell r="CF31">
            <v>0</v>
          </cell>
          <cell r="CG31">
            <v>2</v>
          </cell>
          <cell r="CI31">
            <v>2</v>
          </cell>
          <cell r="CJ31">
            <v>4</v>
          </cell>
          <cell r="CK31">
            <v>6</v>
          </cell>
          <cell r="CM31">
            <v>22.3</v>
          </cell>
          <cell r="CN31">
            <v>0</v>
          </cell>
          <cell r="CO31">
            <v>22.3</v>
          </cell>
          <cell r="CQ31">
            <v>15.7</v>
          </cell>
          <cell r="CR31">
            <v>9</v>
          </cell>
          <cell r="CS31">
            <v>24.7</v>
          </cell>
          <cell r="CU31">
            <v>38</v>
          </cell>
          <cell r="CV31">
            <v>9</v>
          </cell>
          <cell r="CW31">
            <v>47</v>
          </cell>
          <cell r="CY31">
            <v>11.300000000000011</v>
          </cell>
          <cell r="CZ31">
            <v>54.999999999999943</v>
          </cell>
          <cell r="DA31">
            <v>66.299999999999955</v>
          </cell>
          <cell r="DC31" t="str">
            <v xml:space="preserve"> 3Q</v>
          </cell>
          <cell r="DD31">
            <v>0</v>
          </cell>
          <cell r="DE31">
            <v>0</v>
          </cell>
          <cell r="DF31">
            <v>0</v>
          </cell>
          <cell r="DL31">
            <v>947.5</v>
          </cell>
          <cell r="DM31">
            <v>852.1</v>
          </cell>
          <cell r="DN31">
            <v>1799.6</v>
          </cell>
          <cell r="DP31">
            <v>127</v>
          </cell>
          <cell r="DQ31">
            <v>176</v>
          </cell>
          <cell r="DR31">
            <v>303</v>
          </cell>
          <cell r="DT31">
            <v>71</v>
          </cell>
          <cell r="DU31">
            <v>37</v>
          </cell>
          <cell r="DV31">
            <v>108</v>
          </cell>
          <cell r="DX31">
            <v>1145.5</v>
          </cell>
          <cell r="DY31">
            <v>1065.0999999999999</v>
          </cell>
          <cell r="DZ31">
            <v>2210.6</v>
          </cell>
        </row>
        <row r="32">
          <cell r="A32" t="str">
            <v xml:space="preserve"> 4Q</v>
          </cell>
          <cell r="B32">
            <v>272.60000000000002</v>
          </cell>
          <cell r="C32">
            <v>0</v>
          </cell>
          <cell r="D32">
            <v>272.60000000000002</v>
          </cell>
          <cell r="F32">
            <v>148.80000000000001</v>
          </cell>
          <cell r="G32">
            <v>216.7</v>
          </cell>
          <cell r="H32">
            <v>365.5</v>
          </cell>
          <cell r="J32">
            <v>39.700000000000003</v>
          </cell>
          <cell r="K32">
            <v>75.099999999999994</v>
          </cell>
          <cell r="L32">
            <v>114.8</v>
          </cell>
          <cell r="Q32">
            <v>6.0999999999999659</v>
          </cell>
          <cell r="R32">
            <v>35.900000000000034</v>
          </cell>
          <cell r="S32">
            <v>42</v>
          </cell>
          <cell r="U32">
            <v>467.2</v>
          </cell>
          <cell r="V32">
            <v>327.7</v>
          </cell>
          <cell r="W32">
            <v>794.9</v>
          </cell>
          <cell r="Y32">
            <v>236.5</v>
          </cell>
          <cell r="Z32">
            <v>49.7</v>
          </cell>
          <cell r="AA32">
            <v>286.2</v>
          </cell>
          <cell r="AC32">
            <v>0</v>
          </cell>
          <cell r="AD32">
            <v>0</v>
          </cell>
          <cell r="AE32">
            <v>0</v>
          </cell>
          <cell r="AG32">
            <v>2.5</v>
          </cell>
          <cell r="AH32">
            <v>8.2999999999999972</v>
          </cell>
          <cell r="AI32">
            <v>10.799999999999997</v>
          </cell>
          <cell r="AK32">
            <v>239</v>
          </cell>
          <cell r="AL32">
            <v>58</v>
          </cell>
          <cell r="AM32">
            <v>297</v>
          </cell>
          <cell r="AO32" t="str">
            <v xml:space="preserve"> 4Q</v>
          </cell>
          <cell r="AP32">
            <v>101.1</v>
          </cell>
          <cell r="AQ32">
            <v>130.19999999999999</v>
          </cell>
          <cell r="AR32">
            <v>231.29999999999998</v>
          </cell>
          <cell r="AT32">
            <v>75</v>
          </cell>
          <cell r="AU32">
            <v>57.2</v>
          </cell>
          <cell r="AV32">
            <v>132.19999999999999</v>
          </cell>
          <cell r="AX32">
            <v>0</v>
          </cell>
          <cell r="AY32">
            <v>0</v>
          </cell>
          <cell r="AZ32">
            <v>0</v>
          </cell>
          <cell r="BB32">
            <v>43.099999999999994</v>
          </cell>
          <cell r="BC32">
            <v>176.10000000000002</v>
          </cell>
          <cell r="BD32">
            <v>219.20000000000002</v>
          </cell>
          <cell r="BF32">
            <v>219.2</v>
          </cell>
          <cell r="BG32">
            <v>363.5</v>
          </cell>
          <cell r="BH32">
            <v>582.70000000000005</v>
          </cell>
          <cell r="BJ32">
            <v>6.9</v>
          </cell>
          <cell r="BK32">
            <v>75.3</v>
          </cell>
          <cell r="BL32">
            <v>82.2</v>
          </cell>
          <cell r="BN32">
            <v>9.9999999999999645E-2</v>
          </cell>
          <cell r="BO32">
            <v>15.700000000000003</v>
          </cell>
          <cell r="BP32">
            <v>15.800000000000002</v>
          </cell>
          <cell r="BR32">
            <v>7</v>
          </cell>
          <cell r="BS32">
            <v>91</v>
          </cell>
          <cell r="BT32">
            <v>98</v>
          </cell>
          <cell r="BV32" t="str">
            <v xml:space="preserve"> 4Q</v>
          </cell>
          <cell r="BW32">
            <v>0</v>
          </cell>
          <cell r="BX32">
            <v>0</v>
          </cell>
          <cell r="BY32">
            <v>0</v>
          </cell>
          <cell r="CA32">
            <v>0</v>
          </cell>
          <cell r="CB32">
            <v>1.2</v>
          </cell>
          <cell r="CC32">
            <v>1.2</v>
          </cell>
          <cell r="CE32">
            <v>3</v>
          </cell>
          <cell r="CF32">
            <v>-0.19999999999999996</v>
          </cell>
          <cell r="CG32">
            <v>2.8</v>
          </cell>
          <cell r="CI32">
            <v>3</v>
          </cell>
          <cell r="CJ32">
            <v>1</v>
          </cell>
          <cell r="CK32">
            <v>4</v>
          </cell>
          <cell r="CM32">
            <v>25.4</v>
          </cell>
          <cell r="CN32">
            <v>0</v>
          </cell>
          <cell r="CO32">
            <v>25.4</v>
          </cell>
          <cell r="CQ32">
            <v>21.6</v>
          </cell>
          <cell r="CR32">
            <v>9</v>
          </cell>
          <cell r="CS32">
            <v>30.6</v>
          </cell>
          <cell r="CU32">
            <v>47</v>
          </cell>
          <cell r="CV32">
            <v>9</v>
          </cell>
          <cell r="CW32">
            <v>56</v>
          </cell>
          <cell r="CY32">
            <v>4.5999999999999659</v>
          </cell>
          <cell r="CZ32">
            <v>70.799999999999955</v>
          </cell>
          <cell r="DA32">
            <v>75.39999999999992</v>
          </cell>
          <cell r="DC32" t="str">
            <v xml:space="preserve"> 4Q</v>
          </cell>
          <cell r="DD32">
            <v>0</v>
          </cell>
          <cell r="DE32">
            <v>0</v>
          </cell>
          <cell r="DF32">
            <v>0</v>
          </cell>
          <cell r="DL32">
            <v>987</v>
          </cell>
          <cell r="DM32">
            <v>921</v>
          </cell>
          <cell r="DN32">
            <v>1908</v>
          </cell>
          <cell r="DP32">
            <v>120</v>
          </cell>
          <cell r="DQ32">
            <v>238</v>
          </cell>
          <cell r="DR32">
            <v>358</v>
          </cell>
          <cell r="DT32">
            <v>49</v>
          </cell>
          <cell r="DU32">
            <v>38</v>
          </cell>
          <cell r="DV32">
            <v>87</v>
          </cell>
          <cell r="DX32">
            <v>1156</v>
          </cell>
          <cell r="DY32">
            <v>1197</v>
          </cell>
          <cell r="DZ32">
            <v>2353</v>
          </cell>
        </row>
        <row r="34">
          <cell r="A34" t="str">
            <v>1995</v>
          </cell>
          <cell r="B34">
            <v>1134</v>
          </cell>
          <cell r="C34">
            <v>0</v>
          </cell>
          <cell r="D34">
            <v>1134</v>
          </cell>
          <cell r="F34">
            <v>521.59999999999991</v>
          </cell>
          <cell r="G34">
            <v>743.7</v>
          </cell>
          <cell r="H34">
            <v>1265.3</v>
          </cell>
          <cell r="J34">
            <v>138.30000000000001</v>
          </cell>
          <cell r="K34">
            <v>274.7</v>
          </cell>
          <cell r="L34">
            <v>413.00000000000006</v>
          </cell>
          <cell r="Q34">
            <v>25.799999999999841</v>
          </cell>
          <cell r="R34">
            <v>145.4</v>
          </cell>
          <cell r="S34">
            <v>171.19999999999985</v>
          </cell>
          <cell r="U34">
            <v>1819.7</v>
          </cell>
          <cell r="V34">
            <v>1163.8</v>
          </cell>
          <cell r="W34">
            <v>2983.5</v>
          </cell>
          <cell r="Y34">
            <v>886.5</v>
          </cell>
          <cell r="Z34">
            <v>153.30000000000001</v>
          </cell>
          <cell r="AA34">
            <v>1039.8</v>
          </cell>
          <cell r="AC34">
            <v>0</v>
          </cell>
          <cell r="AD34">
            <v>0</v>
          </cell>
          <cell r="AE34">
            <v>0</v>
          </cell>
          <cell r="AG34">
            <v>18.5</v>
          </cell>
          <cell r="AH34">
            <v>33.700000000000003</v>
          </cell>
          <cell r="AI34">
            <v>52.2</v>
          </cell>
          <cell r="AJ34">
            <v>0</v>
          </cell>
          <cell r="AK34">
            <v>905</v>
          </cell>
          <cell r="AL34">
            <v>187</v>
          </cell>
          <cell r="AM34">
            <v>1092</v>
          </cell>
          <cell r="AO34" t="str">
            <v>1995</v>
          </cell>
          <cell r="AP34">
            <v>388.5</v>
          </cell>
          <cell r="AQ34">
            <v>490.09999999999997</v>
          </cell>
          <cell r="AR34">
            <v>878.59999999999991</v>
          </cell>
          <cell r="AT34">
            <v>207</v>
          </cell>
          <cell r="AU34">
            <v>192.5</v>
          </cell>
          <cell r="AV34">
            <v>399.5</v>
          </cell>
          <cell r="AW34">
            <v>0</v>
          </cell>
          <cell r="AX34">
            <v>0</v>
          </cell>
          <cell r="AY34">
            <v>0</v>
          </cell>
          <cell r="AZ34">
            <v>0</v>
          </cell>
          <cell r="BB34">
            <v>173.59999999999997</v>
          </cell>
          <cell r="BC34">
            <v>694.00000000000011</v>
          </cell>
          <cell r="BD34">
            <v>867.6</v>
          </cell>
          <cell r="BF34">
            <v>769.10000000000014</v>
          </cell>
          <cell r="BG34">
            <v>1376.6</v>
          </cell>
          <cell r="BH34">
            <v>2145.6999999999998</v>
          </cell>
          <cell r="BJ34">
            <v>24.5</v>
          </cell>
          <cell r="BK34">
            <v>280.8</v>
          </cell>
          <cell r="BL34">
            <v>305.3</v>
          </cell>
          <cell r="BN34">
            <v>0.5</v>
          </cell>
          <cell r="BO34">
            <v>63.2</v>
          </cell>
          <cell r="BP34">
            <v>63.7</v>
          </cell>
          <cell r="BR34">
            <v>25</v>
          </cell>
          <cell r="BS34">
            <v>344</v>
          </cell>
          <cell r="BT34">
            <v>369</v>
          </cell>
          <cell r="BV34" t="str">
            <v>1995</v>
          </cell>
          <cell r="BW34">
            <v>0</v>
          </cell>
          <cell r="BX34">
            <v>0</v>
          </cell>
          <cell r="BY34">
            <v>0</v>
          </cell>
          <cell r="CA34">
            <v>0</v>
          </cell>
          <cell r="CB34">
            <v>10.5</v>
          </cell>
          <cell r="CC34">
            <v>10.5</v>
          </cell>
          <cell r="CE34">
            <v>8</v>
          </cell>
          <cell r="CF34">
            <v>-0.49999999999999978</v>
          </cell>
          <cell r="CG34">
            <v>7.5</v>
          </cell>
          <cell r="CI34">
            <v>8</v>
          </cell>
          <cell r="CJ34">
            <v>10</v>
          </cell>
          <cell r="CK34">
            <v>18</v>
          </cell>
          <cell r="CM34">
            <v>81.800000000000011</v>
          </cell>
          <cell r="CN34">
            <v>0</v>
          </cell>
          <cell r="CO34">
            <v>81.800000000000011</v>
          </cell>
          <cell r="CQ34">
            <v>83.199999999999989</v>
          </cell>
          <cell r="CR34">
            <v>35</v>
          </cell>
          <cell r="CS34">
            <v>118.19999999999999</v>
          </cell>
          <cell r="CU34">
            <v>165</v>
          </cell>
          <cell r="CV34">
            <v>35</v>
          </cell>
          <cell r="CW34">
            <v>200</v>
          </cell>
          <cell r="CY34">
            <v>12.199999999999989</v>
          </cell>
          <cell r="CZ34">
            <v>251.10000000000002</v>
          </cell>
          <cell r="DA34">
            <v>263.3</v>
          </cell>
          <cell r="DC34" t="str">
            <v>1995</v>
          </cell>
          <cell r="DD34">
            <v>0</v>
          </cell>
          <cell r="DE34">
            <v>0</v>
          </cell>
          <cell r="DF34">
            <v>0</v>
          </cell>
          <cell r="DL34">
            <v>3704</v>
          </cell>
          <cell r="DM34">
            <v>3367.5</v>
          </cell>
          <cell r="DN34">
            <v>7071.5</v>
          </cell>
          <cell r="DP34">
            <v>434.4</v>
          </cell>
          <cell r="DQ34">
            <v>784.7</v>
          </cell>
          <cell r="DR34">
            <v>1219.0999999999999</v>
          </cell>
          <cell r="DT34">
            <v>290</v>
          </cell>
          <cell r="DU34">
            <v>93</v>
          </cell>
          <cell r="DV34">
            <v>393</v>
          </cell>
          <cell r="DX34">
            <v>4387.3999999999996</v>
          </cell>
          <cell r="DY34">
            <v>4296.2</v>
          </cell>
          <cell r="DZ34">
            <v>8683.6</v>
          </cell>
        </row>
        <row r="36">
          <cell r="A36" t="str">
            <v xml:space="preserve">1996/95 </v>
          </cell>
          <cell r="AO36" t="str">
            <v xml:space="preserve">1996/95 </v>
          </cell>
          <cell r="BV36" t="str">
            <v xml:space="preserve">1996/95 </v>
          </cell>
          <cell r="DC36" t="str">
            <v xml:space="preserve">1996/95 </v>
          </cell>
        </row>
        <row r="37">
          <cell r="A37" t="str">
            <v xml:space="preserve"> 1Q</v>
          </cell>
          <cell r="B37">
            <v>-7.2124163116250917E-2</v>
          </cell>
          <cell r="C37" t="str">
            <v>NM</v>
          </cell>
          <cell r="D37">
            <v>-7.2124163116250917E-2</v>
          </cell>
          <cell r="F37">
            <v>0.48932536293766016</v>
          </cell>
          <cell r="G37">
            <v>0.43221476510067114</v>
          </cell>
          <cell r="H37">
            <v>0.4573468620819241</v>
          </cell>
          <cell r="J37">
            <v>0.577049180327869</v>
          </cell>
          <cell r="K37">
            <v>0.29649122807017547</v>
          </cell>
          <cell r="L37">
            <v>0.39428571428571435</v>
          </cell>
          <cell r="Q37">
            <v>-0.3766233766233622</v>
          </cell>
          <cell r="R37">
            <v>3.8216560509552799E-2</v>
          </cell>
          <cell r="S37">
            <v>-4.3478260869562857E-2</v>
          </cell>
          <cell r="U37">
            <v>9.981401115933064E-2</v>
          </cell>
          <cell r="V37">
            <v>0.34751474304970498</v>
          </cell>
          <cell r="W37">
            <v>0.18133924857895467</v>
          </cell>
          <cell r="Y37">
            <v>0.31244019138755985</v>
          </cell>
          <cell r="Z37">
            <v>0.5070921985815604</v>
          </cell>
          <cell r="AA37">
            <v>0.33558178752107937</v>
          </cell>
          <cell r="AC37" t="str">
            <v>NM</v>
          </cell>
          <cell r="AD37" t="str">
            <v>NM</v>
          </cell>
          <cell r="AE37" t="str">
            <v>NM</v>
          </cell>
          <cell r="AG37">
            <v>-0.32857142857143018</v>
          </cell>
          <cell r="AH37">
            <v>-3.8461538461538547E-2</v>
          </cell>
          <cell r="AI37">
            <v>-0.17567567567567643</v>
          </cell>
          <cell r="AK37">
            <v>0.29166666666666674</v>
          </cell>
          <cell r="AL37">
            <v>0.38888888888888884</v>
          </cell>
          <cell r="AM37">
            <v>0.30555555555555558</v>
          </cell>
          <cell r="AO37" t="str">
            <v xml:space="preserve"> 1Q</v>
          </cell>
          <cell r="AP37">
            <v>2.515723270440251E-2</v>
          </cell>
          <cell r="AQ37">
            <v>0.13346228239845259</v>
          </cell>
          <cell r="AR37">
            <v>8.1488933601609581E-2</v>
          </cell>
          <cell r="AT37">
            <v>0.45393634840871</v>
          </cell>
          <cell r="AU37">
            <v>0.63882618510158018</v>
          </cell>
          <cell r="AV37">
            <v>0.53269230769230758</v>
          </cell>
          <cell r="AX37" t="str">
            <v>NM</v>
          </cell>
          <cell r="AY37" t="str">
            <v>NM</v>
          </cell>
          <cell r="AZ37" t="str">
            <v>NM</v>
          </cell>
          <cell r="BB37">
            <v>-0.15957446808510589</v>
          </cell>
          <cell r="BC37">
            <v>-4.3036461446503527E-2</v>
          </cell>
          <cell r="BD37">
            <v>-6.8595426971535312E-2</v>
          </cell>
          <cell r="BF37">
            <v>0.10885700148441368</v>
          </cell>
          <cell r="BG37">
            <v>0.11079365079365067</v>
          </cell>
          <cell r="BH37">
            <v>0.11003674337652281</v>
          </cell>
          <cell r="BJ37">
            <v>1.6666666666666607E-2</v>
          </cell>
          <cell r="BK37">
            <v>-6.2499999999999778E-3</v>
          </cell>
          <cell r="BL37">
            <v>-4.2857142857142261E-3</v>
          </cell>
          <cell r="BN37" t="str">
            <v xml:space="preserve">  NM</v>
          </cell>
          <cell r="BO37">
            <v>-0.16250000000000009</v>
          </cell>
          <cell r="BP37">
            <v>-0.16875000000000007</v>
          </cell>
          <cell r="BR37">
            <v>0</v>
          </cell>
          <cell r="BS37">
            <v>-3.7499999999999978E-2</v>
          </cell>
          <cell r="BT37">
            <v>-3.4883720930232509E-2</v>
          </cell>
          <cell r="BV37" t="str">
            <v xml:space="preserve"> 1Q</v>
          </cell>
          <cell r="BW37" t="str">
            <v>NM</v>
          </cell>
          <cell r="BX37" t="str">
            <v>NM</v>
          </cell>
          <cell r="BY37" t="str">
            <v>NM</v>
          </cell>
          <cell r="CA37" t="str">
            <v xml:space="preserve">    NM</v>
          </cell>
          <cell r="CB37">
            <v>-0.30000000000000004</v>
          </cell>
          <cell r="CC37" t="str">
            <v xml:space="preserve">    NM</v>
          </cell>
          <cell r="CE37" t="str">
            <v xml:space="preserve">   NM</v>
          </cell>
          <cell r="CF37" t="str">
            <v xml:space="preserve">  NM</v>
          </cell>
          <cell r="CG37" t="str">
            <v xml:space="preserve">   NM</v>
          </cell>
          <cell r="CI37" t="str">
            <v xml:space="preserve">    NM</v>
          </cell>
          <cell r="CJ37">
            <v>-0.5</v>
          </cell>
          <cell r="CK37" t="str">
            <v xml:space="preserve">    NM</v>
          </cell>
          <cell r="CM37">
            <v>0.83561643835616439</v>
          </cell>
          <cell r="CN37" t="str">
            <v xml:space="preserve">    NM</v>
          </cell>
          <cell r="CO37">
            <v>0.83561643835616439</v>
          </cell>
          <cell r="CQ37">
            <v>-0.36220472440944884</v>
          </cell>
          <cell r="CR37">
            <v>0</v>
          </cell>
          <cell r="CS37">
            <v>-0.27544910179640714</v>
          </cell>
          <cell r="CU37">
            <v>7.4999999999999956E-2</v>
          </cell>
          <cell r="CV37">
            <v>0</v>
          </cell>
          <cell r="CW37">
            <v>6.25E-2</v>
          </cell>
          <cell r="CY37">
            <v>-0.43589743589745011</v>
          </cell>
          <cell r="CZ37">
            <v>8.5616438356164171E-2</v>
          </cell>
          <cell r="DA37">
            <v>5.2969502407703928E-2</v>
          </cell>
          <cell r="DC37" t="str">
            <v xml:space="preserve"> 1Q</v>
          </cell>
          <cell r="DD37" t="str">
            <v xml:space="preserve">    NM</v>
          </cell>
          <cell r="DE37" t="str">
            <v xml:space="preserve">    NM</v>
          </cell>
          <cell r="DF37" t="str">
            <v xml:space="preserve">    NM</v>
          </cell>
          <cell r="DL37">
            <v>0.16976573169450576</v>
          </cell>
          <cell r="DM37">
            <v>0.17969598262757866</v>
          </cell>
          <cell r="DN37">
            <v>0.17409841890211405</v>
          </cell>
          <cell r="DP37">
            <v>-0.17682926829268297</v>
          </cell>
          <cell r="DQ37">
            <v>6.468231253577568E-2</v>
          </cell>
          <cell r="DR37">
            <v>-2.2336140607836039E-2</v>
          </cell>
          <cell r="DT37">
            <v>0.26865671641791045</v>
          </cell>
          <cell r="DU37">
            <v>0</v>
          </cell>
          <cell r="DV37">
            <v>0.18367346938775511</v>
          </cell>
          <cell r="DX37">
            <v>0.14517139532802295</v>
          </cell>
          <cell r="DY37">
            <v>0.1524668435013263</v>
          </cell>
          <cell r="DZ37">
            <v>0.14850956403534304</v>
          </cell>
        </row>
        <row r="38">
          <cell r="A38" t="str">
            <v xml:space="preserve"> 2Q</v>
          </cell>
          <cell r="B38">
            <v>-0.18672199170124482</v>
          </cell>
          <cell r="C38" t="str">
            <v>NM</v>
          </cell>
          <cell r="D38">
            <v>-0.18672199170124482</v>
          </cell>
          <cell r="F38">
            <v>0.4773697694278396</v>
          </cell>
          <cell r="G38">
            <v>0.35268346111719606</v>
          </cell>
          <cell r="H38">
            <v>0.40140140140140135</v>
          </cell>
          <cell r="J38">
            <v>0.50326797385620914</v>
          </cell>
          <cell r="K38">
            <v>0.12359550561797739</v>
          </cell>
          <cell r="L38">
            <v>0.23772102161100173</v>
          </cell>
          <cell r="Q38">
            <v>-0.53846153846153444</v>
          </cell>
          <cell r="R38">
            <v>-6.9148936170211894E-2</v>
          </cell>
          <cell r="S38">
            <v>-0.1383219954648508</v>
          </cell>
          <cell r="U38">
            <v>5.7692307692307709E-2</v>
          </cell>
          <cell r="V38">
            <v>0.24227865477007549</v>
          </cell>
          <cell r="W38">
            <v>0.13603262452665321</v>
          </cell>
          <cell r="Y38">
            <v>0.21915103652517276</v>
          </cell>
          <cell r="Z38">
            <v>0.37837837837837829</v>
          </cell>
          <cell r="AA38">
            <v>0.24373956594323887</v>
          </cell>
          <cell r="AC38" t="str">
            <v>NM</v>
          </cell>
          <cell r="AD38" t="str">
            <v>NM</v>
          </cell>
          <cell r="AE38" t="str">
            <v>NM</v>
          </cell>
          <cell r="AG38">
            <v>-0.31818181818181901</v>
          </cell>
          <cell r="AH38">
            <v>-0.22222222222222221</v>
          </cell>
          <cell r="AI38">
            <v>-0.25373134328358238</v>
          </cell>
          <cell r="AK38">
            <v>0.20772946859903385</v>
          </cell>
          <cell r="AL38">
            <v>0.26086956521739135</v>
          </cell>
          <cell r="AM38">
            <v>0.21739130434782616</v>
          </cell>
          <cell r="AO38" t="str">
            <v xml:space="preserve"> 2Q</v>
          </cell>
          <cell r="AP38">
            <v>0.10262008733624461</v>
          </cell>
          <cell r="AQ38">
            <v>-1.521216973578865E-2</v>
          </cell>
          <cell r="AR38">
            <v>3.4642032332563577E-2</v>
          </cell>
          <cell r="AT38">
            <v>0.82254196642685828</v>
          </cell>
          <cell r="AU38">
            <v>0.13805970149253732</v>
          </cell>
          <cell r="AV38">
            <v>0.43756558237145837</v>
          </cell>
          <cell r="AX38" t="str">
            <v>NM</v>
          </cell>
          <cell r="AY38" t="str">
            <v>NM</v>
          </cell>
          <cell r="AZ38" t="str">
            <v>NM</v>
          </cell>
          <cell r="BB38">
            <v>-9.3198992443324635E-2</v>
          </cell>
          <cell r="BC38">
            <v>-0.11136107986501698</v>
          </cell>
          <cell r="BD38">
            <v>-0.10804597701149421</v>
          </cell>
          <cell r="BF38">
            <v>0.23121387283237005</v>
          </cell>
          <cell r="BG38">
            <v>-4.0134717934324993E-2</v>
          </cell>
          <cell r="BH38">
            <v>4.8554694880030391E-2</v>
          </cell>
          <cell r="BJ38">
            <v>-0.33333333333333337</v>
          </cell>
          <cell r="BK38">
            <v>-4.2253521126760618E-2</v>
          </cell>
          <cell r="BL38">
            <v>-6.4935064935064957E-2</v>
          </cell>
          <cell r="BN38" t="str">
            <v xml:space="preserve">  NM</v>
          </cell>
          <cell r="BO38">
            <v>7.1428571428571397E-2</v>
          </cell>
          <cell r="BP38">
            <v>0</v>
          </cell>
          <cell r="BR38">
            <v>-0.4285714285714286</v>
          </cell>
          <cell r="BS38">
            <v>-2.352941176470591E-2</v>
          </cell>
          <cell r="BT38">
            <v>-5.4347826086956541E-2</v>
          </cell>
          <cell r="BV38" t="str">
            <v xml:space="preserve"> 2Q</v>
          </cell>
          <cell r="BW38" t="str">
            <v>NM</v>
          </cell>
          <cell r="BX38" t="str">
            <v>NM</v>
          </cell>
          <cell r="BY38" t="str">
            <v>NM</v>
          </cell>
          <cell r="CA38" t="str">
            <v xml:space="preserve">    NM</v>
          </cell>
          <cell r="CB38">
            <v>-0.39393939393939392</v>
          </cell>
          <cell r="CC38" t="str">
            <v xml:space="preserve">    NM</v>
          </cell>
          <cell r="CE38" t="str">
            <v xml:space="preserve">   NM</v>
          </cell>
          <cell r="CF38" t="str">
            <v xml:space="preserve">  NM</v>
          </cell>
          <cell r="CG38" t="str">
            <v xml:space="preserve">   NM</v>
          </cell>
          <cell r="CI38" t="str">
            <v xml:space="preserve">    NM</v>
          </cell>
          <cell r="CJ38">
            <v>-0.33333333333333337</v>
          </cell>
          <cell r="CK38" t="str">
            <v xml:space="preserve">    NM</v>
          </cell>
          <cell r="CM38">
            <v>0.53846153846153855</v>
          </cell>
          <cell r="CN38" t="str">
            <v xml:space="preserve">    NM</v>
          </cell>
          <cell r="CO38">
            <v>0.53846153846153855</v>
          </cell>
          <cell r="CQ38">
            <v>-0.51219512195121952</v>
          </cell>
          <cell r="CR38">
            <v>0</v>
          </cell>
          <cell r="CS38">
            <v>-0.35593220338983056</v>
          </cell>
          <cell r="CU38">
            <v>0</v>
          </cell>
          <cell r="CV38">
            <v>0</v>
          </cell>
          <cell r="CW38">
            <v>0</v>
          </cell>
          <cell r="CY38">
            <v>-0.73684210526315663</v>
          </cell>
          <cell r="CZ38">
            <v>3.1390134529147407E-2</v>
          </cell>
          <cell r="DA38">
            <v>0.12984822934232576</v>
          </cell>
          <cell r="DC38" t="str">
            <v xml:space="preserve"> 2Q</v>
          </cell>
          <cell r="DD38" t="str">
            <v xml:space="preserve">    NM</v>
          </cell>
          <cell r="DE38" t="str">
            <v xml:space="preserve">    NM</v>
          </cell>
          <cell r="DF38" t="str">
            <v xml:space="preserve">    NM</v>
          </cell>
          <cell r="DL38">
            <v>0.17294520547945202</v>
          </cell>
          <cell r="DM38">
            <v>7.8591417910447728E-2</v>
          </cell>
          <cell r="DN38">
            <v>0.12464183381088823</v>
          </cell>
          <cell r="DP38">
            <v>-5.6179775280898875E-2</v>
          </cell>
          <cell r="DQ38">
            <v>5.6122448979591837E-2</v>
          </cell>
          <cell r="DR38">
            <v>2.1052631578947368E-2</v>
          </cell>
          <cell r="DT38">
            <v>0.37096774193548387</v>
          </cell>
          <cell r="DU38">
            <v>7.8947368421052627E-2</v>
          </cell>
          <cell r="DV38">
            <v>0.26</v>
          </cell>
          <cell r="DX38">
            <v>0.1645674168903572</v>
          </cell>
          <cell r="DY38">
            <v>7.4569439355075207E-2</v>
          </cell>
          <cell r="DZ38">
            <v>0.11688185613047287</v>
          </cell>
        </row>
        <row r="39">
          <cell r="A39" t="str">
            <v xml:space="preserve"> 3Q</v>
          </cell>
          <cell r="B39">
            <v>-0.14667580534612756</v>
          </cell>
          <cell r="C39" t="str">
            <v>NM</v>
          </cell>
          <cell r="D39">
            <v>-0.14667580534612756</v>
          </cell>
          <cell r="F39">
            <v>0.52236652236652237</v>
          </cell>
          <cell r="G39">
            <v>0.33060388945752295</v>
          </cell>
          <cell r="H39">
            <v>0.41017964071856294</v>
          </cell>
          <cell r="J39">
            <v>0.4933333333333334</v>
          </cell>
          <cell r="K39">
            <v>0.10644257703081217</v>
          </cell>
          <cell r="L39">
            <v>0.23966942148760317</v>
          </cell>
          <cell r="Q39">
            <v>-0.27272727272727271</v>
          </cell>
          <cell r="R39">
            <v>-0.16049382716049387</v>
          </cell>
          <cell r="S39">
            <v>-0.17391304347826086</v>
          </cell>
          <cell r="U39">
            <v>9.8436839881706817E-2</v>
          </cell>
          <cell r="V39">
            <v>0.21379759192971037</v>
          </cell>
          <cell r="W39">
            <v>0.14384526706801593</v>
          </cell>
          <cell r="Y39">
            <v>0.22902684563758391</v>
          </cell>
          <cell r="Z39">
            <v>0.484375</v>
          </cell>
          <cell r="AA39">
            <v>0.26445086705202314</v>
          </cell>
          <cell r="AC39" t="str">
            <v>NM</v>
          </cell>
          <cell r="AD39" t="str">
            <v>NM</v>
          </cell>
          <cell r="AE39" t="str">
            <v>NM</v>
          </cell>
          <cell r="AG39">
            <v>8.6956521739131709E-2</v>
          </cell>
          <cell r="AH39">
            <v>-0.18604651162790709</v>
          </cell>
          <cell r="AI39">
            <v>-9.0909090909090606E-2</v>
          </cell>
          <cell r="AK39">
            <v>0.22633744855967075</v>
          </cell>
          <cell r="AL39">
            <v>0.36170212765957444</v>
          </cell>
          <cell r="AM39">
            <v>0.24827586206896557</v>
          </cell>
          <cell r="AO39" t="str">
            <v xml:space="preserve"> 3Q</v>
          </cell>
          <cell r="AP39">
            <v>2.5896414342629459E-2</v>
          </cell>
          <cell r="AQ39">
            <v>-2.7355623100303927E-2</v>
          </cell>
          <cell r="AR39">
            <v>-4.3103448275861878E-3</v>
          </cell>
          <cell r="AT39">
            <v>1.4509803921568625</v>
          </cell>
          <cell r="AU39">
            <v>0.31016042780748676</v>
          </cell>
          <cell r="AV39">
            <v>0.82352941176470584</v>
          </cell>
          <cell r="AX39" t="str">
            <v>NM</v>
          </cell>
          <cell r="AY39" t="str">
            <v>NM</v>
          </cell>
          <cell r="AZ39" t="str">
            <v>NM</v>
          </cell>
          <cell r="BB39">
            <v>-1.8264840182648623E-2</v>
          </cell>
          <cell r="BC39">
            <v>-0.12615740740740744</v>
          </cell>
          <cell r="BD39">
            <v>-0.1043397968605726</v>
          </cell>
          <cell r="BF39">
            <v>0.26430205949656749</v>
          </cell>
          <cell r="BG39">
            <v>-4.0374488004681131E-2</v>
          </cell>
          <cell r="BH39">
            <v>6.2717770034843134E-2</v>
          </cell>
          <cell r="BJ39">
            <v>-0.4642857142857143</v>
          </cell>
          <cell r="BK39">
            <v>-0.1063829787234043</v>
          </cell>
          <cell r="BL39">
            <v>-0.13272010512483567</v>
          </cell>
          <cell r="BN39" t="str">
            <v xml:space="preserve">  NM</v>
          </cell>
          <cell r="BO39">
            <v>-0.1428571428571429</v>
          </cell>
          <cell r="BP39">
            <v>-0.11242603550295849</v>
          </cell>
          <cell r="BR39">
            <v>-0.4</v>
          </cell>
          <cell r="BS39">
            <v>-0.11363636363636365</v>
          </cell>
          <cell r="BT39">
            <v>-0.12903225806451613</v>
          </cell>
          <cell r="BV39" t="str">
            <v xml:space="preserve"> 3Q</v>
          </cell>
          <cell r="BW39" t="str">
            <v>NM</v>
          </cell>
          <cell r="BX39" t="str">
            <v>NM</v>
          </cell>
          <cell r="BY39" t="str">
            <v>NM</v>
          </cell>
          <cell r="CA39" t="str">
            <v xml:space="preserve">    NM</v>
          </cell>
          <cell r="CB39">
            <v>-0.25</v>
          </cell>
          <cell r="CC39" t="str">
            <v xml:space="preserve">    NM</v>
          </cell>
          <cell r="CE39" t="str">
            <v xml:space="preserve">   NM</v>
          </cell>
          <cell r="CF39" t="str">
            <v xml:space="preserve">  NM</v>
          </cell>
          <cell r="CG39" t="str">
            <v xml:space="preserve">   NM</v>
          </cell>
          <cell r="CI39" t="str">
            <v xml:space="preserve">    NM</v>
          </cell>
          <cell r="CJ39">
            <v>-0.5</v>
          </cell>
          <cell r="CK39" t="str">
            <v xml:space="preserve">    NM</v>
          </cell>
          <cell r="CM39">
            <v>0.56950672645739897</v>
          </cell>
          <cell r="CN39" t="str">
            <v xml:space="preserve">    NM</v>
          </cell>
          <cell r="CO39">
            <v>0.56950672645739897</v>
          </cell>
          <cell r="CQ39">
            <v>-0.2993630573248407</v>
          </cell>
          <cell r="CR39">
            <v>-0.22222222222222221</v>
          </cell>
          <cell r="CS39">
            <v>-0.27125506072874495</v>
          </cell>
          <cell r="CU39">
            <v>0.21052631578947367</v>
          </cell>
          <cell r="CV39">
            <v>-0.22222222222222221</v>
          </cell>
          <cell r="CW39">
            <v>0.12765957446808507</v>
          </cell>
          <cell r="CY39">
            <v>-0.73451327433628344</v>
          </cell>
          <cell r="CZ39">
            <v>9.0909090909091939E-2</v>
          </cell>
          <cell r="DA39">
            <v>-4.9773755656107976E-2</v>
          </cell>
          <cell r="DC39" t="str">
            <v xml:space="preserve"> 3Q</v>
          </cell>
          <cell r="DD39" t="str">
            <v xml:space="preserve">    NM</v>
          </cell>
          <cell r="DE39" t="str">
            <v xml:space="preserve">    NM</v>
          </cell>
          <cell r="DF39" t="str">
            <v xml:space="preserve">    NM</v>
          </cell>
          <cell r="DL39">
            <v>0.18944591029023747</v>
          </cell>
          <cell r="DM39">
            <v>7.0296913507804218E-2</v>
          </cell>
          <cell r="DN39">
            <v>0.13302956212491671</v>
          </cell>
          <cell r="DP39">
            <v>-3.937007874015748E-2</v>
          </cell>
          <cell r="DQ39">
            <v>2.2727272727272728E-2</v>
          </cell>
          <cell r="DR39">
            <v>-3.3003300330033004E-3</v>
          </cell>
          <cell r="DT39">
            <v>0.11267605633802817</v>
          </cell>
          <cell r="DU39">
            <v>2.7027027027027029E-2</v>
          </cell>
          <cell r="DV39">
            <v>8.3333333333333329E-2</v>
          </cell>
          <cell r="DX39">
            <v>0.15931907463989525</v>
          </cell>
          <cell r="DY39">
            <v>6.0933245704628762E-2</v>
          </cell>
          <cell r="DZ39">
            <v>0.11191531710847738</v>
          </cell>
        </row>
        <row r="40">
          <cell r="A40" t="str">
            <v xml:space="preserve"> 4Q</v>
          </cell>
          <cell r="B40">
            <v>-6.4563462949376427E-2</v>
          </cell>
          <cell r="C40" t="str">
            <v>NM</v>
          </cell>
          <cell r="D40">
            <v>-6.4563462949376427E-2</v>
          </cell>
          <cell r="F40">
            <v>0.52553763440860202</v>
          </cell>
          <cell r="G40">
            <v>0.33825565297646532</v>
          </cell>
          <cell r="H40">
            <v>0.414500683994528</v>
          </cell>
          <cell r="J40">
            <v>0.58690176322418131</v>
          </cell>
          <cell r="K40">
            <v>0.15845539280958731</v>
          </cell>
          <cell r="L40">
            <v>0.30662020905923337</v>
          </cell>
          <cell r="Q40">
            <v>-0.3442622950819636</v>
          </cell>
          <cell r="R40">
            <v>-2.506963788300931E-2</v>
          </cell>
          <cell r="S40">
            <v>-7.1428571428571397E-2</v>
          </cell>
          <cell r="U40">
            <v>0.1750856164383563</v>
          </cell>
          <cell r="V40">
            <v>0.25724748245346363</v>
          </cell>
          <cell r="W40">
            <v>0.20895710152220404</v>
          </cell>
          <cell r="Y40">
            <v>0.30655391120507391</v>
          </cell>
          <cell r="Z40">
            <v>0.26760563380281677</v>
          </cell>
          <cell r="AA40">
            <v>0.29979035639412999</v>
          </cell>
          <cell r="AC40" t="str">
            <v>NM</v>
          </cell>
          <cell r="AD40" t="str">
            <v>NM</v>
          </cell>
          <cell r="AE40" t="str">
            <v>NM</v>
          </cell>
          <cell r="AG40">
            <v>0.60000000000000009</v>
          </cell>
          <cell r="AH40">
            <v>-0.15662650602409611</v>
          </cell>
          <cell r="AI40">
            <v>1.8518518518518823E-2</v>
          </cell>
          <cell r="AK40">
            <v>0.30962343096234313</v>
          </cell>
          <cell r="AL40">
            <v>0.2068965517241379</v>
          </cell>
          <cell r="AM40">
            <v>0.28956228956228958</v>
          </cell>
          <cell r="AO40" t="str">
            <v xml:space="preserve"> 4Q</v>
          </cell>
          <cell r="AP40">
            <v>5.8358061325420429E-2</v>
          </cell>
          <cell r="AQ40">
            <v>2.1505376344086002E-2</v>
          </cell>
          <cell r="AR40">
            <v>3.7613488975356768E-2</v>
          </cell>
          <cell r="AT40">
            <v>0.78666666666666663</v>
          </cell>
          <cell r="AU40">
            <v>0.11888111888111874</v>
          </cell>
          <cell r="AV40">
            <v>0.49773071104387312</v>
          </cell>
          <cell r="AX40" t="str">
            <v>NM</v>
          </cell>
          <cell r="AY40" t="str">
            <v>NM</v>
          </cell>
          <cell r="AZ40" t="str">
            <v>NM</v>
          </cell>
          <cell r="BB40">
            <v>9.0487238979118478E-2</v>
          </cell>
          <cell r="BC40">
            <v>-4.0318001135718484E-2</v>
          </cell>
          <cell r="BD40">
            <v>-1.4598540145985495E-2</v>
          </cell>
          <cell r="BF40">
            <v>0.3138686131386863</v>
          </cell>
          <cell r="BG40">
            <v>6.8775790921595803E-3</v>
          </cell>
          <cell r="BH40">
            <v>0.12236142097134017</v>
          </cell>
          <cell r="BJ40">
            <v>-0.13043478260869568</v>
          </cell>
          <cell r="BK40">
            <v>-9.6945551128817975E-2</v>
          </cell>
          <cell r="BL40">
            <v>-9.9756690997566899E-2</v>
          </cell>
          <cell r="BN40" t="str">
            <v xml:space="preserve">  NM</v>
          </cell>
          <cell r="BO40">
            <v>8.2802547770700397E-2</v>
          </cell>
          <cell r="BP40">
            <v>7.5949367088607334E-2</v>
          </cell>
          <cell r="BR40">
            <v>-0.1428571428571429</v>
          </cell>
          <cell r="BS40">
            <v>-6.5934065934065922E-2</v>
          </cell>
          <cell r="BT40">
            <v>-7.1428571428571397E-2</v>
          </cell>
          <cell r="BV40" t="str">
            <v xml:space="preserve"> 4Q</v>
          </cell>
          <cell r="BW40" t="str">
            <v>NM</v>
          </cell>
          <cell r="BX40" t="str">
            <v>NM</v>
          </cell>
          <cell r="BY40" t="str">
            <v>NM</v>
          </cell>
          <cell r="CA40" t="str">
            <v xml:space="preserve">    NM</v>
          </cell>
          <cell r="CB40" t="str">
            <v xml:space="preserve"> NM</v>
          </cell>
          <cell r="CC40" t="str">
            <v xml:space="preserve">    NM</v>
          </cell>
          <cell r="CE40" t="str">
            <v xml:space="preserve">   NM</v>
          </cell>
          <cell r="CF40" t="str">
            <v xml:space="preserve">  NM</v>
          </cell>
          <cell r="CG40" t="str">
            <v xml:space="preserve">   NM</v>
          </cell>
          <cell r="CI40" t="str">
            <v xml:space="preserve">    NM</v>
          </cell>
          <cell r="CJ40">
            <v>0</v>
          </cell>
          <cell r="CK40" t="str">
            <v xml:space="preserve">    NM</v>
          </cell>
          <cell r="CM40">
            <v>0.61417322834645671</v>
          </cell>
          <cell r="CN40" t="str">
            <v xml:space="preserve">    NM</v>
          </cell>
          <cell r="CO40">
            <v>0.61417322834645671</v>
          </cell>
          <cell r="CQ40">
            <v>-0.53703703703703709</v>
          </cell>
          <cell r="CR40">
            <v>-0.11111111111111116</v>
          </cell>
          <cell r="CS40">
            <v>-0.41176470588235292</v>
          </cell>
          <cell r="CU40">
            <v>8.5106382978723305E-2</v>
          </cell>
          <cell r="CV40">
            <v>-0.11111111111111116</v>
          </cell>
          <cell r="CW40">
            <v>5.3571428571428603E-2</v>
          </cell>
          <cell r="CY40">
            <v>0.30434782608696609</v>
          </cell>
          <cell r="CZ40">
            <v>7.3446327683616586E-2</v>
          </cell>
          <cell r="DA40">
            <v>8.7533156498674991E-2</v>
          </cell>
          <cell r="DC40" t="str">
            <v xml:space="preserve"> 4Q</v>
          </cell>
          <cell r="DD40" t="str">
            <v xml:space="preserve">    NM</v>
          </cell>
          <cell r="DE40" t="str">
            <v xml:space="preserve">    NM</v>
          </cell>
          <cell r="DF40" t="str">
            <v xml:space="preserve">    NM</v>
          </cell>
          <cell r="DL40">
            <v>0.28064842958459979</v>
          </cell>
          <cell r="DM40">
            <v>0.10532030401737243</v>
          </cell>
          <cell r="DN40">
            <v>0.1960167714884696</v>
          </cell>
          <cell r="DP40">
            <v>-5.8333333333333334E-2</v>
          </cell>
          <cell r="DQ40">
            <v>4.6218487394957986E-2</v>
          </cell>
          <cell r="DR40">
            <v>1.11731843575419E-2</v>
          </cell>
          <cell r="DT40">
            <v>0.10204081632653061</v>
          </cell>
          <cell r="DU40">
            <v>7.8947368421052627E-2</v>
          </cell>
          <cell r="DV40">
            <v>9.1954022988505746E-2</v>
          </cell>
          <cell r="DX40">
            <v>0.23788927335640139</v>
          </cell>
          <cell r="DY40">
            <v>9.2731829573934832E-2</v>
          </cell>
          <cell r="DZ40">
            <v>0.16404589885252868</v>
          </cell>
        </row>
        <row r="42">
          <cell r="A42" t="str">
            <v xml:space="preserve">1996/95 </v>
          </cell>
          <cell r="B42">
            <v>-0.11384479717813056</v>
          </cell>
          <cell r="C42" t="str">
            <v>NM</v>
          </cell>
          <cell r="D42">
            <v>-0.11384479717813056</v>
          </cell>
          <cell r="F42">
            <v>0.5057515337423315</v>
          </cell>
          <cell r="G42">
            <v>0.35861234368697037</v>
          </cell>
          <cell r="H42">
            <v>0.41926815774915038</v>
          </cell>
          <cell r="I42" t="e">
            <v>#DIV/0!</v>
          </cell>
          <cell r="J42">
            <v>0.54085321764280536</v>
          </cell>
          <cell r="K42">
            <v>0.16454313796869302</v>
          </cell>
          <cell r="L42">
            <v>0.29055690072639218</v>
          </cell>
          <cell r="Q42">
            <v>-0.38759689922479978</v>
          </cell>
          <cell r="R42">
            <v>-6.0522696011004351E-2</v>
          </cell>
          <cell r="S42">
            <v>-0.10981308411214852</v>
          </cell>
          <cell r="U42">
            <v>0.10963345606418651</v>
          </cell>
          <cell r="V42">
            <v>0.26043993813370014</v>
          </cell>
          <cell r="W42">
            <v>0.16845986257750956</v>
          </cell>
          <cell r="Y42">
            <v>0.26711787930062036</v>
          </cell>
          <cell r="Z42">
            <v>0.39269406392694051</v>
          </cell>
          <cell r="AA42">
            <v>0.28563185227928445</v>
          </cell>
          <cell r="AC42" t="str">
            <v>NM</v>
          </cell>
          <cell r="AD42" t="str">
            <v>NM</v>
          </cell>
          <cell r="AE42" t="str">
            <v>NM</v>
          </cell>
          <cell r="AG42">
            <v>-9.7297297297297858E-2</v>
          </cell>
          <cell r="AH42">
            <v>-0.15430267062314551</v>
          </cell>
          <cell r="AI42">
            <v>-0.13409961685823779</v>
          </cell>
          <cell r="AK42">
            <v>0.25966850828729271</v>
          </cell>
          <cell r="AL42">
            <v>0.29411764705882359</v>
          </cell>
          <cell r="AM42">
            <v>0.26556776556776551</v>
          </cell>
          <cell r="AO42" t="str">
            <v xml:space="preserve">1996/95 </v>
          </cell>
          <cell r="AP42">
            <v>5.2252252252252385E-2</v>
          </cell>
          <cell r="AQ42">
            <v>2.2648439094062445E-2</v>
          </cell>
          <cell r="AR42">
            <v>3.5738675165035483E-2</v>
          </cell>
          <cell r="AT42">
            <v>0.79613526570048321</v>
          </cell>
          <cell r="AU42">
            <v>0.28103896103896098</v>
          </cell>
          <cell r="AV42">
            <v>0.54793491864831023</v>
          </cell>
          <cell r="AW42" t="e">
            <v>#DIV/0!</v>
          </cell>
          <cell r="AX42" t="str">
            <v>NM</v>
          </cell>
          <cell r="AY42" t="str">
            <v>NM</v>
          </cell>
          <cell r="AZ42" t="str">
            <v>NM</v>
          </cell>
          <cell r="BB42">
            <v>-4.6658986175114991E-2</v>
          </cell>
          <cell r="BC42">
            <v>-8.0547550432276904E-2</v>
          </cell>
          <cell r="BD42">
            <v>-7.376671277086233E-2</v>
          </cell>
          <cell r="BF42">
            <v>0.23013912365102041</v>
          </cell>
          <cell r="BG42">
            <v>6.7557750980677955E-3</v>
          </cell>
          <cell r="BH42">
            <v>8.6824812415528863E-2</v>
          </cell>
          <cell r="BJ42">
            <v>-0.2204081632653061</v>
          </cell>
          <cell r="BK42">
            <v>-6.481481481481477E-2</v>
          </cell>
          <cell r="BL42">
            <v>-7.7301015394693806E-2</v>
          </cell>
          <cell r="BN42" t="str">
            <v xml:space="preserve">  NM</v>
          </cell>
          <cell r="BO42">
            <v>-4.4303797468354444E-2</v>
          </cell>
          <cell r="BP42">
            <v>-5.3375196232339217E-2</v>
          </cell>
          <cell r="BR42">
            <v>-0.24</v>
          </cell>
          <cell r="BS42">
            <v>-6.1046511627906974E-2</v>
          </cell>
          <cell r="BT42">
            <v>-7.3170731707317027E-2</v>
          </cell>
          <cell r="BV42" t="str">
            <v xml:space="preserve">1996/95 </v>
          </cell>
          <cell r="BW42" t="str">
            <v>NM</v>
          </cell>
          <cell r="BX42" t="str">
            <v>NM</v>
          </cell>
          <cell r="BY42" t="str">
            <v>NM</v>
          </cell>
          <cell r="CA42" t="str">
            <v xml:space="preserve">    NM</v>
          </cell>
          <cell r="CB42">
            <v>-0.39047619047619042</v>
          </cell>
          <cell r="CC42" t="str">
            <v xml:space="preserve">    NM</v>
          </cell>
          <cell r="CE42" t="str">
            <v xml:space="preserve">   NM</v>
          </cell>
          <cell r="CF42" t="str">
            <v xml:space="preserve">  NM</v>
          </cell>
          <cell r="CG42" t="str">
            <v xml:space="preserve">   NM</v>
          </cell>
          <cell r="CI42" t="str">
            <v xml:space="preserve">    NM</v>
          </cell>
          <cell r="CJ42">
            <v>-0.4</v>
          </cell>
          <cell r="CK42" t="str">
            <v xml:space="preserve">    NM</v>
          </cell>
          <cell r="CM42">
            <v>0.62347188264058673</v>
          </cell>
          <cell r="CN42" t="str">
            <v xml:space="preserve">    NM</v>
          </cell>
          <cell r="CO42">
            <v>0.62347188264058673</v>
          </cell>
          <cell r="CQ42">
            <v>-0.4326923076923076</v>
          </cell>
          <cell r="CR42">
            <v>-8.5714285714285743E-2</v>
          </cell>
          <cell r="CS42">
            <v>-0.32994923857868008</v>
          </cell>
          <cell r="CU42">
            <v>9.0909090909090828E-2</v>
          </cell>
          <cell r="CV42">
            <v>-8.5714285714285743E-2</v>
          </cell>
          <cell r="CW42">
            <v>6.0000000000000053E-2</v>
          </cell>
          <cell r="CY42">
            <v>-0.24590163934426723</v>
          </cell>
          <cell r="CZ42">
            <v>6.8896853843090744E-2</v>
          </cell>
          <cell r="DA42">
            <v>5.4310672236992152E-2</v>
          </cell>
          <cell r="DC42" t="str">
            <v xml:space="preserve">1996/95 </v>
          </cell>
          <cell r="DD42" t="str">
            <v xml:space="preserve">    NM</v>
          </cell>
          <cell r="DE42" t="str">
            <v xml:space="preserve">    NM</v>
          </cell>
          <cell r="DF42" t="str">
            <v xml:space="preserve">    NM</v>
          </cell>
          <cell r="DL42">
            <v>0.20504859611231102</v>
          </cell>
          <cell r="DM42">
            <v>0.10592427616926497</v>
          </cell>
          <cell r="DN42">
            <v>0.15784487025383578</v>
          </cell>
          <cell r="DP42">
            <v>-7.9189686924493505E-2</v>
          </cell>
          <cell r="DQ42">
            <v>4.7534089460940426E-2</v>
          </cell>
          <cell r="DR42">
            <v>2.3788040357641629E-3</v>
          </cell>
          <cell r="DS42" t="e">
            <v>#DIV/0!</v>
          </cell>
          <cell r="DT42">
            <v>4.4827586206896551E-2</v>
          </cell>
          <cell r="DU42">
            <v>0.62365591397849462</v>
          </cell>
          <cell r="DV42">
            <v>0.15521628498727735</v>
          </cell>
          <cell r="DW42" t="e">
            <v>#DIV/0!</v>
          </cell>
          <cell r="DX42">
            <v>0.17757669690477285</v>
          </cell>
          <cell r="DY42">
            <v>9.3338298961873289E-2</v>
          </cell>
          <cell r="DZ42">
            <v>0.13589985720208211</v>
          </cell>
        </row>
        <row r="44">
          <cell r="A44" t="str">
            <v>1996</v>
          </cell>
          <cell r="AO44" t="str">
            <v>1996</v>
          </cell>
          <cell r="BV44" t="str">
            <v>1996</v>
          </cell>
          <cell r="DC44" t="str">
            <v>1996</v>
          </cell>
        </row>
        <row r="45">
          <cell r="A45" t="str">
            <v xml:space="preserve"> 1Q</v>
          </cell>
          <cell r="B45">
            <v>304.89999999999998</v>
          </cell>
          <cell r="C45">
            <v>0</v>
          </cell>
          <cell r="D45">
            <v>304.89999999999998</v>
          </cell>
          <cell r="F45">
            <v>174.4</v>
          </cell>
          <cell r="G45">
            <v>213.4</v>
          </cell>
          <cell r="H45">
            <v>387.8</v>
          </cell>
          <cell r="J45">
            <v>48.1</v>
          </cell>
          <cell r="K45">
            <v>73.900000000000006</v>
          </cell>
          <cell r="L45">
            <v>122</v>
          </cell>
          <cell r="Q45">
            <v>4.8000000000000682</v>
          </cell>
          <cell r="R45">
            <v>32.599999999999966</v>
          </cell>
          <cell r="S45">
            <v>37.400000000000034</v>
          </cell>
          <cell r="U45">
            <v>532.20000000000005</v>
          </cell>
          <cell r="V45">
            <v>319.89999999999998</v>
          </cell>
          <cell r="W45">
            <v>852.1</v>
          </cell>
          <cell r="Y45">
            <v>274.3</v>
          </cell>
          <cell r="Z45">
            <v>42.5</v>
          </cell>
          <cell r="AA45">
            <v>316.8</v>
          </cell>
          <cell r="AC45">
            <v>0</v>
          </cell>
          <cell r="AD45">
            <v>0</v>
          </cell>
          <cell r="AE45">
            <v>0</v>
          </cell>
          <cell r="AG45">
            <v>4.6999999999999886</v>
          </cell>
          <cell r="AH45">
            <v>7.5</v>
          </cell>
          <cell r="AI45">
            <v>12.199999999999989</v>
          </cell>
          <cell r="AK45">
            <v>279</v>
          </cell>
          <cell r="AL45">
            <v>50</v>
          </cell>
          <cell r="AM45">
            <v>329</v>
          </cell>
          <cell r="AO45" t="str">
            <v xml:space="preserve"> 1Q</v>
          </cell>
          <cell r="AP45">
            <v>97.8</v>
          </cell>
          <cell r="AQ45">
            <v>117.2</v>
          </cell>
          <cell r="AR45">
            <v>215</v>
          </cell>
          <cell r="AT45">
            <v>86.8</v>
          </cell>
          <cell r="AU45">
            <v>72.599999999999994</v>
          </cell>
          <cell r="AV45">
            <v>159.39999999999998</v>
          </cell>
          <cell r="AX45">
            <v>0</v>
          </cell>
          <cell r="AY45">
            <v>0</v>
          </cell>
          <cell r="AZ45">
            <v>0</v>
          </cell>
          <cell r="BB45">
            <v>39.5</v>
          </cell>
          <cell r="BC45">
            <v>160.09999999999997</v>
          </cell>
          <cell r="BD45">
            <v>199.59999999999997</v>
          </cell>
          <cell r="BF45">
            <v>224.1</v>
          </cell>
          <cell r="BG45">
            <v>349.9</v>
          </cell>
          <cell r="BH45">
            <v>574</v>
          </cell>
          <cell r="BJ45">
            <v>6.1</v>
          </cell>
          <cell r="BK45">
            <v>63.6</v>
          </cell>
          <cell r="BL45">
            <v>69.7</v>
          </cell>
          <cell r="BN45">
            <v>-9.9999999999999645E-2</v>
          </cell>
          <cell r="BO45">
            <v>13.399999999999999</v>
          </cell>
          <cell r="BP45">
            <v>13.299999999999999</v>
          </cell>
          <cell r="BR45">
            <v>6</v>
          </cell>
          <cell r="BS45">
            <v>77</v>
          </cell>
          <cell r="BT45">
            <v>83</v>
          </cell>
          <cell r="BV45" t="str">
            <v xml:space="preserve"> 1Q</v>
          </cell>
          <cell r="BW45">
            <v>0</v>
          </cell>
          <cell r="BX45">
            <v>0</v>
          </cell>
          <cell r="BY45">
            <v>0</v>
          </cell>
          <cell r="CA45">
            <v>24.1</v>
          </cell>
          <cell r="CB45">
            <v>1.4</v>
          </cell>
          <cell r="CC45">
            <v>25.5</v>
          </cell>
          <cell r="CE45">
            <v>2.8999999999999986</v>
          </cell>
          <cell r="CF45">
            <v>-0.39999999999999991</v>
          </cell>
          <cell r="CG45">
            <v>2.4999999999999987</v>
          </cell>
          <cell r="CI45">
            <v>27</v>
          </cell>
          <cell r="CJ45">
            <v>1</v>
          </cell>
          <cell r="CK45">
            <v>28</v>
          </cell>
          <cell r="CM45">
            <v>26.8</v>
          </cell>
          <cell r="CN45">
            <v>0</v>
          </cell>
          <cell r="CO45">
            <v>26.8</v>
          </cell>
          <cell r="CQ45">
            <v>16.2</v>
          </cell>
          <cell r="CR45">
            <v>8</v>
          </cell>
          <cell r="CS45">
            <v>24.2</v>
          </cell>
          <cell r="CU45">
            <v>43</v>
          </cell>
          <cell r="CV45">
            <v>8</v>
          </cell>
          <cell r="CW45">
            <v>51</v>
          </cell>
          <cell r="CY45">
            <v>2.1999999999999318</v>
          </cell>
          <cell r="CZ45">
            <v>63.400000000000091</v>
          </cell>
          <cell r="DA45">
            <v>65.600000000000023</v>
          </cell>
          <cell r="DC45" t="str">
            <v xml:space="preserve"> 1Q</v>
          </cell>
          <cell r="DD45">
            <v>0</v>
          </cell>
          <cell r="DE45">
            <v>0</v>
          </cell>
          <cell r="DF45">
            <v>0</v>
          </cell>
          <cell r="DL45">
            <v>1113.5</v>
          </cell>
          <cell r="DM45">
            <v>869.2</v>
          </cell>
          <cell r="DN45">
            <v>1982.7</v>
          </cell>
          <cell r="DP45">
            <v>81</v>
          </cell>
          <cell r="DQ45">
            <v>186</v>
          </cell>
          <cell r="DR45">
            <v>267</v>
          </cell>
          <cell r="DT45">
            <v>85</v>
          </cell>
          <cell r="DU45">
            <v>31</v>
          </cell>
          <cell r="DV45">
            <v>116</v>
          </cell>
          <cell r="DX45">
            <v>1279.5</v>
          </cell>
          <cell r="DY45">
            <v>1086.2</v>
          </cell>
          <cell r="DZ45">
            <v>2365.6999999999998</v>
          </cell>
        </row>
        <row r="46">
          <cell r="A46" t="str">
            <v xml:space="preserve"> 2Q</v>
          </cell>
          <cell r="B46">
            <v>196</v>
          </cell>
          <cell r="C46">
            <v>0</v>
          </cell>
          <cell r="D46">
            <v>196</v>
          </cell>
          <cell r="F46">
            <v>173</v>
          </cell>
          <cell r="G46">
            <v>247</v>
          </cell>
          <cell r="H46">
            <v>420</v>
          </cell>
          <cell r="J46">
            <v>46</v>
          </cell>
          <cell r="K46">
            <v>80</v>
          </cell>
          <cell r="L46">
            <v>126</v>
          </cell>
          <cell r="Q46">
            <v>3</v>
          </cell>
          <cell r="R46">
            <v>35</v>
          </cell>
          <cell r="S46">
            <v>38</v>
          </cell>
          <cell r="U46">
            <v>418</v>
          </cell>
          <cell r="V46">
            <v>362</v>
          </cell>
          <cell r="W46">
            <v>780</v>
          </cell>
          <cell r="Y46">
            <v>247</v>
          </cell>
          <cell r="Z46">
            <v>51</v>
          </cell>
          <cell r="AA46">
            <v>298</v>
          </cell>
          <cell r="AC46">
            <v>0</v>
          </cell>
          <cell r="AD46">
            <v>0</v>
          </cell>
          <cell r="AE46">
            <v>0</v>
          </cell>
          <cell r="AG46">
            <v>3</v>
          </cell>
          <cell r="AH46">
            <v>7</v>
          </cell>
          <cell r="AI46">
            <v>10</v>
          </cell>
          <cell r="AK46">
            <v>250</v>
          </cell>
          <cell r="AL46">
            <v>58</v>
          </cell>
          <cell r="AM46">
            <v>308</v>
          </cell>
          <cell r="AO46" t="str">
            <v xml:space="preserve"> 2Q</v>
          </cell>
          <cell r="AP46">
            <v>101</v>
          </cell>
          <cell r="AQ46">
            <v>123</v>
          </cell>
          <cell r="AR46">
            <v>224</v>
          </cell>
          <cell r="AT46">
            <v>76</v>
          </cell>
          <cell r="AU46">
            <v>61</v>
          </cell>
          <cell r="AV46">
            <v>137</v>
          </cell>
          <cell r="AX46">
            <v>0</v>
          </cell>
          <cell r="AY46">
            <v>0</v>
          </cell>
          <cell r="AZ46">
            <v>0</v>
          </cell>
          <cell r="BB46">
            <v>36</v>
          </cell>
          <cell r="BC46">
            <v>158</v>
          </cell>
          <cell r="BD46">
            <v>194</v>
          </cell>
          <cell r="BF46">
            <v>213</v>
          </cell>
          <cell r="BG46">
            <v>342</v>
          </cell>
          <cell r="BH46">
            <v>555</v>
          </cell>
          <cell r="BJ46">
            <v>4</v>
          </cell>
          <cell r="BK46">
            <v>68</v>
          </cell>
          <cell r="BL46">
            <v>72</v>
          </cell>
          <cell r="BN46">
            <v>0</v>
          </cell>
          <cell r="BO46">
            <v>15</v>
          </cell>
          <cell r="BP46">
            <v>15</v>
          </cell>
          <cell r="BR46">
            <v>4</v>
          </cell>
          <cell r="BS46">
            <v>83</v>
          </cell>
          <cell r="BT46">
            <v>87</v>
          </cell>
          <cell r="BV46" t="str">
            <v xml:space="preserve"> 2Q</v>
          </cell>
          <cell r="BW46">
            <v>0</v>
          </cell>
          <cell r="BX46">
            <v>0</v>
          </cell>
          <cell r="BY46">
            <v>0</v>
          </cell>
          <cell r="CA46">
            <v>34</v>
          </cell>
          <cell r="CB46">
            <v>2</v>
          </cell>
          <cell r="CC46">
            <v>36</v>
          </cell>
          <cell r="CE46">
            <v>2</v>
          </cell>
          <cell r="CF46">
            <v>0</v>
          </cell>
          <cell r="CG46">
            <v>2</v>
          </cell>
          <cell r="CI46">
            <v>36</v>
          </cell>
          <cell r="CJ46">
            <v>2</v>
          </cell>
          <cell r="CK46">
            <v>38</v>
          </cell>
          <cell r="CM46">
            <v>30</v>
          </cell>
          <cell r="CN46">
            <v>0</v>
          </cell>
          <cell r="CO46">
            <v>30</v>
          </cell>
          <cell r="CQ46">
            <v>10</v>
          </cell>
          <cell r="CR46">
            <v>9</v>
          </cell>
          <cell r="CS46">
            <v>19</v>
          </cell>
          <cell r="CU46">
            <v>40</v>
          </cell>
          <cell r="CV46">
            <v>9</v>
          </cell>
          <cell r="CW46">
            <v>49</v>
          </cell>
          <cell r="CY46">
            <v>-2</v>
          </cell>
          <cell r="CZ46">
            <v>69</v>
          </cell>
          <cell r="DA46">
            <v>67</v>
          </cell>
          <cell r="DC46" t="str">
            <v xml:space="preserve"> 2Q</v>
          </cell>
          <cell r="DD46">
            <v>0</v>
          </cell>
          <cell r="DE46">
            <v>0</v>
          </cell>
          <cell r="DF46">
            <v>0</v>
          </cell>
          <cell r="DL46">
            <v>959</v>
          </cell>
          <cell r="DM46">
            <v>925</v>
          </cell>
          <cell r="DN46">
            <v>1884</v>
          </cell>
          <cell r="DP46">
            <v>84</v>
          </cell>
          <cell r="DQ46">
            <v>207</v>
          </cell>
          <cell r="DR46">
            <v>291</v>
          </cell>
          <cell r="DT46">
            <v>85</v>
          </cell>
          <cell r="DU46">
            <v>41</v>
          </cell>
          <cell r="DV46">
            <v>126</v>
          </cell>
          <cell r="DX46">
            <v>1128</v>
          </cell>
          <cell r="DY46">
            <v>1173</v>
          </cell>
          <cell r="DZ46">
            <v>2301</v>
          </cell>
        </row>
        <row r="47">
          <cell r="A47" t="str">
            <v xml:space="preserve"> 3Q</v>
          </cell>
          <cell r="B47">
            <v>249</v>
          </cell>
          <cell r="C47">
            <v>0</v>
          </cell>
          <cell r="D47">
            <v>249</v>
          </cell>
          <cell r="F47">
            <v>211</v>
          </cell>
          <cell r="G47">
            <v>260</v>
          </cell>
          <cell r="H47">
            <v>471</v>
          </cell>
          <cell r="J47">
            <v>56</v>
          </cell>
          <cell r="K47">
            <v>79</v>
          </cell>
          <cell r="L47">
            <v>135</v>
          </cell>
          <cell r="Q47">
            <v>4</v>
          </cell>
          <cell r="R47">
            <v>34</v>
          </cell>
          <cell r="S47">
            <v>38</v>
          </cell>
          <cell r="U47">
            <v>520</v>
          </cell>
          <cell r="V47">
            <v>373</v>
          </cell>
          <cell r="W47">
            <v>893</v>
          </cell>
          <cell r="Y47">
            <v>293</v>
          </cell>
          <cell r="Z47">
            <v>57</v>
          </cell>
          <cell r="AA47">
            <v>350</v>
          </cell>
          <cell r="AC47">
            <v>0</v>
          </cell>
          <cell r="AD47">
            <v>0</v>
          </cell>
          <cell r="AE47">
            <v>0</v>
          </cell>
          <cell r="AG47">
            <v>5</v>
          </cell>
          <cell r="AH47">
            <v>7</v>
          </cell>
          <cell r="AI47">
            <v>12</v>
          </cell>
          <cell r="AK47">
            <v>298</v>
          </cell>
          <cell r="AL47">
            <v>64</v>
          </cell>
          <cell r="AM47">
            <v>362</v>
          </cell>
          <cell r="AO47" t="str">
            <v xml:space="preserve"> 3Q</v>
          </cell>
          <cell r="AP47">
            <v>103</v>
          </cell>
          <cell r="AQ47">
            <v>128</v>
          </cell>
          <cell r="AR47">
            <v>231</v>
          </cell>
          <cell r="AT47">
            <v>75</v>
          </cell>
          <cell r="AU47">
            <v>49</v>
          </cell>
          <cell r="AV47">
            <v>124</v>
          </cell>
          <cell r="AX47">
            <v>0</v>
          </cell>
          <cell r="AY47">
            <v>0</v>
          </cell>
          <cell r="AZ47">
            <v>0</v>
          </cell>
          <cell r="BB47">
            <v>43</v>
          </cell>
          <cell r="BC47">
            <v>151</v>
          </cell>
          <cell r="BD47">
            <v>194</v>
          </cell>
          <cell r="BF47">
            <v>221</v>
          </cell>
          <cell r="BG47">
            <v>328</v>
          </cell>
          <cell r="BH47">
            <v>549</v>
          </cell>
          <cell r="BJ47">
            <v>3</v>
          </cell>
          <cell r="BK47">
            <v>63</v>
          </cell>
          <cell r="BL47">
            <v>66</v>
          </cell>
          <cell r="BN47">
            <v>0</v>
          </cell>
          <cell r="BO47">
            <v>15</v>
          </cell>
          <cell r="BP47">
            <v>15</v>
          </cell>
          <cell r="BR47">
            <v>3</v>
          </cell>
          <cell r="BS47">
            <v>78</v>
          </cell>
          <cell r="BT47">
            <v>81</v>
          </cell>
          <cell r="BV47" t="str">
            <v xml:space="preserve"> 3Q</v>
          </cell>
          <cell r="BW47">
            <v>0</v>
          </cell>
          <cell r="BX47">
            <v>0</v>
          </cell>
          <cell r="BY47">
            <v>0</v>
          </cell>
          <cell r="CA47">
            <v>33</v>
          </cell>
          <cell r="CB47">
            <v>3</v>
          </cell>
          <cell r="CC47">
            <v>36</v>
          </cell>
          <cell r="CE47">
            <v>3</v>
          </cell>
          <cell r="CF47">
            <v>-1</v>
          </cell>
          <cell r="CG47">
            <v>2</v>
          </cell>
          <cell r="CI47">
            <v>36</v>
          </cell>
          <cell r="CJ47">
            <v>2</v>
          </cell>
          <cell r="CK47">
            <v>38</v>
          </cell>
          <cell r="CM47">
            <v>35</v>
          </cell>
          <cell r="CN47">
            <v>0</v>
          </cell>
          <cell r="CO47">
            <v>35</v>
          </cell>
          <cell r="CQ47">
            <v>11</v>
          </cell>
          <cell r="CR47">
            <v>7</v>
          </cell>
          <cell r="CS47">
            <v>18</v>
          </cell>
          <cell r="CU47">
            <v>46</v>
          </cell>
          <cell r="CV47">
            <v>7</v>
          </cell>
          <cell r="CW47">
            <v>53</v>
          </cell>
          <cell r="CY47">
            <v>3</v>
          </cell>
          <cell r="CZ47">
            <v>60</v>
          </cell>
          <cell r="DA47">
            <v>63</v>
          </cell>
          <cell r="DC47" t="str">
            <v xml:space="preserve"> 3Q</v>
          </cell>
          <cell r="DD47">
            <v>0</v>
          </cell>
          <cell r="DE47">
            <v>0</v>
          </cell>
          <cell r="DF47">
            <v>0</v>
          </cell>
          <cell r="DL47">
            <v>1127</v>
          </cell>
          <cell r="DM47">
            <v>912</v>
          </cell>
          <cell r="DN47">
            <v>2039</v>
          </cell>
          <cell r="DP47">
            <v>122</v>
          </cell>
          <cell r="DQ47">
            <v>180</v>
          </cell>
          <cell r="DR47">
            <v>302</v>
          </cell>
          <cell r="DT47">
            <v>79</v>
          </cell>
          <cell r="DU47">
            <v>38</v>
          </cell>
          <cell r="DV47">
            <v>117</v>
          </cell>
          <cell r="DX47">
            <v>1328</v>
          </cell>
          <cell r="DY47">
            <v>1130</v>
          </cell>
          <cell r="DZ47">
            <v>2458</v>
          </cell>
        </row>
        <row r="48">
          <cell r="A48" t="str">
            <v xml:space="preserve"> 4Q</v>
          </cell>
          <cell r="B48">
            <v>255</v>
          </cell>
          <cell r="C48">
            <v>0</v>
          </cell>
          <cell r="D48">
            <v>255</v>
          </cell>
          <cell r="F48">
            <v>227</v>
          </cell>
          <cell r="G48">
            <v>290</v>
          </cell>
          <cell r="H48">
            <v>517</v>
          </cell>
          <cell r="J48">
            <v>63</v>
          </cell>
          <cell r="K48">
            <v>87</v>
          </cell>
          <cell r="L48">
            <v>150</v>
          </cell>
          <cell r="Q48">
            <v>4</v>
          </cell>
          <cell r="R48">
            <v>35</v>
          </cell>
          <cell r="S48">
            <v>39</v>
          </cell>
          <cell r="U48">
            <v>549</v>
          </cell>
          <cell r="V48">
            <v>412</v>
          </cell>
          <cell r="W48">
            <v>961</v>
          </cell>
          <cell r="Y48">
            <v>309</v>
          </cell>
          <cell r="Z48">
            <v>63</v>
          </cell>
          <cell r="AA48">
            <v>372</v>
          </cell>
          <cell r="AC48">
            <v>0</v>
          </cell>
          <cell r="AD48">
            <v>0</v>
          </cell>
          <cell r="AE48">
            <v>0</v>
          </cell>
          <cell r="AG48">
            <v>4</v>
          </cell>
          <cell r="AH48">
            <v>7</v>
          </cell>
          <cell r="AI48">
            <v>11</v>
          </cell>
          <cell r="AK48">
            <v>313</v>
          </cell>
          <cell r="AL48">
            <v>70</v>
          </cell>
          <cell r="AM48">
            <v>383</v>
          </cell>
          <cell r="AO48" t="str">
            <v xml:space="preserve"> 4Q</v>
          </cell>
          <cell r="AP48">
            <v>107</v>
          </cell>
          <cell r="AQ48">
            <v>133</v>
          </cell>
          <cell r="AR48">
            <v>240</v>
          </cell>
          <cell r="AT48">
            <v>134</v>
          </cell>
          <cell r="AU48">
            <v>64</v>
          </cell>
          <cell r="AV48">
            <v>198</v>
          </cell>
          <cell r="AX48">
            <v>0</v>
          </cell>
          <cell r="AY48">
            <v>0</v>
          </cell>
          <cell r="AZ48">
            <v>0</v>
          </cell>
          <cell r="BB48">
            <v>47</v>
          </cell>
          <cell r="BC48">
            <v>169</v>
          </cell>
          <cell r="BD48">
            <v>216</v>
          </cell>
          <cell r="BF48">
            <v>288</v>
          </cell>
          <cell r="BG48">
            <v>366</v>
          </cell>
          <cell r="BH48">
            <v>654</v>
          </cell>
          <cell r="BJ48">
            <v>6</v>
          </cell>
          <cell r="BK48">
            <v>68</v>
          </cell>
          <cell r="BL48">
            <v>74</v>
          </cell>
          <cell r="BN48">
            <v>0</v>
          </cell>
          <cell r="BO48">
            <v>17</v>
          </cell>
          <cell r="BP48">
            <v>17</v>
          </cell>
          <cell r="BR48">
            <v>6</v>
          </cell>
          <cell r="BS48">
            <v>85</v>
          </cell>
          <cell r="BT48">
            <v>91</v>
          </cell>
          <cell r="BV48" t="str">
            <v xml:space="preserve"> 4Q</v>
          </cell>
          <cell r="BW48">
            <v>0</v>
          </cell>
          <cell r="BX48">
            <v>0</v>
          </cell>
          <cell r="BY48">
            <v>0</v>
          </cell>
          <cell r="CA48">
            <v>49</v>
          </cell>
          <cell r="CB48">
            <v>0</v>
          </cell>
          <cell r="CC48">
            <v>49</v>
          </cell>
          <cell r="CE48">
            <v>2</v>
          </cell>
          <cell r="CF48">
            <v>1</v>
          </cell>
          <cell r="CG48">
            <v>3</v>
          </cell>
          <cell r="CI48">
            <v>51</v>
          </cell>
          <cell r="CJ48">
            <v>1</v>
          </cell>
          <cell r="CK48">
            <v>52</v>
          </cell>
          <cell r="CM48">
            <v>41</v>
          </cell>
          <cell r="CN48">
            <v>0</v>
          </cell>
          <cell r="CO48">
            <v>41</v>
          </cell>
          <cell r="CQ48">
            <v>10</v>
          </cell>
          <cell r="CR48">
            <v>8</v>
          </cell>
          <cell r="CS48">
            <v>18</v>
          </cell>
          <cell r="CU48">
            <v>51</v>
          </cell>
          <cell r="CV48">
            <v>8</v>
          </cell>
          <cell r="CW48">
            <v>59</v>
          </cell>
          <cell r="CY48">
            <v>6</v>
          </cell>
          <cell r="CZ48">
            <v>76</v>
          </cell>
          <cell r="DA48">
            <v>82</v>
          </cell>
          <cell r="DC48" t="str">
            <v xml:space="preserve"> 4Q</v>
          </cell>
          <cell r="DD48">
            <v>0</v>
          </cell>
          <cell r="DE48">
            <v>0</v>
          </cell>
          <cell r="DF48">
            <v>0</v>
          </cell>
          <cell r="DL48">
            <v>1264</v>
          </cell>
          <cell r="DM48">
            <v>1018</v>
          </cell>
          <cell r="DN48">
            <v>2282</v>
          </cell>
          <cell r="DP48">
            <v>113</v>
          </cell>
          <cell r="DQ48">
            <v>249</v>
          </cell>
          <cell r="DR48">
            <v>362</v>
          </cell>
          <cell r="DT48">
            <v>54</v>
          </cell>
          <cell r="DU48">
            <v>41</v>
          </cell>
          <cell r="DV48">
            <v>95</v>
          </cell>
          <cell r="DX48">
            <v>1431</v>
          </cell>
          <cell r="DY48">
            <v>1308</v>
          </cell>
          <cell r="DZ48">
            <v>2739</v>
          </cell>
        </row>
        <row r="49">
          <cell r="CW49">
            <v>0</v>
          </cell>
        </row>
        <row r="50">
          <cell r="A50" t="str">
            <v>1996</v>
          </cell>
          <cell r="B50">
            <v>1004.9</v>
          </cell>
          <cell r="C50">
            <v>0</v>
          </cell>
          <cell r="D50">
            <v>1004.9</v>
          </cell>
          <cell r="F50">
            <v>785.4</v>
          </cell>
          <cell r="G50">
            <v>1010.4</v>
          </cell>
          <cell r="H50">
            <v>1795.8</v>
          </cell>
          <cell r="I50">
            <v>0</v>
          </cell>
          <cell r="J50">
            <v>213.1</v>
          </cell>
          <cell r="K50">
            <v>319.89999999999998</v>
          </cell>
          <cell r="L50">
            <v>533</v>
          </cell>
          <cell r="P50">
            <v>0</v>
          </cell>
          <cell r="Q50">
            <v>15.800000000000068</v>
          </cell>
          <cell r="R50">
            <v>136.59999999999997</v>
          </cell>
          <cell r="S50">
            <v>152.40000000000003</v>
          </cell>
          <cell r="T50">
            <v>0</v>
          </cell>
          <cell r="U50">
            <v>2019.2</v>
          </cell>
          <cell r="V50">
            <v>1466.9</v>
          </cell>
          <cell r="W50">
            <v>3486.1</v>
          </cell>
          <cell r="X50">
            <v>0</v>
          </cell>
          <cell r="Y50">
            <v>1123.3</v>
          </cell>
          <cell r="Z50">
            <v>213.5</v>
          </cell>
          <cell r="AA50">
            <v>1336.8</v>
          </cell>
          <cell r="AC50">
            <v>0</v>
          </cell>
          <cell r="AD50">
            <v>0</v>
          </cell>
          <cell r="AE50">
            <v>0</v>
          </cell>
          <cell r="AG50">
            <v>16.699999999999989</v>
          </cell>
          <cell r="AH50">
            <v>28.5</v>
          </cell>
          <cell r="AI50">
            <v>45.199999999999989</v>
          </cell>
          <cell r="AK50">
            <v>1140</v>
          </cell>
          <cell r="AL50">
            <v>242</v>
          </cell>
          <cell r="AM50">
            <v>1382</v>
          </cell>
          <cell r="AO50" t="str">
            <v>Year</v>
          </cell>
          <cell r="AP50">
            <v>408.8</v>
          </cell>
          <cell r="AQ50">
            <v>501.2</v>
          </cell>
          <cell r="AR50">
            <v>910</v>
          </cell>
          <cell r="AT50">
            <v>371.8</v>
          </cell>
          <cell r="AU50">
            <v>246.6</v>
          </cell>
          <cell r="AV50">
            <v>618.4</v>
          </cell>
          <cell r="AW50">
            <v>0</v>
          </cell>
          <cell r="AX50">
            <v>0</v>
          </cell>
          <cell r="AY50">
            <v>0</v>
          </cell>
          <cell r="AZ50">
            <v>0</v>
          </cell>
          <cell r="BB50">
            <v>165.5</v>
          </cell>
          <cell r="BC50">
            <v>638.09999999999991</v>
          </cell>
          <cell r="BD50">
            <v>803.59999999999991</v>
          </cell>
          <cell r="BE50">
            <v>0</v>
          </cell>
          <cell r="BF50">
            <v>946.1</v>
          </cell>
          <cell r="BG50">
            <v>1385.9</v>
          </cell>
          <cell r="BH50">
            <v>2332</v>
          </cell>
          <cell r="BI50">
            <v>0</v>
          </cell>
          <cell r="BJ50">
            <v>19.100000000000001</v>
          </cell>
          <cell r="BK50">
            <v>262.60000000000002</v>
          </cell>
          <cell r="BL50">
            <v>281.7</v>
          </cell>
          <cell r="BM50">
            <v>0</v>
          </cell>
          <cell r="BN50">
            <v>-9.9999999999999645E-2</v>
          </cell>
          <cell r="BO50">
            <v>60.4</v>
          </cell>
          <cell r="BP50">
            <v>60.3</v>
          </cell>
          <cell r="BQ50">
            <v>0</v>
          </cell>
          <cell r="BR50">
            <v>19</v>
          </cell>
          <cell r="BS50">
            <v>323</v>
          </cell>
          <cell r="BT50">
            <v>342</v>
          </cell>
          <cell r="BV50" t="str">
            <v>1996</v>
          </cell>
          <cell r="BW50">
            <v>0</v>
          </cell>
          <cell r="BX50">
            <v>0</v>
          </cell>
          <cell r="BY50">
            <v>0</v>
          </cell>
          <cell r="CA50">
            <v>140.1</v>
          </cell>
          <cell r="CB50">
            <v>6.4</v>
          </cell>
          <cell r="CC50">
            <v>146.5</v>
          </cell>
          <cell r="CE50">
            <v>9.8999999999999986</v>
          </cell>
          <cell r="CF50">
            <v>-0.39999999999999991</v>
          </cell>
          <cell r="CG50">
            <v>9.4999999999999982</v>
          </cell>
          <cell r="CI50">
            <v>150</v>
          </cell>
          <cell r="CJ50">
            <v>6</v>
          </cell>
          <cell r="CK50">
            <v>156</v>
          </cell>
          <cell r="CM50">
            <v>132.80000000000001</v>
          </cell>
          <cell r="CN50">
            <v>0</v>
          </cell>
          <cell r="CO50">
            <v>132.80000000000001</v>
          </cell>
          <cell r="CQ50">
            <v>47.2</v>
          </cell>
          <cell r="CR50">
            <v>32</v>
          </cell>
          <cell r="CS50">
            <v>79.2</v>
          </cell>
          <cell r="CU50">
            <v>180</v>
          </cell>
          <cell r="CV50">
            <v>32</v>
          </cell>
          <cell r="CW50">
            <v>212</v>
          </cell>
          <cell r="CY50">
            <v>9.1999999999999318</v>
          </cell>
          <cell r="CZ50">
            <v>268.40000000000009</v>
          </cell>
          <cell r="DA50">
            <v>277.60000000000002</v>
          </cell>
          <cell r="DC50" t="str">
            <v>1996</v>
          </cell>
          <cell r="DD50">
            <v>0</v>
          </cell>
          <cell r="DE50">
            <v>0</v>
          </cell>
          <cell r="DF50">
            <v>0</v>
          </cell>
          <cell r="DL50">
            <v>4463.5</v>
          </cell>
          <cell r="DM50">
            <v>3724.2</v>
          </cell>
          <cell r="DN50">
            <v>8187.7</v>
          </cell>
          <cell r="DP50">
            <v>400</v>
          </cell>
          <cell r="DQ50">
            <v>822</v>
          </cell>
          <cell r="DR50">
            <v>1222</v>
          </cell>
          <cell r="DT50">
            <v>303</v>
          </cell>
          <cell r="DU50">
            <v>151</v>
          </cell>
          <cell r="DV50">
            <v>454</v>
          </cell>
          <cell r="DX50">
            <v>5166.5</v>
          </cell>
          <cell r="DY50">
            <v>4697.2</v>
          </cell>
          <cell r="DZ50">
            <v>9863.7000000000007</v>
          </cell>
        </row>
        <row r="52">
          <cell r="A52" t="str">
            <v xml:space="preserve">1997/96 </v>
          </cell>
          <cell r="AO52" t="str">
            <v xml:space="preserve">1997/96 </v>
          </cell>
          <cell r="BV52" t="str">
            <v xml:space="preserve">1997/96 </v>
          </cell>
          <cell r="DC52" t="str">
            <v xml:space="preserve">1997/96 </v>
          </cell>
        </row>
        <row r="53">
          <cell r="A53" t="str">
            <v xml:space="preserve"> 1Q</v>
          </cell>
          <cell r="B53">
            <v>-0.21613643817645123</v>
          </cell>
          <cell r="C53" t="str">
            <v>NM</v>
          </cell>
          <cell r="D53">
            <v>-0.21613643817645123</v>
          </cell>
          <cell r="F53">
            <v>0.25573394495412849</v>
          </cell>
          <cell r="G53">
            <v>0.30740393626991569</v>
          </cell>
          <cell r="H53">
            <v>0.28416709644146465</v>
          </cell>
          <cell r="J53">
            <v>0.45530145530145516</v>
          </cell>
          <cell r="K53">
            <v>0.13667117726657629</v>
          </cell>
          <cell r="L53">
            <v>0.26229508196721318</v>
          </cell>
          <cell r="Q53">
            <v>-0.37500000000000888</v>
          </cell>
          <cell r="R53">
            <v>-0.14110429447852668</v>
          </cell>
          <cell r="S53">
            <v>-0.17112299465240721</v>
          </cell>
          <cell r="U53">
            <v>-2.2547914317926354E-3</v>
          </cell>
          <cell r="V53">
            <v>0.22225695529853096</v>
          </cell>
          <cell r="W53">
            <v>8.2032625278723126E-2</v>
          </cell>
          <cell r="Y53">
            <v>0.21764491432737865</v>
          </cell>
          <cell r="Z53">
            <v>0.41176470588235303</v>
          </cell>
          <cell r="AA53">
            <v>0.24368686868686873</v>
          </cell>
          <cell r="AC53" t="str">
            <v>NM</v>
          </cell>
          <cell r="AD53" t="str">
            <v>NM</v>
          </cell>
          <cell r="AE53" t="str">
            <v>NM</v>
          </cell>
          <cell r="AG53">
            <v>-0.14893617021276395</v>
          </cell>
          <cell r="AH53">
            <v>-0.19999999999999996</v>
          </cell>
          <cell r="AI53">
            <v>-0.18032786885245822</v>
          </cell>
          <cell r="AK53">
            <v>0.21146953405017932</v>
          </cell>
          <cell r="AL53">
            <v>0.32000000000000006</v>
          </cell>
          <cell r="AM53">
            <v>0.22796352583586632</v>
          </cell>
          <cell r="AO53" t="str">
            <v xml:space="preserve"> 1Q</v>
          </cell>
          <cell r="AP53">
            <v>2.249488752556239E-2</v>
          </cell>
          <cell r="AQ53">
            <v>6.8259385665527805E-3</v>
          </cell>
          <cell r="AR53">
            <v>1.3953488372093092E-2</v>
          </cell>
          <cell r="AT53">
            <v>1.0852534562211984</v>
          </cell>
          <cell r="AU53">
            <v>0.14325068870523427</v>
          </cell>
          <cell r="AV53">
            <v>0.65621079046424113</v>
          </cell>
          <cell r="AX53" t="str">
            <v>NM</v>
          </cell>
          <cell r="AY53" t="str">
            <v>NM</v>
          </cell>
          <cell r="AZ53" t="str">
            <v>NM</v>
          </cell>
          <cell r="BB53">
            <v>0.11392405063291133</v>
          </cell>
          <cell r="BC53">
            <v>-2.5608994378513272E-2</v>
          </cell>
          <cell r="BD53">
            <v>2.0040080160321772E-3</v>
          </cell>
          <cell r="BF53">
            <v>0.45024542614904073</v>
          </cell>
          <cell r="BG53">
            <v>2.0291511860531575E-2</v>
          </cell>
          <cell r="BH53">
            <v>0.18815331010452963</v>
          </cell>
          <cell r="BJ53">
            <v>-0.50819672131147531</v>
          </cell>
          <cell r="BK53">
            <v>-0.13522012578616349</v>
          </cell>
          <cell r="BL53">
            <v>-0.16786226685796268</v>
          </cell>
          <cell r="BM53" t="e">
            <v>#DIV/0!</v>
          </cell>
          <cell r="BN53" t="str">
            <v xml:space="preserve">  NM</v>
          </cell>
          <cell r="BO53">
            <v>-0.4776119402985074</v>
          </cell>
          <cell r="BP53">
            <v>-0.47368421052631571</v>
          </cell>
          <cell r="BQ53" t="e">
            <v>#DIV/0!</v>
          </cell>
          <cell r="BR53">
            <v>-0.5</v>
          </cell>
          <cell r="BS53">
            <v>-0.19480519480519476</v>
          </cell>
          <cell r="BT53">
            <v>-0.2168674698795181</v>
          </cell>
          <cell r="BV53" t="str">
            <v xml:space="preserve"> 1Q</v>
          </cell>
          <cell r="BW53" t="str">
            <v>NM</v>
          </cell>
          <cell r="BX53" t="str">
            <v>NM</v>
          </cell>
          <cell r="BY53" t="str">
            <v>NM</v>
          </cell>
          <cell r="CA53">
            <v>1.1161825726141079</v>
          </cell>
          <cell r="CB53">
            <v>-0.2857142857142857</v>
          </cell>
          <cell r="CC53">
            <v>1.0392156862745097</v>
          </cell>
          <cell r="CE53" t="str">
            <v xml:space="preserve">  NM</v>
          </cell>
          <cell r="CF53" t="str">
            <v xml:space="preserve">  NM</v>
          </cell>
          <cell r="CG53" t="str">
            <v xml:space="preserve">  NM</v>
          </cell>
          <cell r="CI53">
            <v>0.96296296296296302</v>
          </cell>
          <cell r="CJ53">
            <v>0</v>
          </cell>
          <cell r="CK53">
            <v>0.9285714285714286</v>
          </cell>
          <cell r="CM53">
            <v>0.49253731343283569</v>
          </cell>
          <cell r="CN53" t="str">
            <v xml:space="preserve">  NM</v>
          </cell>
          <cell r="CO53">
            <v>0.49253731343283569</v>
          </cell>
          <cell r="CQ53">
            <v>-0.50617283950617287</v>
          </cell>
          <cell r="CR53">
            <v>0.125</v>
          </cell>
          <cell r="CS53">
            <v>-0.2975206611570248</v>
          </cell>
          <cell r="CU53">
            <v>0.11627906976744184</v>
          </cell>
          <cell r="CV53">
            <v>0.125</v>
          </cell>
          <cell r="CW53">
            <v>0.11764705882352944</v>
          </cell>
          <cell r="CY53">
            <v>0.36363636363640595</v>
          </cell>
          <cell r="CZ53">
            <v>0.11987381703469868</v>
          </cell>
          <cell r="DA53">
            <v>0.12804878048780455</v>
          </cell>
          <cell r="DC53" t="str">
            <v xml:space="preserve"> 1Q</v>
          </cell>
          <cell r="DD53" t="str">
            <v xml:space="preserve">    NM</v>
          </cell>
          <cell r="DE53" t="str">
            <v xml:space="preserve">    NM</v>
          </cell>
          <cell r="DF53" t="str">
            <v xml:space="preserve">    NM</v>
          </cell>
          <cell r="DL53">
            <v>0.16748989672204759</v>
          </cell>
          <cell r="DM53">
            <v>0.10101242521859174</v>
          </cell>
          <cell r="DN53">
            <v>0.13834669894588186</v>
          </cell>
          <cell r="DP53">
            <v>0.22222222222222221</v>
          </cell>
          <cell r="DQ53">
            <v>5.3763440860215055E-2</v>
          </cell>
          <cell r="DR53">
            <v>0.10486891385767791</v>
          </cell>
          <cell r="DT53">
            <v>0.15294117647058825</v>
          </cell>
          <cell r="DU53">
            <v>9.6774193548387094E-2</v>
          </cell>
          <cell r="DV53">
            <v>0.13793103448275862</v>
          </cell>
          <cell r="DX53">
            <v>0.16998827667057445</v>
          </cell>
          <cell r="DY53">
            <v>9.280058921009017E-2</v>
          </cell>
          <cell r="DZ53">
            <v>0.13454791393667845</v>
          </cell>
        </row>
        <row r="54">
          <cell r="A54" t="str">
            <v xml:space="preserve"> 2Q</v>
          </cell>
          <cell r="B54">
            <v>-0.1428571428571429</v>
          </cell>
          <cell r="C54" t="str">
            <v>NM</v>
          </cell>
          <cell r="D54">
            <v>-0.1428571428571429</v>
          </cell>
          <cell r="F54">
            <v>0.24277456647398843</v>
          </cell>
          <cell r="G54">
            <v>0.23886639676113353</v>
          </cell>
          <cell r="H54">
            <v>0.24047619047619051</v>
          </cell>
          <cell r="J54">
            <v>0.34782608695652173</v>
          </cell>
          <cell r="K54">
            <v>7.4999999999999956E-2</v>
          </cell>
          <cell r="L54">
            <v>0.17460317460317465</v>
          </cell>
          <cell r="Q54">
            <v>0</v>
          </cell>
          <cell r="R54">
            <v>-5.7142857142857162E-2</v>
          </cell>
          <cell r="S54">
            <v>-5.2631578947368474E-2</v>
          </cell>
          <cell r="U54">
            <v>7.1770334928229707E-2</v>
          </cell>
          <cell r="V54">
            <v>0.17403314917127077</v>
          </cell>
          <cell r="W54">
            <v>0.11923076923076925</v>
          </cell>
          <cell r="Y54">
            <v>1.6194331983805599E-2</v>
          </cell>
          <cell r="Z54">
            <v>0.41176470588235303</v>
          </cell>
          <cell r="AA54">
            <v>8.3892617449664364E-2</v>
          </cell>
          <cell r="AC54" t="str">
            <v>NM</v>
          </cell>
          <cell r="AD54" t="str">
            <v>NM</v>
          </cell>
          <cell r="AE54" t="str">
            <v>NM</v>
          </cell>
          <cell r="AG54">
            <v>0</v>
          </cell>
          <cell r="AH54">
            <v>0</v>
          </cell>
          <cell r="AI54">
            <v>0</v>
          </cell>
          <cell r="AK54">
            <v>1.6000000000000014E-2</v>
          </cell>
          <cell r="AL54">
            <v>0.36206896551724133</v>
          </cell>
          <cell r="AM54">
            <v>8.1168831168831224E-2</v>
          </cell>
          <cell r="AO54" t="str">
            <v xml:space="preserve"> 2Q</v>
          </cell>
          <cell r="AP54">
            <v>-6.9306930693069257E-2</v>
          </cell>
          <cell r="AQ54">
            <v>-8.1300813008130524E-3</v>
          </cell>
          <cell r="AR54">
            <v>-3.5714285714285698E-2</v>
          </cell>
          <cell r="AT54">
            <v>0.21052631578947367</v>
          </cell>
          <cell r="AU54">
            <v>8.1967213114754189E-2</v>
          </cell>
          <cell r="AV54">
            <v>0.15328467153284664</v>
          </cell>
          <cell r="AX54" t="str">
            <v>NM</v>
          </cell>
          <cell r="AY54" t="str">
            <v>NM</v>
          </cell>
          <cell r="AZ54" t="str">
            <v>NM</v>
          </cell>
          <cell r="BB54">
            <v>2.7777777777777679E-2</v>
          </cell>
          <cell r="BC54">
            <v>-1.2658227848101222E-2</v>
          </cell>
          <cell r="BD54">
            <v>-5.1546391752577136E-3</v>
          </cell>
          <cell r="BF54">
            <v>4.6948356807511749E-2</v>
          </cell>
          <cell r="BG54">
            <v>5.8479532163742132E-3</v>
          </cell>
          <cell r="BH54">
            <v>2.1621621621621623E-2</v>
          </cell>
          <cell r="BJ54">
            <v>-0.25</v>
          </cell>
          <cell r="BK54">
            <v>-0.1470588235294118</v>
          </cell>
          <cell r="BL54">
            <v>-0.15277777777777779</v>
          </cell>
          <cell r="BN54" t="str">
            <v xml:space="preserve">  NM</v>
          </cell>
          <cell r="BO54">
            <v>-0.53333333333333333</v>
          </cell>
          <cell r="BP54">
            <v>-0.53333333333333333</v>
          </cell>
          <cell r="BR54">
            <v>-0.25</v>
          </cell>
          <cell r="BS54">
            <v>-0.2168674698795181</v>
          </cell>
          <cell r="BT54">
            <v>-0.2183908045977011</v>
          </cell>
          <cell r="BV54" t="str">
            <v xml:space="preserve"> 2Q</v>
          </cell>
          <cell r="BW54" t="str">
            <v>NM</v>
          </cell>
          <cell r="BX54" t="str">
            <v>NM</v>
          </cell>
          <cell r="BY54" t="str">
            <v>NM</v>
          </cell>
          <cell r="CA54">
            <v>1</v>
          </cell>
          <cell r="CB54">
            <v>0</v>
          </cell>
          <cell r="CC54">
            <v>0.94444444444444442</v>
          </cell>
          <cell r="CE54" t="str">
            <v xml:space="preserve">  NM</v>
          </cell>
          <cell r="CF54" t="str">
            <v xml:space="preserve">  NM</v>
          </cell>
          <cell r="CG54" t="str">
            <v xml:space="preserve">  NM</v>
          </cell>
          <cell r="CI54">
            <v>0.91666666666666674</v>
          </cell>
          <cell r="CJ54">
            <v>0</v>
          </cell>
          <cell r="CK54">
            <v>0.86842105263157898</v>
          </cell>
          <cell r="CM54">
            <v>0.23333333333333339</v>
          </cell>
          <cell r="CN54" t="str">
            <v xml:space="preserve">  NM</v>
          </cell>
          <cell r="CO54">
            <v>0.39999999999999991</v>
          </cell>
          <cell r="CQ54">
            <v>-0.30000000000000004</v>
          </cell>
          <cell r="CR54">
            <v>-0.44444444444444442</v>
          </cell>
          <cell r="CS54">
            <v>-0.36842105263157898</v>
          </cell>
          <cell r="CU54">
            <v>0.10000000000000009</v>
          </cell>
          <cell r="CV54">
            <v>0.11111111111111116</v>
          </cell>
          <cell r="CW54">
            <v>0.1020408163265305</v>
          </cell>
          <cell r="CY54" t="str">
            <v xml:space="preserve">  NM</v>
          </cell>
          <cell r="CZ54">
            <v>8.6956521739130377E-2</v>
          </cell>
          <cell r="DA54">
            <v>0.14925373134328357</v>
          </cell>
          <cell r="DC54" t="str">
            <v xml:space="preserve"> 2Q</v>
          </cell>
          <cell r="DD54" t="str">
            <v xml:space="preserve">    NM</v>
          </cell>
          <cell r="DE54" t="str">
            <v xml:space="preserve">    NM</v>
          </cell>
          <cell r="DF54" t="str">
            <v xml:space="preserve">    NM</v>
          </cell>
          <cell r="DL54">
            <v>0.14911366006256518</v>
          </cell>
          <cell r="DM54">
            <v>8.2162162162162156E-2</v>
          </cell>
          <cell r="DN54">
            <v>0.11624203821656051</v>
          </cell>
          <cell r="DP54">
            <v>0.30952380952380953</v>
          </cell>
          <cell r="DQ54">
            <v>-1.4492753623188406E-2</v>
          </cell>
          <cell r="DR54">
            <v>7.903780068728522E-2</v>
          </cell>
          <cell r="DT54">
            <v>4.7058823529411764E-2</v>
          </cell>
          <cell r="DU54">
            <v>0.12195121951219512</v>
          </cell>
          <cell r="DV54">
            <v>7.1428571428571425E-2</v>
          </cell>
          <cell r="DX54">
            <v>0.15336879432624115</v>
          </cell>
          <cell r="DY54">
            <v>6.6496163682864456E-2</v>
          </cell>
          <cell r="DZ54">
            <v>0.10908300738809214</v>
          </cell>
        </row>
        <row r="55">
          <cell r="A55" t="str">
            <v xml:space="preserve"> 3Q</v>
          </cell>
          <cell r="B55">
            <v>-0.10441767068273089</v>
          </cell>
          <cell r="C55" t="str">
            <v>NM</v>
          </cell>
          <cell r="D55">
            <v>-0.10441767068273089</v>
          </cell>
          <cell r="F55">
            <v>0.28436018957345977</v>
          </cell>
          <cell r="G55">
            <v>0.16538461538461546</v>
          </cell>
          <cell r="H55">
            <v>0.21868365180467086</v>
          </cell>
          <cell r="J55">
            <v>0.33928571428571419</v>
          </cell>
          <cell r="K55">
            <v>7.5949367088607556E-2</v>
          </cell>
          <cell r="L55">
            <v>0.18518518518518512</v>
          </cell>
          <cell r="Q55">
            <v>-0.5</v>
          </cell>
          <cell r="R55">
            <v>-2.9411764705882359E-2</v>
          </cell>
          <cell r="S55">
            <v>-7.8947368421052655E-2</v>
          </cell>
          <cell r="U55">
            <v>9.8076923076923173E-2</v>
          </cell>
          <cell r="V55">
            <v>0.12868632707774807</v>
          </cell>
          <cell r="W55">
            <v>0.11086226203807392</v>
          </cell>
          <cell r="Y55">
            <v>0.10238907849829348</v>
          </cell>
          <cell r="Z55">
            <v>0.26315789473684204</v>
          </cell>
          <cell r="AA55">
            <v>0.12857142857142856</v>
          </cell>
          <cell r="AC55" t="str">
            <v>NM</v>
          </cell>
          <cell r="AD55" t="str">
            <v>NM</v>
          </cell>
          <cell r="AE55" t="str">
            <v>NM</v>
          </cell>
          <cell r="AG55">
            <v>-0.4</v>
          </cell>
          <cell r="AH55">
            <v>0</v>
          </cell>
          <cell r="AI55">
            <v>-0.16666666666666663</v>
          </cell>
          <cell r="AK55">
            <v>9.3959731543624248E-2</v>
          </cell>
          <cell r="AL55">
            <v>0.234375</v>
          </cell>
          <cell r="AM55">
            <v>0.11878453038674031</v>
          </cell>
          <cell r="AO55" t="str">
            <v xml:space="preserve"> 3Q</v>
          </cell>
          <cell r="AP55">
            <v>-1.9417475728155331E-2</v>
          </cell>
          <cell r="AQ55">
            <v>-7.03125E-2</v>
          </cell>
          <cell r="AR55">
            <v>-4.7619047619047672E-2</v>
          </cell>
          <cell r="AT55">
            <v>0.10666666666666669</v>
          </cell>
          <cell r="AU55">
            <v>0</v>
          </cell>
          <cell r="AV55">
            <v>6.4516129032258007E-2</v>
          </cell>
          <cell r="AX55" t="str">
            <v>NM</v>
          </cell>
          <cell r="AY55" t="str">
            <v>NM</v>
          </cell>
          <cell r="AZ55" t="str">
            <v>NM</v>
          </cell>
          <cell r="BB55">
            <v>-4.6511627906976716E-2</v>
          </cell>
          <cell r="BC55">
            <v>-3.9735099337748325E-2</v>
          </cell>
          <cell r="BD55">
            <v>-4.123711340206182E-2</v>
          </cell>
          <cell r="BF55">
            <v>1.8099547511312153E-2</v>
          </cell>
          <cell r="BG55">
            <v>-4.5731707317073211E-2</v>
          </cell>
          <cell r="BH55">
            <v>-2.0036429872495432E-2</v>
          </cell>
          <cell r="BJ55">
            <v>0.33333333333333326</v>
          </cell>
          <cell r="BK55">
            <v>-0.12698412698412698</v>
          </cell>
          <cell r="BL55">
            <v>-0.10606060606060608</v>
          </cell>
          <cell r="BN55" t="str">
            <v xml:space="preserve">  NM</v>
          </cell>
          <cell r="BO55">
            <v>-0.46666666666666667</v>
          </cell>
          <cell r="BP55">
            <v>-0.46666666666666667</v>
          </cell>
          <cell r="BR55">
            <v>0.33333333333333326</v>
          </cell>
          <cell r="BS55">
            <v>-0.19230769230769229</v>
          </cell>
          <cell r="BT55">
            <v>-0.1728395061728395</v>
          </cell>
          <cell r="BV55" t="str">
            <v xml:space="preserve"> 3Q</v>
          </cell>
          <cell r="BW55" t="str">
            <v>NM</v>
          </cell>
          <cell r="BX55" t="str">
            <v>NM</v>
          </cell>
          <cell r="BY55" t="str">
            <v>NM</v>
          </cell>
          <cell r="CA55">
            <v>1.1515151515151514</v>
          </cell>
          <cell r="CB55">
            <v>-0.33333333333333337</v>
          </cell>
          <cell r="CC55">
            <v>1.0277777777777777</v>
          </cell>
          <cell r="CE55" t="str">
            <v xml:space="preserve">  NM</v>
          </cell>
          <cell r="CF55" t="str">
            <v xml:space="preserve">  NM</v>
          </cell>
          <cell r="CG55" t="str">
            <v xml:space="preserve">  NM</v>
          </cell>
          <cell r="CI55">
            <v>1.0277777777777777</v>
          </cell>
          <cell r="CJ55">
            <v>0</v>
          </cell>
          <cell r="CK55">
            <v>0.97368421052631571</v>
          </cell>
          <cell r="CM55">
            <v>0.25714285714285712</v>
          </cell>
          <cell r="CN55" t="str">
            <v xml:space="preserve">  NM</v>
          </cell>
          <cell r="CO55">
            <v>0.31428571428571428</v>
          </cell>
          <cell r="CQ55">
            <v>-0.36363636363636365</v>
          </cell>
          <cell r="CR55">
            <v>0</v>
          </cell>
          <cell r="CS55">
            <v>-0.22222222222222221</v>
          </cell>
          <cell r="CU55">
            <v>0.10869565217391308</v>
          </cell>
          <cell r="CV55">
            <v>0.28571428571428581</v>
          </cell>
          <cell r="CW55">
            <v>0.13207547169811318</v>
          </cell>
          <cell r="CY55" t="str">
            <v xml:space="preserve">  NM</v>
          </cell>
          <cell r="CZ55">
            <v>0.1166666666666667</v>
          </cell>
          <cell r="DA55">
            <v>7.9365079365079305E-2</v>
          </cell>
          <cell r="DC55" t="str">
            <v xml:space="preserve"> 3Q</v>
          </cell>
          <cell r="DD55" t="str">
            <v xml:space="preserve">    NM</v>
          </cell>
          <cell r="DE55" t="str">
            <v xml:space="preserve">    NM</v>
          </cell>
          <cell r="DF55" t="str">
            <v xml:space="preserve">    NM</v>
          </cell>
          <cell r="DL55">
            <v>0.19254658385093168</v>
          </cell>
          <cell r="DM55">
            <v>4.8245614035087717E-2</v>
          </cell>
          <cell r="DN55">
            <v>0.12800392349190781</v>
          </cell>
          <cell r="DP55">
            <v>0.13934426229508196</v>
          </cell>
          <cell r="DQ55">
            <v>2.7777777777777776E-2</v>
          </cell>
          <cell r="DR55">
            <v>7.2847682119205295E-2</v>
          </cell>
          <cell r="DT55">
            <v>3.7974683544303799E-2</v>
          </cell>
          <cell r="DU55">
            <v>7.8947368421052627E-2</v>
          </cell>
          <cell r="DV55">
            <v>5.128205128205128E-2</v>
          </cell>
          <cell r="DX55">
            <v>0.17846385542168675</v>
          </cell>
          <cell r="DY55">
            <v>4.6017699115044247E-2</v>
          </cell>
          <cell r="DZ55">
            <v>0.11757526444263629</v>
          </cell>
        </row>
        <row r="56">
          <cell r="A56" t="str">
            <v xml:space="preserve"> 4Q</v>
          </cell>
          <cell r="B56">
            <v>-0.24705882352941178</v>
          </cell>
          <cell r="C56" t="str">
            <v>NM</v>
          </cell>
          <cell r="D56">
            <v>-0.24705882352941178</v>
          </cell>
          <cell r="F56">
            <v>0.26431718061674014</v>
          </cell>
          <cell r="G56">
            <v>0.16206896551724137</v>
          </cell>
          <cell r="H56">
            <v>0.20696324951644107</v>
          </cell>
          <cell r="J56">
            <v>0.12698412698412698</v>
          </cell>
          <cell r="K56">
            <v>5.7471264367816133E-2</v>
          </cell>
          <cell r="L56">
            <v>8.666666666666667E-2</v>
          </cell>
          <cell r="Q56">
            <v>-0.5</v>
          </cell>
          <cell r="R56">
            <v>8.5714285714285632E-2</v>
          </cell>
          <cell r="S56">
            <v>2.564102564102555E-2</v>
          </cell>
          <cell r="U56">
            <v>5.464480874316946E-3</v>
          </cell>
          <cell r="V56">
            <v>0.13349514563106801</v>
          </cell>
          <cell r="W56">
            <v>6.0353798126951075E-2</v>
          </cell>
          <cell r="Y56">
            <v>6.4724919093850364E-3</v>
          </cell>
          <cell r="Z56">
            <v>0.33333333333333326</v>
          </cell>
          <cell r="AA56">
            <v>6.1827956989247257E-2</v>
          </cell>
          <cell r="AC56" t="str">
            <v>NM</v>
          </cell>
          <cell r="AD56" t="str">
            <v>NM</v>
          </cell>
          <cell r="AE56" t="str">
            <v>NM</v>
          </cell>
          <cell r="AG56">
            <v>0</v>
          </cell>
          <cell r="AH56">
            <v>0.71428571428571419</v>
          </cell>
          <cell r="AI56">
            <v>0.45454545454545459</v>
          </cell>
          <cell r="AK56">
            <v>6.389776357827559E-3</v>
          </cell>
          <cell r="AL56">
            <v>0.37142857142857144</v>
          </cell>
          <cell r="AM56">
            <v>7.3107049608355013E-2</v>
          </cell>
          <cell r="AO56" t="str">
            <v xml:space="preserve"> 4Q</v>
          </cell>
          <cell r="AP56">
            <v>-6.5420560747663559E-2</v>
          </cell>
          <cell r="AQ56">
            <v>-5.2631578947368474E-2</v>
          </cell>
          <cell r="AR56">
            <v>-5.8333333333333348E-2</v>
          </cell>
          <cell r="AT56">
            <v>0.4701492537313432</v>
          </cell>
          <cell r="AU56">
            <v>9.375E-2</v>
          </cell>
          <cell r="AV56">
            <v>0.3484848484848484</v>
          </cell>
          <cell r="AX56" t="str">
            <v>NM</v>
          </cell>
          <cell r="AY56" t="str">
            <v>NM</v>
          </cell>
          <cell r="AZ56" t="str">
            <v>NM</v>
          </cell>
          <cell r="BB56">
            <v>-4.2553191489361653E-2</v>
          </cell>
          <cell r="BC56">
            <v>-6.5088757396449703E-2</v>
          </cell>
          <cell r="BD56">
            <v>-6.018518518518523E-2</v>
          </cell>
          <cell r="BF56">
            <v>0.1875</v>
          </cell>
          <cell r="BG56">
            <v>-3.2786885245901676E-2</v>
          </cell>
          <cell r="BH56">
            <v>6.4220183486238591E-2</v>
          </cell>
          <cell r="BJ56">
            <v>-0.33333333333333337</v>
          </cell>
          <cell r="BK56">
            <v>-0.1470588235294118</v>
          </cell>
          <cell r="BL56">
            <v>-0.16216216216216217</v>
          </cell>
          <cell r="BN56" t="str">
            <v xml:space="preserve">  NM</v>
          </cell>
          <cell r="BO56">
            <v>-0.58823529411764708</v>
          </cell>
          <cell r="BP56">
            <v>-0.58823529411764708</v>
          </cell>
          <cell r="BR56">
            <v>-0.33333333333333337</v>
          </cell>
          <cell r="BS56">
            <v>-0.23529411764705888</v>
          </cell>
          <cell r="BT56">
            <v>-0.24175824175824179</v>
          </cell>
          <cell r="BV56" t="str">
            <v xml:space="preserve"> 4Q</v>
          </cell>
          <cell r="BW56" t="str">
            <v>NM</v>
          </cell>
          <cell r="BX56" t="str">
            <v>NM</v>
          </cell>
          <cell r="BY56" t="str">
            <v>NM</v>
          </cell>
          <cell r="CA56">
            <v>0.4285714285714286</v>
          </cell>
          <cell r="CB56" t="str">
            <v xml:space="preserve"> NM</v>
          </cell>
          <cell r="CC56">
            <v>0.44897959183673475</v>
          </cell>
          <cell r="CE56" t="str">
            <v xml:space="preserve">  NM</v>
          </cell>
          <cell r="CF56" t="str">
            <v xml:space="preserve">  NM</v>
          </cell>
          <cell r="CG56" t="str">
            <v xml:space="preserve">  NM</v>
          </cell>
          <cell r="CI56">
            <v>0.41176470588235303</v>
          </cell>
          <cell r="CJ56" t="str">
            <v xml:space="preserve">    NM</v>
          </cell>
          <cell r="CK56">
            <v>0.40384615384615374</v>
          </cell>
          <cell r="CM56">
            <v>7.3170731707317138E-2</v>
          </cell>
          <cell r="CN56" t="str">
            <v xml:space="preserve">  NM</v>
          </cell>
          <cell r="CO56">
            <v>0.14634146341463405</v>
          </cell>
          <cell r="CQ56">
            <v>-0.19999999999999996</v>
          </cell>
          <cell r="CR56">
            <v>-0.125</v>
          </cell>
          <cell r="CS56">
            <v>-0.16666666666666663</v>
          </cell>
          <cell r="CU56">
            <v>1.9607843137254832E-2</v>
          </cell>
          <cell r="CV56">
            <v>0.25</v>
          </cell>
          <cell r="CW56">
            <v>5.0847457627118731E-2</v>
          </cell>
          <cell r="CY56">
            <v>0</v>
          </cell>
          <cell r="CZ56">
            <v>0.05</v>
          </cell>
          <cell r="DA56">
            <v>4.8780487804878092E-2</v>
          </cell>
          <cell r="DC56" t="str">
            <v xml:space="preserve"> 4Q</v>
          </cell>
          <cell r="DD56" t="str">
            <v xml:space="preserve">    NM</v>
          </cell>
          <cell r="DE56" t="str">
            <v xml:space="preserve">    NM</v>
          </cell>
          <cell r="DF56" t="str">
            <v xml:space="preserve">    NM</v>
          </cell>
          <cell r="DL56">
            <v>0.18196202531645569</v>
          </cell>
          <cell r="DM56">
            <v>6.5815324165029471E-2</v>
          </cell>
          <cell r="DN56">
            <v>0.13014899211218228</v>
          </cell>
          <cell r="DP56">
            <v>0.38053097345132741</v>
          </cell>
          <cell r="DQ56">
            <v>-3.2128514056224897E-2</v>
          </cell>
          <cell r="DR56">
            <v>9.668508287292818E-2</v>
          </cell>
          <cell r="DT56">
            <v>-3.7037037037037035E-2</v>
          </cell>
          <cell r="DU56">
            <v>7.3170731707317069E-2</v>
          </cell>
          <cell r="DV56">
            <v>1.0526315789473684E-2</v>
          </cell>
          <cell r="DX56">
            <v>0.18937805730258561</v>
          </cell>
          <cell r="DY56">
            <v>4.7400611620795105E-2</v>
          </cell>
          <cell r="DZ56">
            <v>0.12157721796276014</v>
          </cell>
        </row>
        <row r="58">
          <cell r="A58" t="str">
            <v>Year</v>
          </cell>
          <cell r="B58">
            <v>-0.18200816001592202</v>
          </cell>
          <cell r="C58" t="str">
            <v>NM</v>
          </cell>
          <cell r="D58">
            <v>-0.18200816001592202</v>
          </cell>
          <cell r="F58">
            <v>0.26305067481538069</v>
          </cell>
          <cell r="G58">
            <v>0.2123911322248615</v>
          </cell>
          <cell r="H58">
            <v>0.23454727697961908</v>
          </cell>
          <cell r="I58" t="e">
            <v>#DIV/0!</v>
          </cell>
          <cell r="J58">
            <v>0.30455185358986392</v>
          </cell>
          <cell r="K58">
            <v>8.4713973116599117E-2</v>
          </cell>
          <cell r="L58">
            <v>0.17260787992495308</v>
          </cell>
          <cell r="Q58">
            <v>-0.36708860759493944</v>
          </cell>
          <cell r="R58">
            <v>-3.3674963396778668E-2</v>
          </cell>
          <cell r="S58">
            <v>-6.8241469816273215E-2</v>
          </cell>
          <cell r="U58">
            <v>4.1006339144215476E-2</v>
          </cell>
          <cell r="V58">
            <v>0.16163337650828269</v>
          </cell>
          <cell r="W58">
            <v>9.1764435902584651E-2</v>
          </cell>
          <cell r="Y58">
            <v>8.5195406391881168E-2</v>
          </cell>
          <cell r="Z58">
            <v>0.34894613583138168</v>
          </cell>
          <cell r="AA58">
            <v>0.12731897067624187</v>
          </cell>
          <cell r="AC58" t="str">
            <v>NM</v>
          </cell>
          <cell r="AD58" t="str">
            <v>NM</v>
          </cell>
          <cell r="AE58" t="str">
            <v>NM</v>
          </cell>
          <cell r="AG58">
            <v>-0.16167664670658621</v>
          </cell>
          <cell r="AH58">
            <v>0.12280701754385959</v>
          </cell>
          <cell r="AI58">
            <v>1.7699115044248037E-2</v>
          </cell>
          <cell r="AK58">
            <v>8.1578947368420973E-2</v>
          </cell>
          <cell r="AL58">
            <v>0.3223140495867769</v>
          </cell>
          <cell r="AM58">
            <v>0.12373371924746746</v>
          </cell>
          <cell r="AO58" t="str">
            <v>Year</v>
          </cell>
          <cell r="AP58">
            <v>-3.375733855185914E-2</v>
          </cell>
          <cell r="AQ58">
            <v>-3.2322426177174735E-2</v>
          </cell>
          <cell r="AR58">
            <v>-3.2967032967032961E-2</v>
          </cell>
          <cell r="AT58">
            <v>0.48735879505110269</v>
          </cell>
          <cell r="AU58">
            <v>8.6780210867802188E-2</v>
          </cell>
          <cell r="AV58">
            <v>0.32761966364812434</v>
          </cell>
          <cell r="AW58" t="e">
            <v>#DIV/0!</v>
          </cell>
          <cell r="AX58" t="str">
            <v>NM</v>
          </cell>
          <cell r="AY58" t="str">
            <v>NM</v>
          </cell>
          <cell r="AZ58" t="str">
            <v>NM</v>
          </cell>
          <cell r="BB58">
            <v>9.0634441087613649E-3</v>
          </cell>
          <cell r="BC58">
            <v>-3.6201222378937303E-2</v>
          </cell>
          <cell r="BD58">
            <v>-2.6879044300647026E-2</v>
          </cell>
          <cell r="BF58">
            <v>0.1785223549307684</v>
          </cell>
          <cell r="BG58">
            <v>-1.2915794790388957E-2</v>
          </cell>
          <cell r="BH58">
            <v>6.4751286449399759E-2</v>
          </cell>
          <cell r="BJ58">
            <v>-0.26701570680628273</v>
          </cell>
          <cell r="BK58">
            <v>-0.13937547600913947</v>
          </cell>
          <cell r="BL58">
            <v>-0.14802981895633649</v>
          </cell>
          <cell r="BN58" t="str">
            <v xml:space="preserve">  NM</v>
          </cell>
          <cell r="BO58">
            <v>-0.51986754966887416</v>
          </cell>
          <cell r="BP58">
            <v>-0.5190713101160862</v>
          </cell>
          <cell r="BR58">
            <v>-0.26315789473684215</v>
          </cell>
          <cell r="BS58">
            <v>-0.21052631578947367</v>
          </cell>
          <cell r="BT58">
            <v>-0.21345029239766078</v>
          </cell>
          <cell r="BV58" t="str">
            <v>Year</v>
          </cell>
          <cell r="BW58" t="str">
            <v>NM</v>
          </cell>
          <cell r="BX58" t="str">
            <v>NM</v>
          </cell>
          <cell r="BY58" t="str">
            <v>NM</v>
          </cell>
          <cell r="CA58">
            <v>0.85581727337615998</v>
          </cell>
          <cell r="CB58">
            <v>-6.25E-2</v>
          </cell>
          <cell r="CC58">
            <v>0.8156996587030716</v>
          </cell>
          <cell r="CE58" t="str">
            <v xml:space="preserve">  NM</v>
          </cell>
          <cell r="CF58" t="str">
            <v xml:space="preserve">  NM</v>
          </cell>
          <cell r="CG58" t="str">
            <v xml:space="preserve">  NM</v>
          </cell>
          <cell r="CI58">
            <v>0.78</v>
          </cell>
          <cell r="CJ58">
            <v>0</v>
          </cell>
          <cell r="CK58">
            <v>0.75</v>
          </cell>
          <cell r="CM58">
            <v>0.2424698795180722</v>
          </cell>
          <cell r="CN58" t="str">
            <v xml:space="preserve">  NM</v>
          </cell>
          <cell r="CO58">
            <v>0.31777108433734935</v>
          </cell>
          <cell r="CQ58">
            <v>-0.36440677966101698</v>
          </cell>
          <cell r="CR58">
            <v>-0.125</v>
          </cell>
          <cell r="CS58">
            <v>-0.26767676767676774</v>
          </cell>
          <cell r="CU58">
            <v>8.3333333333333259E-2</v>
          </cell>
          <cell r="CV58">
            <v>0.1875</v>
          </cell>
          <cell r="CW58">
            <v>9.9056603773584939E-2</v>
          </cell>
          <cell r="CY58">
            <v>-0.13043478260868924</v>
          </cell>
          <cell r="CZ58">
            <v>0.10655737704917989</v>
          </cell>
          <cell r="DA58">
            <v>9.8703170028818343E-2</v>
          </cell>
          <cell r="DC58" t="str">
            <v>Year</v>
          </cell>
          <cell r="DD58" t="str">
            <v xml:space="preserve">    NM</v>
          </cell>
          <cell r="DE58" t="str">
            <v xml:space="preserve">    NM</v>
          </cell>
          <cell r="DF58" t="str">
            <v xml:space="preserve">    NM</v>
          </cell>
          <cell r="DL58">
            <v>0.17396661812478997</v>
          </cell>
          <cell r="DM58">
            <v>7.3787659094570704E-2</v>
          </cell>
          <cell r="DN58">
            <v>0.12839991694859365</v>
          </cell>
          <cell r="DP58">
            <v>0.26</v>
          </cell>
          <cell r="DQ58">
            <v>4.8661800486618006E-3</v>
          </cell>
          <cell r="DR58">
            <v>8.8379705400982E-2</v>
          </cell>
          <cell r="DT58">
            <v>5.9405940594059403E-2</v>
          </cell>
          <cell r="DU58">
            <v>9.2715231788079472E-2</v>
          </cell>
          <cell r="DV58">
            <v>7.0484581497797363E-2</v>
          </cell>
          <cell r="DX58">
            <v>0.17390883576889576</v>
          </cell>
          <cell r="DY58">
            <v>6.2335008089925953E-2</v>
          </cell>
          <cell r="DZ58">
            <v>0.1207761793241886</v>
          </cell>
        </row>
        <row r="60">
          <cell r="A60" t="str">
            <v>1997</v>
          </cell>
          <cell r="AO60" t="str">
            <v>1997</v>
          </cell>
          <cell r="BV60" t="str">
            <v>1997</v>
          </cell>
          <cell r="DC60" t="str">
            <v>1997</v>
          </cell>
        </row>
        <row r="61">
          <cell r="A61" t="str">
            <v xml:space="preserve"> 1Q</v>
          </cell>
          <cell r="B61">
            <v>239</v>
          </cell>
          <cell r="C61">
            <v>0</v>
          </cell>
          <cell r="D61">
            <v>239</v>
          </cell>
          <cell r="E61">
            <v>0</v>
          </cell>
          <cell r="F61">
            <v>219</v>
          </cell>
          <cell r="G61">
            <v>279</v>
          </cell>
          <cell r="H61">
            <v>498</v>
          </cell>
          <cell r="I61">
            <v>0</v>
          </cell>
          <cell r="J61">
            <v>70</v>
          </cell>
          <cell r="K61">
            <v>84</v>
          </cell>
          <cell r="L61">
            <v>154</v>
          </cell>
          <cell r="Q61">
            <v>3</v>
          </cell>
          <cell r="R61">
            <v>28</v>
          </cell>
          <cell r="S61">
            <v>31</v>
          </cell>
          <cell r="U61">
            <v>531</v>
          </cell>
          <cell r="V61">
            <v>391</v>
          </cell>
          <cell r="W61">
            <v>922</v>
          </cell>
          <cell r="Y61">
            <v>334</v>
          </cell>
          <cell r="Z61">
            <v>60</v>
          </cell>
          <cell r="AA61">
            <v>394</v>
          </cell>
          <cell r="AC61">
            <v>0</v>
          </cell>
          <cell r="AD61">
            <v>0</v>
          </cell>
          <cell r="AE61">
            <v>0</v>
          </cell>
          <cell r="AG61">
            <v>4</v>
          </cell>
          <cell r="AH61">
            <v>6</v>
          </cell>
          <cell r="AI61">
            <v>10</v>
          </cell>
          <cell r="AK61">
            <v>338</v>
          </cell>
          <cell r="AL61">
            <v>66</v>
          </cell>
          <cell r="AM61">
            <v>404</v>
          </cell>
          <cell r="AO61" t="str">
            <v xml:space="preserve"> 1Q</v>
          </cell>
          <cell r="AP61">
            <v>100</v>
          </cell>
          <cell r="AQ61">
            <v>118</v>
          </cell>
          <cell r="AR61">
            <v>218</v>
          </cell>
          <cell r="AT61">
            <v>181</v>
          </cell>
          <cell r="AU61">
            <v>83</v>
          </cell>
          <cell r="AV61">
            <v>264</v>
          </cell>
          <cell r="AX61">
            <v>0</v>
          </cell>
          <cell r="AY61">
            <v>0</v>
          </cell>
          <cell r="AZ61">
            <v>0</v>
          </cell>
          <cell r="BB61">
            <v>44</v>
          </cell>
          <cell r="BC61">
            <v>156</v>
          </cell>
          <cell r="BD61">
            <v>200</v>
          </cell>
          <cell r="BF61">
            <v>325</v>
          </cell>
          <cell r="BG61">
            <v>357</v>
          </cell>
          <cell r="BH61">
            <v>682</v>
          </cell>
          <cell r="BJ61">
            <v>3</v>
          </cell>
          <cell r="BK61">
            <v>55</v>
          </cell>
          <cell r="BL61">
            <v>58</v>
          </cell>
          <cell r="BN61">
            <v>0</v>
          </cell>
          <cell r="BO61">
            <v>7</v>
          </cell>
          <cell r="BP61">
            <v>7</v>
          </cell>
          <cell r="BR61">
            <v>3</v>
          </cell>
          <cell r="BS61">
            <v>62</v>
          </cell>
          <cell r="BT61">
            <v>65</v>
          </cell>
          <cell r="BV61" t="str">
            <v xml:space="preserve"> 1Q</v>
          </cell>
          <cell r="BW61">
            <v>0</v>
          </cell>
          <cell r="BX61">
            <v>0</v>
          </cell>
          <cell r="BY61">
            <v>0</v>
          </cell>
          <cell r="CA61">
            <v>51</v>
          </cell>
          <cell r="CB61">
            <v>1</v>
          </cell>
          <cell r="CC61">
            <v>52</v>
          </cell>
          <cell r="CE61">
            <v>2</v>
          </cell>
          <cell r="CF61">
            <v>0</v>
          </cell>
          <cell r="CG61">
            <v>2</v>
          </cell>
          <cell r="CI61">
            <v>53</v>
          </cell>
          <cell r="CJ61">
            <v>1</v>
          </cell>
          <cell r="CK61">
            <v>54</v>
          </cell>
          <cell r="CM61">
            <v>40</v>
          </cell>
          <cell r="CN61">
            <v>0</v>
          </cell>
          <cell r="CO61">
            <v>40</v>
          </cell>
          <cell r="CQ61">
            <v>8</v>
          </cell>
          <cell r="CR61">
            <v>9</v>
          </cell>
          <cell r="CS61">
            <v>17</v>
          </cell>
          <cell r="CU61">
            <v>48</v>
          </cell>
          <cell r="CV61">
            <v>9</v>
          </cell>
          <cell r="CW61">
            <v>57</v>
          </cell>
          <cell r="CY61">
            <v>3</v>
          </cell>
          <cell r="CZ61">
            <v>71</v>
          </cell>
          <cell r="DA61">
            <v>74</v>
          </cell>
          <cell r="DC61" t="str">
            <v xml:space="preserve"> 1Q</v>
          </cell>
          <cell r="DD61">
            <v>0</v>
          </cell>
          <cell r="DE61">
            <v>0</v>
          </cell>
          <cell r="DF61">
            <v>0</v>
          </cell>
          <cell r="DH61">
            <v>-1</v>
          </cell>
          <cell r="DI61">
            <v>0</v>
          </cell>
          <cell r="DJ61">
            <v>-1</v>
          </cell>
          <cell r="DL61">
            <v>1300</v>
          </cell>
          <cell r="DM61">
            <v>957</v>
          </cell>
          <cell r="DN61">
            <v>2257</v>
          </cell>
          <cell r="DP61">
            <v>99</v>
          </cell>
          <cell r="DQ61">
            <v>196</v>
          </cell>
          <cell r="DR61">
            <v>295</v>
          </cell>
          <cell r="DT61">
            <v>98</v>
          </cell>
          <cell r="DU61">
            <v>34</v>
          </cell>
          <cell r="DV61">
            <v>132</v>
          </cell>
          <cell r="DX61">
            <v>1497</v>
          </cell>
          <cell r="DY61">
            <v>1187</v>
          </cell>
          <cell r="DZ61">
            <v>2684</v>
          </cell>
        </row>
        <row r="62">
          <cell r="A62" t="str">
            <v xml:space="preserve"> 2Q</v>
          </cell>
          <cell r="B62">
            <v>168</v>
          </cell>
          <cell r="C62">
            <v>0</v>
          </cell>
          <cell r="D62">
            <v>168</v>
          </cell>
          <cell r="E62">
            <v>0</v>
          </cell>
          <cell r="F62">
            <v>215</v>
          </cell>
          <cell r="G62">
            <v>306</v>
          </cell>
          <cell r="H62">
            <v>521</v>
          </cell>
          <cell r="I62">
            <v>0</v>
          </cell>
          <cell r="J62">
            <v>62</v>
          </cell>
          <cell r="K62">
            <v>86</v>
          </cell>
          <cell r="L62">
            <v>148</v>
          </cell>
          <cell r="Q62">
            <v>3</v>
          </cell>
          <cell r="R62">
            <v>33</v>
          </cell>
          <cell r="S62">
            <v>36</v>
          </cell>
          <cell r="U62">
            <v>448</v>
          </cell>
          <cell r="V62">
            <v>425</v>
          </cell>
          <cell r="W62">
            <v>873</v>
          </cell>
          <cell r="Y62">
            <v>251</v>
          </cell>
          <cell r="Z62">
            <v>72</v>
          </cell>
          <cell r="AA62">
            <v>323</v>
          </cell>
          <cell r="AC62">
            <v>0</v>
          </cell>
          <cell r="AD62">
            <v>0</v>
          </cell>
          <cell r="AE62">
            <v>0</v>
          </cell>
          <cell r="AG62">
            <v>3</v>
          </cell>
          <cell r="AH62">
            <v>7</v>
          </cell>
          <cell r="AI62">
            <v>10</v>
          </cell>
          <cell r="AK62">
            <v>254</v>
          </cell>
          <cell r="AL62">
            <v>79</v>
          </cell>
          <cell r="AM62">
            <v>333</v>
          </cell>
          <cell r="AO62" t="str">
            <v xml:space="preserve"> 2Q</v>
          </cell>
          <cell r="AP62">
            <v>94</v>
          </cell>
          <cell r="AQ62">
            <v>122</v>
          </cell>
          <cell r="AR62">
            <v>216</v>
          </cell>
          <cell r="AT62">
            <v>92</v>
          </cell>
          <cell r="AU62">
            <v>66</v>
          </cell>
          <cell r="AV62">
            <v>158</v>
          </cell>
          <cell r="AX62">
            <v>0</v>
          </cell>
          <cell r="AY62">
            <v>0</v>
          </cell>
          <cell r="AZ62">
            <v>0</v>
          </cell>
          <cell r="BB62">
            <v>37</v>
          </cell>
          <cell r="BC62">
            <v>156</v>
          </cell>
          <cell r="BD62">
            <v>193</v>
          </cell>
          <cell r="BF62">
            <v>223</v>
          </cell>
          <cell r="BG62">
            <v>344</v>
          </cell>
          <cell r="BH62">
            <v>567</v>
          </cell>
          <cell r="BJ62">
            <v>3</v>
          </cell>
          <cell r="BK62">
            <v>58</v>
          </cell>
          <cell r="BL62">
            <v>61</v>
          </cell>
          <cell r="BN62">
            <v>0</v>
          </cell>
          <cell r="BO62">
            <v>7</v>
          </cell>
          <cell r="BP62">
            <v>7</v>
          </cell>
          <cell r="BR62">
            <v>3</v>
          </cell>
          <cell r="BS62">
            <v>65</v>
          </cell>
          <cell r="BT62">
            <v>68</v>
          </cell>
          <cell r="BV62" t="str">
            <v xml:space="preserve"> 2Q</v>
          </cell>
          <cell r="BW62">
            <v>0</v>
          </cell>
          <cell r="BX62">
            <v>0</v>
          </cell>
          <cell r="BY62">
            <v>0</v>
          </cell>
          <cell r="CA62">
            <v>68</v>
          </cell>
          <cell r="CB62">
            <v>2</v>
          </cell>
          <cell r="CC62">
            <v>70</v>
          </cell>
          <cell r="CE62">
            <v>1</v>
          </cell>
          <cell r="CF62">
            <v>0</v>
          </cell>
          <cell r="CG62">
            <v>1</v>
          </cell>
          <cell r="CI62">
            <v>69</v>
          </cell>
          <cell r="CJ62">
            <v>2</v>
          </cell>
          <cell r="CK62">
            <v>71</v>
          </cell>
          <cell r="CM62">
            <v>37</v>
          </cell>
          <cell r="CN62">
            <v>5</v>
          </cell>
          <cell r="CO62">
            <v>42</v>
          </cell>
          <cell r="CQ62">
            <v>7</v>
          </cell>
          <cell r="CR62">
            <v>5</v>
          </cell>
          <cell r="CS62">
            <v>12</v>
          </cell>
          <cell r="CU62">
            <v>44</v>
          </cell>
          <cell r="CV62">
            <v>10</v>
          </cell>
          <cell r="CW62">
            <v>54</v>
          </cell>
          <cell r="CY62">
            <v>2</v>
          </cell>
          <cell r="CZ62">
            <v>75</v>
          </cell>
          <cell r="DA62">
            <v>77</v>
          </cell>
          <cell r="DC62" t="str">
            <v xml:space="preserve"> 2Q</v>
          </cell>
          <cell r="DD62">
            <v>0</v>
          </cell>
          <cell r="DE62">
            <v>0</v>
          </cell>
          <cell r="DF62">
            <v>0</v>
          </cell>
          <cell r="DH62">
            <v>58</v>
          </cell>
          <cell r="DI62">
            <v>1</v>
          </cell>
          <cell r="DJ62">
            <v>59</v>
          </cell>
          <cell r="DL62">
            <v>1102</v>
          </cell>
          <cell r="DM62">
            <v>1001</v>
          </cell>
          <cell r="DN62">
            <v>2103</v>
          </cell>
          <cell r="DP62">
            <v>110</v>
          </cell>
          <cell r="DQ62">
            <v>204</v>
          </cell>
          <cell r="DR62">
            <v>314</v>
          </cell>
          <cell r="DT62">
            <v>89</v>
          </cell>
          <cell r="DU62">
            <v>46</v>
          </cell>
          <cell r="DV62">
            <v>135</v>
          </cell>
          <cell r="DX62">
            <v>1301</v>
          </cell>
          <cell r="DY62">
            <v>1251</v>
          </cell>
          <cell r="DZ62">
            <v>2552</v>
          </cell>
        </row>
        <row r="63">
          <cell r="A63" t="str">
            <v xml:space="preserve"> 3Q</v>
          </cell>
          <cell r="B63">
            <v>223</v>
          </cell>
          <cell r="C63">
            <v>0</v>
          </cell>
          <cell r="D63">
            <v>223</v>
          </cell>
          <cell r="E63">
            <v>0</v>
          </cell>
          <cell r="F63">
            <v>271</v>
          </cell>
          <cell r="G63">
            <v>303</v>
          </cell>
          <cell r="H63">
            <v>574</v>
          </cell>
          <cell r="I63">
            <v>0</v>
          </cell>
          <cell r="J63">
            <v>75</v>
          </cell>
          <cell r="K63">
            <v>85</v>
          </cell>
          <cell r="L63">
            <v>160</v>
          </cell>
          <cell r="Q63">
            <v>2</v>
          </cell>
          <cell r="R63">
            <v>33</v>
          </cell>
          <cell r="S63">
            <v>35</v>
          </cell>
          <cell r="U63">
            <v>571</v>
          </cell>
          <cell r="V63">
            <v>421</v>
          </cell>
          <cell r="W63">
            <v>992</v>
          </cell>
          <cell r="Y63">
            <v>323</v>
          </cell>
          <cell r="Z63">
            <v>72</v>
          </cell>
          <cell r="AA63">
            <v>395</v>
          </cell>
          <cell r="AC63">
            <v>0</v>
          </cell>
          <cell r="AD63">
            <v>0</v>
          </cell>
          <cell r="AE63">
            <v>0</v>
          </cell>
          <cell r="AG63">
            <v>3</v>
          </cell>
          <cell r="AH63">
            <v>7</v>
          </cell>
          <cell r="AI63">
            <v>10</v>
          </cell>
          <cell r="AK63">
            <v>326</v>
          </cell>
          <cell r="AL63">
            <v>79</v>
          </cell>
          <cell r="AM63">
            <v>405</v>
          </cell>
          <cell r="AO63" t="str">
            <v xml:space="preserve"> 3Q</v>
          </cell>
          <cell r="AP63">
            <v>101</v>
          </cell>
          <cell r="AQ63">
            <v>119</v>
          </cell>
          <cell r="AR63">
            <v>220</v>
          </cell>
          <cell r="AT63">
            <v>83</v>
          </cell>
          <cell r="AU63">
            <v>49</v>
          </cell>
          <cell r="AV63">
            <v>132</v>
          </cell>
          <cell r="AX63">
            <v>0</v>
          </cell>
          <cell r="AY63">
            <v>0</v>
          </cell>
          <cell r="AZ63">
            <v>0</v>
          </cell>
          <cell r="BB63">
            <v>41</v>
          </cell>
          <cell r="BC63">
            <v>145</v>
          </cell>
          <cell r="BD63">
            <v>186</v>
          </cell>
          <cell r="BF63">
            <v>225</v>
          </cell>
          <cell r="BG63">
            <v>313</v>
          </cell>
          <cell r="BH63">
            <v>538</v>
          </cell>
          <cell r="BJ63">
            <v>4</v>
          </cell>
          <cell r="BK63">
            <v>55</v>
          </cell>
          <cell r="BL63">
            <v>59</v>
          </cell>
          <cell r="BN63">
            <v>0</v>
          </cell>
          <cell r="BO63">
            <v>8</v>
          </cell>
          <cell r="BP63">
            <v>8</v>
          </cell>
          <cell r="BR63">
            <v>4</v>
          </cell>
          <cell r="BS63">
            <v>63</v>
          </cell>
          <cell r="BT63">
            <v>67</v>
          </cell>
          <cell r="BV63" t="str">
            <v xml:space="preserve"> 3Q</v>
          </cell>
          <cell r="BW63">
            <v>0</v>
          </cell>
          <cell r="BX63">
            <v>0</v>
          </cell>
          <cell r="BY63">
            <v>0</v>
          </cell>
          <cell r="CA63">
            <v>71</v>
          </cell>
          <cell r="CB63">
            <v>2</v>
          </cell>
          <cell r="CC63">
            <v>73</v>
          </cell>
          <cell r="CE63">
            <v>2</v>
          </cell>
          <cell r="CF63">
            <v>0</v>
          </cell>
          <cell r="CG63">
            <v>2</v>
          </cell>
          <cell r="CI63">
            <v>73</v>
          </cell>
          <cell r="CJ63">
            <v>2</v>
          </cell>
          <cell r="CK63">
            <v>75</v>
          </cell>
          <cell r="CM63">
            <v>44</v>
          </cell>
          <cell r="CN63">
            <v>2</v>
          </cell>
          <cell r="CO63">
            <v>46</v>
          </cell>
          <cell r="CQ63">
            <v>7</v>
          </cell>
          <cell r="CR63">
            <v>7</v>
          </cell>
          <cell r="CS63">
            <v>14</v>
          </cell>
          <cell r="CU63">
            <v>51</v>
          </cell>
          <cell r="CV63">
            <v>9</v>
          </cell>
          <cell r="CW63">
            <v>60</v>
          </cell>
          <cell r="CY63">
            <v>1</v>
          </cell>
          <cell r="CZ63">
            <v>67</v>
          </cell>
          <cell r="DA63">
            <v>68</v>
          </cell>
          <cell r="DC63" t="str">
            <v xml:space="preserve"> 3Q</v>
          </cell>
          <cell r="DD63">
            <v>0</v>
          </cell>
          <cell r="DE63">
            <v>0</v>
          </cell>
          <cell r="DF63">
            <v>0</v>
          </cell>
          <cell r="DH63">
            <v>93</v>
          </cell>
          <cell r="DI63">
            <v>2</v>
          </cell>
          <cell r="DJ63">
            <v>95</v>
          </cell>
          <cell r="DL63">
            <v>1344</v>
          </cell>
          <cell r="DM63">
            <v>956</v>
          </cell>
          <cell r="DN63">
            <v>2300</v>
          </cell>
          <cell r="DP63">
            <v>139</v>
          </cell>
          <cell r="DQ63">
            <v>185</v>
          </cell>
          <cell r="DR63">
            <v>324</v>
          </cell>
          <cell r="DT63">
            <v>82</v>
          </cell>
          <cell r="DU63">
            <v>41</v>
          </cell>
          <cell r="DV63">
            <v>123</v>
          </cell>
          <cell r="DX63">
            <v>1565</v>
          </cell>
          <cell r="DY63">
            <v>1182</v>
          </cell>
          <cell r="DZ63">
            <v>2747</v>
          </cell>
        </row>
        <row r="64">
          <cell r="A64" t="str">
            <v xml:space="preserve"> 4Q</v>
          </cell>
          <cell r="B64">
            <v>192</v>
          </cell>
          <cell r="C64">
            <v>0</v>
          </cell>
          <cell r="D64">
            <v>192</v>
          </cell>
          <cell r="E64">
            <v>0</v>
          </cell>
          <cell r="F64">
            <v>287</v>
          </cell>
          <cell r="G64">
            <v>337</v>
          </cell>
          <cell r="H64">
            <v>624</v>
          </cell>
          <cell r="I64">
            <v>0</v>
          </cell>
          <cell r="J64">
            <v>71</v>
          </cell>
          <cell r="K64">
            <v>92</v>
          </cell>
          <cell r="L64">
            <v>163</v>
          </cell>
          <cell r="Q64">
            <v>2</v>
          </cell>
          <cell r="R64">
            <v>38</v>
          </cell>
          <cell r="S64">
            <v>40</v>
          </cell>
          <cell r="U64">
            <v>552</v>
          </cell>
          <cell r="V64">
            <v>467</v>
          </cell>
          <cell r="W64">
            <v>1019</v>
          </cell>
          <cell r="Y64">
            <v>311</v>
          </cell>
          <cell r="Z64">
            <v>84</v>
          </cell>
          <cell r="AA64">
            <v>395</v>
          </cell>
          <cell r="AC64">
            <v>0</v>
          </cell>
          <cell r="AD64">
            <v>0</v>
          </cell>
          <cell r="AE64">
            <v>0</v>
          </cell>
          <cell r="AG64">
            <v>4</v>
          </cell>
          <cell r="AH64">
            <v>12</v>
          </cell>
          <cell r="AI64">
            <v>16</v>
          </cell>
          <cell r="AK64">
            <v>315</v>
          </cell>
          <cell r="AL64">
            <v>96</v>
          </cell>
          <cell r="AM64">
            <v>411</v>
          </cell>
          <cell r="AO64" t="str">
            <v xml:space="preserve"> 4Q</v>
          </cell>
          <cell r="AP64">
            <v>100</v>
          </cell>
          <cell r="AQ64">
            <v>126</v>
          </cell>
          <cell r="AR64">
            <v>226</v>
          </cell>
          <cell r="AT64">
            <v>197</v>
          </cell>
          <cell r="AU64">
            <v>70</v>
          </cell>
          <cell r="AV64">
            <v>267</v>
          </cell>
          <cell r="AX64">
            <v>0</v>
          </cell>
          <cell r="AY64">
            <v>0</v>
          </cell>
          <cell r="AZ64">
            <v>0</v>
          </cell>
          <cell r="BB64">
            <v>45</v>
          </cell>
          <cell r="BC64">
            <v>158</v>
          </cell>
          <cell r="BD64">
            <v>203</v>
          </cell>
          <cell r="BF64">
            <v>342</v>
          </cell>
          <cell r="BG64">
            <v>354</v>
          </cell>
          <cell r="BH64">
            <v>696</v>
          </cell>
          <cell r="BJ64">
            <v>4</v>
          </cell>
          <cell r="BK64">
            <v>58</v>
          </cell>
          <cell r="BL64">
            <v>62</v>
          </cell>
          <cell r="BN64">
            <v>0</v>
          </cell>
          <cell r="BO64">
            <v>7</v>
          </cell>
          <cell r="BP64">
            <v>7</v>
          </cell>
          <cell r="BR64">
            <v>4</v>
          </cell>
          <cell r="BS64">
            <v>65</v>
          </cell>
          <cell r="BT64">
            <v>69</v>
          </cell>
          <cell r="BV64" t="str">
            <v xml:space="preserve"> 4Q</v>
          </cell>
          <cell r="BW64">
            <v>0</v>
          </cell>
          <cell r="BX64">
            <v>0</v>
          </cell>
          <cell r="BY64">
            <v>0</v>
          </cell>
          <cell r="CA64">
            <v>70</v>
          </cell>
          <cell r="CB64">
            <v>1</v>
          </cell>
          <cell r="CC64">
            <v>71</v>
          </cell>
          <cell r="CE64">
            <v>2</v>
          </cell>
          <cell r="CF64">
            <v>0</v>
          </cell>
          <cell r="CG64">
            <v>2</v>
          </cell>
          <cell r="CI64">
            <v>72</v>
          </cell>
          <cell r="CJ64">
            <v>1</v>
          </cell>
          <cell r="CK64">
            <v>73</v>
          </cell>
          <cell r="CM64">
            <v>44</v>
          </cell>
          <cell r="CN64">
            <v>3</v>
          </cell>
          <cell r="CO64">
            <v>47</v>
          </cell>
          <cell r="CQ64">
            <v>8</v>
          </cell>
          <cell r="CR64">
            <v>7</v>
          </cell>
          <cell r="CS64">
            <v>15</v>
          </cell>
          <cell r="CU64">
            <v>52</v>
          </cell>
          <cell r="CV64">
            <v>10</v>
          </cell>
          <cell r="CW64">
            <v>62</v>
          </cell>
          <cell r="CY64">
            <v>2</v>
          </cell>
          <cell r="CZ64">
            <v>84</v>
          </cell>
          <cell r="DA64">
            <v>86</v>
          </cell>
          <cell r="DC64" t="str">
            <v xml:space="preserve"> 4Q</v>
          </cell>
          <cell r="DD64">
            <v>0</v>
          </cell>
          <cell r="DE64">
            <v>0</v>
          </cell>
          <cell r="DF64">
            <v>0</v>
          </cell>
          <cell r="DH64">
            <v>155</v>
          </cell>
          <cell r="DI64">
            <v>8</v>
          </cell>
          <cell r="DJ64">
            <v>163</v>
          </cell>
          <cell r="DL64">
            <v>1494</v>
          </cell>
          <cell r="DM64">
            <v>1085</v>
          </cell>
          <cell r="DN64">
            <v>2579</v>
          </cell>
          <cell r="DP64">
            <v>156</v>
          </cell>
          <cell r="DQ64">
            <v>241</v>
          </cell>
          <cell r="DR64">
            <v>397</v>
          </cell>
          <cell r="DT64">
            <v>52</v>
          </cell>
          <cell r="DU64">
            <v>44</v>
          </cell>
          <cell r="DV64">
            <v>96</v>
          </cell>
          <cell r="DX64">
            <v>1702</v>
          </cell>
          <cell r="DY64">
            <v>1370</v>
          </cell>
          <cell r="DZ64">
            <v>3072</v>
          </cell>
        </row>
        <row r="66">
          <cell r="A66" t="str">
            <v>Year</v>
          </cell>
          <cell r="B66">
            <v>822</v>
          </cell>
          <cell r="C66">
            <v>0</v>
          </cell>
          <cell r="D66">
            <v>822</v>
          </cell>
          <cell r="F66">
            <v>992</v>
          </cell>
          <cell r="G66">
            <v>1225</v>
          </cell>
          <cell r="H66">
            <v>2217</v>
          </cell>
          <cell r="J66">
            <v>278</v>
          </cell>
          <cell r="K66">
            <v>347</v>
          </cell>
          <cell r="L66">
            <v>625</v>
          </cell>
          <cell r="Q66">
            <v>10</v>
          </cell>
          <cell r="R66">
            <v>132</v>
          </cell>
          <cell r="S66">
            <v>142</v>
          </cell>
          <cell r="U66">
            <v>2102</v>
          </cell>
          <cell r="V66">
            <v>1704</v>
          </cell>
          <cell r="W66">
            <v>3806</v>
          </cell>
          <cell r="Y66">
            <v>1219</v>
          </cell>
          <cell r="Z66">
            <v>288</v>
          </cell>
          <cell r="AA66">
            <v>1507</v>
          </cell>
          <cell r="AC66">
            <v>0</v>
          </cell>
          <cell r="AD66">
            <v>0</v>
          </cell>
          <cell r="AE66">
            <v>0</v>
          </cell>
          <cell r="AG66">
            <v>14</v>
          </cell>
          <cell r="AH66">
            <v>32</v>
          </cell>
          <cell r="AI66">
            <v>46</v>
          </cell>
          <cell r="AK66">
            <v>1233</v>
          </cell>
          <cell r="AL66">
            <v>320</v>
          </cell>
          <cell r="AM66">
            <v>1553</v>
          </cell>
          <cell r="AO66" t="str">
            <v>Year</v>
          </cell>
          <cell r="AP66">
            <v>395</v>
          </cell>
          <cell r="AQ66">
            <v>485</v>
          </cell>
          <cell r="AR66">
            <v>880</v>
          </cell>
          <cell r="AT66">
            <v>553</v>
          </cell>
          <cell r="AU66">
            <v>268</v>
          </cell>
          <cell r="AV66">
            <v>821</v>
          </cell>
          <cell r="AX66">
            <v>0</v>
          </cell>
          <cell r="AY66">
            <v>0</v>
          </cell>
          <cell r="AZ66">
            <v>0</v>
          </cell>
          <cell r="BB66">
            <v>167</v>
          </cell>
          <cell r="BC66">
            <v>615</v>
          </cell>
          <cell r="BD66">
            <v>782</v>
          </cell>
          <cell r="BF66">
            <v>1115</v>
          </cell>
          <cell r="BG66">
            <v>1368</v>
          </cell>
          <cell r="BH66">
            <v>2483</v>
          </cell>
          <cell r="BJ66">
            <v>14</v>
          </cell>
          <cell r="BK66">
            <v>226</v>
          </cell>
          <cell r="BL66">
            <v>240</v>
          </cell>
          <cell r="BM66">
            <v>0</v>
          </cell>
          <cell r="BN66">
            <v>0</v>
          </cell>
          <cell r="BO66">
            <v>29</v>
          </cell>
          <cell r="BP66">
            <v>29</v>
          </cell>
          <cell r="BQ66">
            <v>0</v>
          </cell>
          <cell r="BR66">
            <v>14</v>
          </cell>
          <cell r="BS66">
            <v>255</v>
          </cell>
          <cell r="BT66">
            <v>269</v>
          </cell>
          <cell r="BV66" t="str">
            <v>Year</v>
          </cell>
          <cell r="BW66">
            <v>0</v>
          </cell>
          <cell r="BX66">
            <v>0</v>
          </cell>
          <cell r="BY66">
            <v>0</v>
          </cell>
          <cell r="CA66">
            <v>260</v>
          </cell>
          <cell r="CB66">
            <v>6</v>
          </cell>
          <cell r="CC66">
            <v>266</v>
          </cell>
          <cell r="CE66">
            <v>7</v>
          </cell>
          <cell r="CF66">
            <v>0</v>
          </cell>
          <cell r="CG66">
            <v>7</v>
          </cell>
          <cell r="CI66">
            <v>267</v>
          </cell>
          <cell r="CJ66">
            <v>6</v>
          </cell>
          <cell r="CK66">
            <v>273</v>
          </cell>
          <cell r="CM66">
            <v>165</v>
          </cell>
          <cell r="CN66">
            <v>10</v>
          </cell>
          <cell r="CO66">
            <v>175</v>
          </cell>
          <cell r="CQ66">
            <v>30</v>
          </cell>
          <cell r="CR66">
            <v>28</v>
          </cell>
          <cell r="CS66">
            <v>58</v>
          </cell>
          <cell r="CU66">
            <v>195</v>
          </cell>
          <cell r="CV66">
            <v>38</v>
          </cell>
          <cell r="CW66">
            <v>233</v>
          </cell>
          <cell r="CY66">
            <v>8</v>
          </cell>
          <cell r="CZ66">
            <v>297</v>
          </cell>
          <cell r="DA66">
            <v>305</v>
          </cell>
          <cell r="DC66" t="str">
            <v>Year</v>
          </cell>
          <cell r="DD66">
            <v>0</v>
          </cell>
          <cell r="DE66">
            <v>0</v>
          </cell>
          <cell r="DF66">
            <v>0</v>
          </cell>
          <cell r="DH66">
            <v>303</v>
          </cell>
          <cell r="DI66">
            <v>13</v>
          </cell>
          <cell r="DJ66">
            <v>316</v>
          </cell>
          <cell r="DL66">
            <v>5240</v>
          </cell>
          <cell r="DM66">
            <v>3999</v>
          </cell>
          <cell r="DN66">
            <v>9239</v>
          </cell>
          <cell r="DP66">
            <v>504</v>
          </cell>
          <cell r="DQ66">
            <v>826</v>
          </cell>
          <cell r="DR66">
            <v>1330</v>
          </cell>
          <cell r="DT66">
            <v>321</v>
          </cell>
          <cell r="DU66">
            <v>165</v>
          </cell>
          <cell r="DV66">
            <v>486</v>
          </cell>
          <cell r="DX66">
            <v>6065</v>
          </cell>
          <cell r="DY66">
            <v>4990</v>
          </cell>
          <cell r="DZ66">
            <v>11055</v>
          </cell>
        </row>
        <row r="68">
          <cell r="A68" t="str">
            <v xml:space="preserve">1998/97 </v>
          </cell>
          <cell r="AO68" t="str">
            <v xml:space="preserve">1998/97 </v>
          </cell>
          <cell r="BV68" t="str">
            <v xml:space="preserve">1998/97 </v>
          </cell>
          <cell r="DC68" t="str">
            <v xml:space="preserve">1998/97 </v>
          </cell>
        </row>
        <row r="69">
          <cell r="A69" t="str">
            <v xml:space="preserve"> 1Q</v>
          </cell>
          <cell r="B69">
            <v>-0.19246861924686187</v>
          </cell>
          <cell r="C69" t="str">
            <v>NM</v>
          </cell>
          <cell r="D69">
            <v>-0.19246861924686187</v>
          </cell>
          <cell r="F69">
            <v>0.18264840182648401</v>
          </cell>
          <cell r="G69">
            <v>0.10394265232974909</v>
          </cell>
          <cell r="H69">
            <v>0.13855421686746983</v>
          </cell>
          <cell r="J69">
            <v>0.19999999999999996</v>
          </cell>
          <cell r="K69">
            <v>1.1904761904761862E-2</v>
          </cell>
          <cell r="L69">
            <v>9.740259740259738E-2</v>
          </cell>
          <cell r="Q69">
            <v>-0.33333333333333337</v>
          </cell>
          <cell r="R69">
            <v>-0.1071428571428571</v>
          </cell>
          <cell r="S69">
            <v>-0.12903225806451613</v>
          </cell>
          <cell r="U69">
            <v>1.3182674199623268E-2</v>
          </cell>
          <cell r="V69">
            <v>0.10230179028132991</v>
          </cell>
          <cell r="W69">
            <v>5.0976138828633388E-2</v>
          </cell>
          <cell r="Y69">
            <v>0.14071856287425155</v>
          </cell>
          <cell r="Z69">
            <v>0.31666666666666665</v>
          </cell>
          <cell r="AA69">
            <v>0.1675126903553299</v>
          </cell>
          <cell r="AC69" t="str">
            <v>NM</v>
          </cell>
          <cell r="AD69" t="str">
            <v>NM</v>
          </cell>
          <cell r="AE69" t="str">
            <v>NM</v>
          </cell>
          <cell r="AG69">
            <v>0</v>
          </cell>
          <cell r="AH69" t="str">
            <v xml:space="preserve">  NM</v>
          </cell>
          <cell r="AI69">
            <v>0.60000000000000009</v>
          </cell>
          <cell r="AK69">
            <v>0.13905325443786976</v>
          </cell>
          <cell r="AL69">
            <v>0.3787878787878789</v>
          </cell>
          <cell r="AM69">
            <v>0.17821782178217815</v>
          </cell>
          <cell r="AO69" t="str">
            <v xml:space="preserve"> 1Q</v>
          </cell>
          <cell r="AP69">
            <v>0.17999999999999994</v>
          </cell>
          <cell r="AQ69">
            <v>-5.9322033898305038E-2</v>
          </cell>
          <cell r="AR69">
            <v>5.0458715596330306E-2</v>
          </cell>
          <cell r="AT69">
            <v>0.28176795580110503</v>
          </cell>
          <cell r="AU69">
            <v>-0.10843373493975905</v>
          </cell>
          <cell r="AV69">
            <v>0.15909090909090917</v>
          </cell>
          <cell r="AW69" t="e">
            <v>#DIV/0!</v>
          </cell>
          <cell r="AX69" t="str">
            <v>NM</v>
          </cell>
          <cell r="AY69" t="str">
            <v>NM</v>
          </cell>
          <cell r="AZ69" t="str">
            <v>NM</v>
          </cell>
          <cell r="BB69">
            <v>-4.5454545454545414E-2</v>
          </cell>
          <cell r="BC69">
            <v>-0.10897435897435892</v>
          </cell>
          <cell r="BD69">
            <v>-9.4999999999999973E-2</v>
          </cell>
          <cell r="BF69">
            <v>0.33230769230769241</v>
          </cell>
          <cell r="BG69">
            <v>-9.2436974789915971E-2</v>
          </cell>
          <cell r="BH69">
            <v>0.10997067448680342</v>
          </cell>
          <cell r="BJ69">
            <v>0</v>
          </cell>
          <cell r="BK69">
            <v>-0.18181818181818177</v>
          </cell>
          <cell r="BL69">
            <v>-0.17241379310344829</v>
          </cell>
          <cell r="BN69" t="str">
            <v xml:space="preserve">  NM</v>
          </cell>
          <cell r="BO69">
            <v>-0.4285714285714286</v>
          </cell>
          <cell r="BP69">
            <v>-0.4285714285714286</v>
          </cell>
          <cell r="BR69">
            <v>0</v>
          </cell>
          <cell r="BS69">
            <v>-0.20967741935483875</v>
          </cell>
          <cell r="BT69">
            <v>-0.19999999999999996</v>
          </cell>
          <cell r="BV69" t="str">
            <v xml:space="preserve"> 1Q</v>
          </cell>
          <cell r="BW69" t="str">
            <v>NM</v>
          </cell>
          <cell r="BX69" t="str">
            <v>NM</v>
          </cell>
          <cell r="BY69" t="str">
            <v>NM</v>
          </cell>
          <cell r="CA69">
            <v>0.58823529411764697</v>
          </cell>
          <cell r="CB69">
            <v>0</v>
          </cell>
          <cell r="CC69">
            <v>0.57692307692307687</v>
          </cell>
          <cell r="CE69" t="str">
            <v xml:space="preserve">  NM</v>
          </cell>
          <cell r="CF69" t="str">
            <v xml:space="preserve">  NM</v>
          </cell>
          <cell r="CG69" t="str">
            <v xml:space="preserve">  NM</v>
          </cell>
          <cell r="CI69">
            <v>0.5660377358490567</v>
          </cell>
          <cell r="CJ69">
            <v>0</v>
          </cell>
          <cell r="CK69">
            <v>0.55555555555555558</v>
          </cell>
          <cell r="CM69">
            <v>0.39999999999999991</v>
          </cell>
          <cell r="CN69" t="str">
            <v xml:space="preserve">  NM</v>
          </cell>
          <cell r="CO69">
            <v>0.44999999999999996</v>
          </cell>
          <cell r="CQ69">
            <v>-0.25</v>
          </cell>
          <cell r="CR69">
            <v>-0.22222222222222221</v>
          </cell>
          <cell r="CS69">
            <v>-0.23529411764705888</v>
          </cell>
          <cell r="CU69">
            <v>0.29166666666666674</v>
          </cell>
          <cell r="CV69">
            <v>0</v>
          </cell>
          <cell r="CW69">
            <v>0.2456140350877194</v>
          </cell>
          <cell r="CY69" t="str">
            <v xml:space="preserve">  NM</v>
          </cell>
          <cell r="CZ69">
            <v>-5.633802816901412E-2</v>
          </cell>
          <cell r="DA69">
            <v>-8.108108108108103E-2</v>
          </cell>
          <cell r="DC69" t="str">
            <v xml:space="preserve"> 1Q</v>
          </cell>
          <cell r="DD69" t="str">
            <v xml:space="preserve">    NM</v>
          </cell>
          <cell r="DE69" t="str">
            <v xml:space="preserve">    NM</v>
          </cell>
          <cell r="DF69" t="str">
            <v xml:space="preserve">    NM</v>
          </cell>
          <cell r="DH69" t="str">
            <v xml:space="preserve">    NM</v>
          </cell>
          <cell r="DI69" t="str">
            <v xml:space="preserve">    NM</v>
          </cell>
          <cell r="DJ69" t="str">
            <v xml:space="preserve">    NM</v>
          </cell>
          <cell r="DL69">
            <v>0.2646153846153847</v>
          </cell>
          <cell r="DM69">
            <v>2.7168234064785857E-2</v>
          </cell>
          <cell r="DN69">
            <v>0.16393442622950816</v>
          </cell>
          <cell r="DP69">
            <v>0.15151515151515152</v>
          </cell>
          <cell r="DQ69">
            <v>-0.10204081632653061</v>
          </cell>
          <cell r="DR69">
            <v>-1.6949152542372881E-2</v>
          </cell>
          <cell r="DT69">
            <v>-0.11224489795918369</v>
          </cell>
          <cell r="DU69">
            <v>-5.8823529411764719E-2</v>
          </cell>
          <cell r="DV69">
            <v>-9.8484848484848508E-2</v>
          </cell>
          <cell r="DX69">
            <v>0.23246492985971945</v>
          </cell>
          <cell r="DY69">
            <v>3.3698399326032025E-3</v>
          </cell>
          <cell r="DZ69">
            <v>0.13114754098360648</v>
          </cell>
        </row>
        <row r="70">
          <cell r="A70" t="str">
            <v xml:space="preserve"> 2Q</v>
          </cell>
          <cell r="B70">
            <v>-6.5476190476190466E-2</v>
          </cell>
          <cell r="C70" t="str">
            <v>NM</v>
          </cell>
          <cell r="D70">
            <v>-6.5476190476190466E-2</v>
          </cell>
          <cell r="F70">
            <v>0.30232558139534893</v>
          </cell>
          <cell r="G70">
            <v>0.10457516339869288</v>
          </cell>
          <cell r="H70">
            <v>0.1861804222648753</v>
          </cell>
          <cell r="J70">
            <v>0.11290322580645151</v>
          </cell>
          <cell r="K70">
            <v>4.6511627906976827E-2</v>
          </cell>
          <cell r="L70">
            <v>7.4324324324324342E-2</v>
          </cell>
          <cell r="Q70">
            <v>-0.33333333333333337</v>
          </cell>
          <cell r="R70">
            <v>-0.24242424242424243</v>
          </cell>
          <cell r="S70">
            <v>-0.25</v>
          </cell>
          <cell r="U70">
            <v>0.1339285714285714</v>
          </cell>
          <cell r="V70">
            <v>0.11764705882352944</v>
          </cell>
          <cell r="W70">
            <v>0.12600229095074456</v>
          </cell>
          <cell r="Y70">
            <v>0.24302788844621515</v>
          </cell>
          <cell r="Z70">
            <v>0.19444444444444442</v>
          </cell>
          <cell r="AA70">
            <v>0.2321981424148607</v>
          </cell>
          <cell r="AC70" t="str">
            <v>NM</v>
          </cell>
          <cell r="AD70" t="str">
            <v>NM</v>
          </cell>
          <cell r="AE70" t="str">
            <v>NM</v>
          </cell>
          <cell r="AG70">
            <v>0</v>
          </cell>
          <cell r="AH70" t="str">
            <v xml:space="preserve">  NM</v>
          </cell>
          <cell r="AI70">
            <v>0.89999999999999991</v>
          </cell>
          <cell r="AK70">
            <v>0.24015748031496065</v>
          </cell>
          <cell r="AL70">
            <v>0.29113924050632911</v>
          </cell>
          <cell r="AM70">
            <v>0.25225225225225234</v>
          </cell>
          <cell r="AO70" t="str">
            <v xml:space="preserve"> 2Q</v>
          </cell>
          <cell r="AP70">
            <v>-3.1914893617021267E-2</v>
          </cell>
          <cell r="AQ70">
            <v>-1.6393442622950838E-2</v>
          </cell>
          <cell r="AR70">
            <v>-2.314814814814814E-2</v>
          </cell>
          <cell r="AT70">
            <v>5.4347826086956541E-2</v>
          </cell>
          <cell r="AU70">
            <v>0</v>
          </cell>
          <cell r="AV70">
            <v>3.1645569620253111E-2</v>
          </cell>
          <cell r="AW70" t="e">
            <v>#DIV/0!</v>
          </cell>
          <cell r="AX70" t="str">
            <v>NM</v>
          </cell>
          <cell r="AY70" t="str">
            <v>NM</v>
          </cell>
          <cell r="AZ70" t="str">
            <v>NM</v>
          </cell>
          <cell r="BB70">
            <v>-0.18918918918918914</v>
          </cell>
          <cell r="BC70">
            <v>-9.6153846153846145E-2</v>
          </cell>
          <cell r="BD70">
            <v>-0.11398963730569944</v>
          </cell>
          <cell r="BF70">
            <v>7.623318385650224E-2</v>
          </cell>
          <cell r="BG70">
            <v>-4.9418604651162767E-2</v>
          </cell>
          <cell r="BH70">
            <v>0</v>
          </cell>
          <cell r="BJ70">
            <v>-0.33333333333333337</v>
          </cell>
          <cell r="BK70">
            <v>-0.17241379310344829</v>
          </cell>
          <cell r="BL70">
            <v>-0.18032786885245899</v>
          </cell>
          <cell r="BN70" t="str">
            <v xml:space="preserve">  NM</v>
          </cell>
          <cell r="BO70">
            <v>0.14285714285714279</v>
          </cell>
          <cell r="BP70">
            <v>0.14285714285714279</v>
          </cell>
          <cell r="BR70">
            <v>-0.33333333333333337</v>
          </cell>
          <cell r="BS70">
            <v>-0.13846153846153841</v>
          </cell>
          <cell r="BT70">
            <v>-0.1470588235294118</v>
          </cell>
          <cell r="BV70" t="str">
            <v xml:space="preserve"> 2Q</v>
          </cell>
          <cell r="BW70" t="str">
            <v>NM</v>
          </cell>
          <cell r="BX70" t="str">
            <v>NM</v>
          </cell>
          <cell r="BY70" t="str">
            <v>NM</v>
          </cell>
          <cell r="CA70">
            <v>0.52941176470588225</v>
          </cell>
          <cell r="CB70">
            <v>-0.5</v>
          </cell>
          <cell r="CC70">
            <v>0.5</v>
          </cell>
          <cell r="CE70" t="str">
            <v xml:space="preserve">  NM</v>
          </cell>
          <cell r="CF70" t="str">
            <v xml:space="preserve">  NM</v>
          </cell>
          <cell r="CG70" t="str">
            <v xml:space="preserve">  NM</v>
          </cell>
          <cell r="CI70">
            <v>0.52173913043478271</v>
          </cell>
          <cell r="CJ70">
            <v>-0.5</v>
          </cell>
          <cell r="CK70">
            <v>0.49295774647887325</v>
          </cell>
          <cell r="CM70">
            <v>0.29729729729729737</v>
          </cell>
          <cell r="CN70" t="str">
            <v xml:space="preserve">  NM</v>
          </cell>
          <cell r="CO70">
            <v>0.19047619047619047</v>
          </cell>
          <cell r="CQ70">
            <v>-0.2857142857142857</v>
          </cell>
          <cell r="CR70">
            <v>0.19999999999999996</v>
          </cell>
          <cell r="CS70">
            <v>-8.333333333333337E-2</v>
          </cell>
          <cell r="CU70">
            <v>0.20454545454545459</v>
          </cell>
          <cell r="CV70">
            <v>-0.19999999999999996</v>
          </cell>
          <cell r="CW70">
            <v>0.12962962962962954</v>
          </cell>
          <cell r="CY70" t="str">
            <v xml:space="preserve">  NM</v>
          </cell>
          <cell r="CZ70">
            <v>-0.36</v>
          </cell>
          <cell r="DA70">
            <v>-0.36363636363636365</v>
          </cell>
          <cell r="DC70" t="str">
            <v xml:space="preserve"> 2Q</v>
          </cell>
          <cell r="DD70" t="str">
            <v xml:space="preserve">    NM</v>
          </cell>
          <cell r="DE70" t="str">
            <v xml:space="preserve">    NM</v>
          </cell>
          <cell r="DF70" t="str">
            <v xml:space="preserve">    NM</v>
          </cell>
          <cell r="DH70">
            <v>2.103448275862069</v>
          </cell>
          <cell r="DI70">
            <v>17</v>
          </cell>
          <cell r="DJ70">
            <v>2.3559322033898304</v>
          </cell>
          <cell r="DL70">
            <v>0.64519056261343022</v>
          </cell>
          <cell r="DM70">
            <v>3.5964035964035856E-2</v>
          </cell>
          <cell r="DN70">
            <v>0.3552068473609129</v>
          </cell>
          <cell r="DP70">
            <v>0.20909090909090908</v>
          </cell>
          <cell r="DQ70">
            <v>-8.3333333333333329E-2</v>
          </cell>
          <cell r="DR70">
            <v>1.9108280254777069E-2</v>
          </cell>
          <cell r="DT70">
            <v>-0.15730337078651691</v>
          </cell>
          <cell r="DU70">
            <v>0.45652173913043481</v>
          </cell>
          <cell r="DV70">
            <v>5.1851851851851816E-2</v>
          </cell>
          <cell r="DX70">
            <v>0.55342044581091465</v>
          </cell>
          <cell r="DY70">
            <v>3.1974420463629194E-2</v>
          </cell>
          <cell r="DZ70">
            <v>0.29780564263322895</v>
          </cell>
        </row>
        <row r="71">
          <cell r="A71" t="str">
            <v xml:space="preserve"> 3Q</v>
          </cell>
          <cell r="B71">
            <v>-0.1434977578475336</v>
          </cell>
          <cell r="C71" t="str">
            <v>NM</v>
          </cell>
          <cell r="D71">
            <v>-0.1434977578475336</v>
          </cell>
          <cell r="F71">
            <v>0.26199261992619927</v>
          </cell>
          <cell r="G71">
            <v>8.5808580858085737E-2</v>
          </cell>
          <cell r="H71">
            <v>0.16898954703832758</v>
          </cell>
          <cell r="J71">
            <v>0.15999999999999992</v>
          </cell>
          <cell r="K71">
            <v>2.3529411764705799E-2</v>
          </cell>
          <cell r="L71">
            <v>8.7499999999999911E-2</v>
          </cell>
          <cell r="Q71">
            <v>0</v>
          </cell>
          <cell r="R71">
            <v>-0.24242424242424243</v>
          </cell>
          <cell r="S71">
            <v>-0.22857142857142854</v>
          </cell>
          <cell r="U71">
            <v>8.9316987740805542E-2</v>
          </cell>
          <cell r="V71">
            <v>0.1116389548693586</v>
          </cell>
          <cell r="W71">
            <v>9.879032258064524E-2</v>
          </cell>
          <cell r="Y71">
            <v>0.24767801857585137</v>
          </cell>
          <cell r="Z71">
            <v>0.19444444444444442</v>
          </cell>
          <cell r="AA71">
            <v>0.23797468354430373</v>
          </cell>
          <cell r="AC71" t="str">
            <v>NM</v>
          </cell>
          <cell r="AD71" t="str">
            <v>NM</v>
          </cell>
          <cell r="AE71" t="str">
            <v>NM</v>
          </cell>
          <cell r="AG71">
            <v>0</v>
          </cell>
          <cell r="AH71" t="str">
            <v xml:space="preserve">  NM</v>
          </cell>
          <cell r="AI71" t="str">
            <v xml:space="preserve">  NM</v>
          </cell>
          <cell r="AK71">
            <v>0.24539877300613488</v>
          </cell>
          <cell r="AL71">
            <v>0.34177215189873422</v>
          </cell>
          <cell r="AM71">
            <v>0.26419753086419751</v>
          </cell>
          <cell r="AO71" t="str">
            <v xml:space="preserve"> 3Q</v>
          </cell>
          <cell r="AP71">
            <v>0.11881188118811892</v>
          </cell>
          <cell r="AQ71">
            <v>-3.3613445378151252E-2</v>
          </cell>
          <cell r="AR71">
            <v>3.6363636363636376E-2</v>
          </cell>
          <cell r="AT71">
            <v>0.6987951807228916</v>
          </cell>
          <cell r="AU71">
            <v>6.1224489795918435E-2</v>
          </cell>
          <cell r="AV71">
            <v>0.46212121212121215</v>
          </cell>
          <cell r="AW71" t="e">
            <v>#DIV/0!</v>
          </cell>
          <cell r="AX71" t="str">
            <v>NM</v>
          </cell>
          <cell r="AY71" t="str">
            <v>NM</v>
          </cell>
          <cell r="AZ71" t="str">
            <v>NM</v>
          </cell>
          <cell r="BB71">
            <v>-9.7560975609756073E-2</v>
          </cell>
          <cell r="BC71">
            <v>-0.12413793103448278</v>
          </cell>
          <cell r="BD71">
            <v>-0.11827956989247312</v>
          </cell>
          <cell r="BF71">
            <v>0.47555555555555551</v>
          </cell>
          <cell r="BG71">
            <v>-6.0702875399361034E-2</v>
          </cell>
          <cell r="BH71">
            <v>0.16356877323420083</v>
          </cell>
          <cell r="BJ71">
            <v>-0.25</v>
          </cell>
          <cell r="BK71">
            <v>-0.18181818181818177</v>
          </cell>
          <cell r="BL71">
            <v>-0.18644067796610164</v>
          </cell>
          <cell r="BN71" t="str">
            <v xml:space="preserve">  NM</v>
          </cell>
          <cell r="BO71">
            <v>0</v>
          </cell>
          <cell r="BP71">
            <v>0</v>
          </cell>
          <cell r="BR71">
            <v>-0.25</v>
          </cell>
          <cell r="BS71">
            <v>-0.15873015873015872</v>
          </cell>
          <cell r="BT71">
            <v>-0.16417910447761197</v>
          </cell>
          <cell r="BV71" t="str">
            <v xml:space="preserve"> 3Q</v>
          </cell>
          <cell r="BW71" t="str">
            <v>NM</v>
          </cell>
          <cell r="BX71" t="str">
            <v>NM</v>
          </cell>
          <cell r="BY71" t="str">
            <v>NM</v>
          </cell>
          <cell r="CA71">
            <v>0.6619718309859155</v>
          </cell>
          <cell r="CB71">
            <v>-0.17500000000000004</v>
          </cell>
          <cell r="CC71">
            <v>0.63904109589041114</v>
          </cell>
          <cell r="CE71" t="str">
            <v xml:space="preserve">  NM</v>
          </cell>
          <cell r="CF71" t="str">
            <v xml:space="preserve">  NM</v>
          </cell>
          <cell r="CG71" t="str">
            <v xml:space="preserve">  NM</v>
          </cell>
          <cell r="CI71">
            <v>0.63013698630136994</v>
          </cell>
          <cell r="CJ71">
            <v>0</v>
          </cell>
          <cell r="CK71">
            <v>0.61333333333333329</v>
          </cell>
          <cell r="CM71">
            <v>0.27272727272727271</v>
          </cell>
          <cell r="CN71">
            <v>0</v>
          </cell>
          <cell r="CO71">
            <v>0.26086956521739135</v>
          </cell>
          <cell r="CQ71">
            <v>-0.1428571428571429</v>
          </cell>
          <cell r="CR71">
            <v>-0.1428571428571429</v>
          </cell>
          <cell r="CS71">
            <v>-0.1428571428571429</v>
          </cell>
          <cell r="CU71">
            <v>0.21568627450980382</v>
          </cell>
          <cell r="CV71">
            <v>-0.11111111111111116</v>
          </cell>
          <cell r="CW71">
            <v>0.16666666666666674</v>
          </cell>
          <cell r="CY71" t="str">
            <v xml:space="preserve">  NM</v>
          </cell>
          <cell r="CZ71">
            <v>-0.31343283582089554</v>
          </cell>
          <cell r="DA71">
            <v>-0.26470588235294112</v>
          </cell>
          <cell r="DC71" t="str">
            <v xml:space="preserve"> 3Q</v>
          </cell>
          <cell r="DD71" t="str">
            <v xml:space="preserve">    NM</v>
          </cell>
          <cell r="DE71" t="str">
            <v xml:space="preserve">    NM</v>
          </cell>
          <cell r="DF71" t="str">
            <v xml:space="preserve">    NM</v>
          </cell>
          <cell r="DH71">
            <v>1.118279569892473</v>
          </cell>
          <cell r="DI71">
            <v>10.5</v>
          </cell>
          <cell r="DJ71">
            <v>1.3157894736842106</v>
          </cell>
          <cell r="DL71">
            <v>0.3839285714285714</v>
          </cell>
          <cell r="DM71">
            <v>7.322175732217584E-2</v>
          </cell>
          <cell r="DN71">
            <v>0.25478260869565217</v>
          </cell>
          <cell r="DP71">
            <v>0.11510791366906475</v>
          </cell>
          <cell r="DQ71">
            <v>-0.11351351351351352</v>
          </cell>
          <cell r="DR71">
            <v>-1.5432098765432098E-2</v>
          </cell>
          <cell r="DT71">
            <v>-0.18292682926829273</v>
          </cell>
          <cell r="DU71">
            <v>0.41463414634146334</v>
          </cell>
          <cell r="DV71">
            <v>1.6260162601626105E-2</v>
          </cell>
          <cell r="DX71">
            <v>0.33035143769968056</v>
          </cell>
          <cell r="DY71">
            <v>5.5837563451776706E-2</v>
          </cell>
          <cell r="DZ71">
            <v>0.21223152530032774</v>
          </cell>
        </row>
        <row r="72">
          <cell r="A72" t="str">
            <v xml:space="preserve"> 4Q</v>
          </cell>
          <cell r="B72">
            <v>-0.10416666666666663</v>
          </cell>
          <cell r="C72" t="str">
            <v>NM</v>
          </cell>
          <cell r="D72">
            <v>-0.10416666666666663</v>
          </cell>
          <cell r="F72">
            <v>0.12891986062717775</v>
          </cell>
          <cell r="G72">
            <v>0.17210682492581597</v>
          </cell>
          <cell r="H72">
            <v>0.15224358974358965</v>
          </cell>
          <cell r="J72">
            <v>0.15492957746478875</v>
          </cell>
          <cell r="K72">
            <v>0.11956521739130443</v>
          </cell>
          <cell r="L72">
            <v>0.13496932515337434</v>
          </cell>
          <cell r="Q72">
            <v>0.5</v>
          </cell>
          <cell r="R72">
            <v>-0.28947368421052633</v>
          </cell>
          <cell r="S72">
            <v>-0.25</v>
          </cell>
          <cell r="U72">
            <v>5.2536231884057871E-2</v>
          </cell>
          <cell r="V72">
            <v>0.20556745182012848</v>
          </cell>
          <cell r="W72">
            <v>0.12266928361138363</v>
          </cell>
          <cell r="Y72">
            <v>0.24437299035369775</v>
          </cell>
          <cell r="Z72">
            <v>0.21428571428571419</v>
          </cell>
          <cell r="AA72">
            <v>0.23797468354430373</v>
          </cell>
          <cell r="AC72" t="str">
            <v>NM</v>
          </cell>
          <cell r="AD72" t="str">
            <v>NM</v>
          </cell>
          <cell r="AE72" t="str">
            <v>NM</v>
          </cell>
          <cell r="AG72">
            <v>0</v>
          </cell>
          <cell r="AH72" t="str">
            <v xml:space="preserve">  NM</v>
          </cell>
          <cell r="AI72">
            <v>0.875</v>
          </cell>
          <cell r="AK72">
            <v>0.2412698412698413</v>
          </cell>
          <cell r="AL72">
            <v>0.33333333333333326</v>
          </cell>
          <cell r="AM72">
            <v>0.26277372262773713</v>
          </cell>
          <cell r="AO72" t="str">
            <v xml:space="preserve"> 4Q</v>
          </cell>
          <cell r="AP72">
            <v>0.18999999999999995</v>
          </cell>
          <cell r="AQ72">
            <v>2.3809523809523725E-2</v>
          </cell>
          <cell r="AR72">
            <v>9.7345132743362761E-2</v>
          </cell>
          <cell r="AT72">
            <v>0.54314720812182737</v>
          </cell>
          <cell r="AU72">
            <v>7.1428571428571397E-2</v>
          </cell>
          <cell r="AV72">
            <v>0.41947565543071152</v>
          </cell>
          <cell r="AW72" t="e">
            <v>#DIV/0!</v>
          </cell>
          <cell r="AX72" t="str">
            <v>NM</v>
          </cell>
          <cell r="AY72" t="str">
            <v>NM</v>
          </cell>
          <cell r="AZ72" t="str">
            <v>NM</v>
          </cell>
          <cell r="BB72">
            <v>-4.4444444444444398E-2</v>
          </cell>
          <cell r="BC72">
            <v>-6.9620253164557E-2</v>
          </cell>
          <cell r="BD72">
            <v>-6.4039408866995107E-2</v>
          </cell>
          <cell r="BF72">
            <v>0.50877192982456143</v>
          </cell>
          <cell r="BG72">
            <v>5.6497175141243527E-3</v>
          </cell>
          <cell r="BH72">
            <v>0.25287356321839072</v>
          </cell>
          <cell r="BJ72">
            <v>0</v>
          </cell>
          <cell r="BK72">
            <v>-0.10344827586206895</v>
          </cell>
          <cell r="BL72">
            <v>-9.6774193548387122E-2</v>
          </cell>
          <cell r="BN72" t="str">
            <v xml:space="preserve">  NM</v>
          </cell>
          <cell r="BO72">
            <v>0.28571428571428581</v>
          </cell>
          <cell r="BP72">
            <v>0.28571428571428581</v>
          </cell>
          <cell r="BR72">
            <v>0</v>
          </cell>
          <cell r="BS72">
            <v>-6.1538461538461542E-2</v>
          </cell>
          <cell r="BT72">
            <v>-5.7971014492753659E-2</v>
          </cell>
          <cell r="BV72" t="str">
            <v xml:space="preserve"> 4Q</v>
          </cell>
          <cell r="BW72" t="str">
            <v>NM</v>
          </cell>
          <cell r="BX72" t="str">
            <v>NM</v>
          </cell>
          <cell r="BY72" t="str">
            <v>NM</v>
          </cell>
          <cell r="CA72">
            <v>0.54285714285714293</v>
          </cell>
          <cell r="CB72">
            <v>0</v>
          </cell>
          <cell r="CC72">
            <v>0.53521126760563376</v>
          </cell>
          <cell r="CE72" t="str">
            <v xml:space="preserve">  NM</v>
          </cell>
          <cell r="CF72" t="str">
            <v xml:space="preserve">  NM</v>
          </cell>
          <cell r="CG72" t="str">
            <v xml:space="preserve">  NM</v>
          </cell>
          <cell r="CI72">
            <v>0.51388888888888884</v>
          </cell>
          <cell r="CJ72">
            <v>0</v>
          </cell>
          <cell r="CK72">
            <v>0.50684931506849318</v>
          </cell>
          <cell r="CM72">
            <v>0.29545454545454541</v>
          </cell>
          <cell r="CN72">
            <v>-0.33333333333333337</v>
          </cell>
          <cell r="CO72">
            <v>0.25531914893617014</v>
          </cell>
          <cell r="CQ72">
            <v>-0.25</v>
          </cell>
          <cell r="CR72">
            <v>0</v>
          </cell>
          <cell r="CS72">
            <v>-0.1333333333333333</v>
          </cell>
          <cell r="CU72">
            <v>0.21153846153846145</v>
          </cell>
          <cell r="CV72">
            <v>-9.9999999999999978E-2</v>
          </cell>
          <cell r="CW72">
            <v>0.16129032258064524</v>
          </cell>
          <cell r="CY72">
            <v>0</v>
          </cell>
          <cell r="CZ72">
            <v>-0.3928571428571429</v>
          </cell>
          <cell r="DA72">
            <v>-0.51162790697674421</v>
          </cell>
          <cell r="DC72" t="str">
            <v xml:space="preserve"> 4Q</v>
          </cell>
          <cell r="DD72" t="str">
            <v xml:space="preserve">    NM</v>
          </cell>
          <cell r="DE72" t="str">
            <v xml:space="preserve">    NM</v>
          </cell>
          <cell r="DF72" t="str">
            <v xml:space="preserve">    NM</v>
          </cell>
          <cell r="DH72">
            <v>0.70322580645161281</v>
          </cell>
          <cell r="DI72">
            <v>3.375</v>
          </cell>
          <cell r="DJ72">
            <v>0.83435582822085896</v>
          </cell>
          <cell r="DL72">
            <v>0.37215528781793838</v>
          </cell>
          <cell r="DM72">
            <v>0.20645161290322589</v>
          </cell>
          <cell r="DN72">
            <v>0.30244280728964723</v>
          </cell>
          <cell r="DP72">
            <v>0</v>
          </cell>
          <cell r="DQ72">
            <v>-4.9792531120331947E-2</v>
          </cell>
          <cell r="DR72">
            <v>-3.0226700251889168E-2</v>
          </cell>
          <cell r="DT72">
            <v>-3.8461538461538436E-2</v>
          </cell>
          <cell r="DU72">
            <v>0.63636363636363646</v>
          </cell>
          <cell r="DV72">
            <v>0.27083333333333326</v>
          </cell>
          <cell r="DX72">
            <v>0.32549941245593428</v>
          </cell>
          <cell r="DY72">
            <v>0.17518248175182483</v>
          </cell>
          <cell r="DZ72">
            <v>0.25846354166666674</v>
          </cell>
        </row>
        <row r="74">
          <cell r="A74" t="str">
            <v>Year</v>
          </cell>
          <cell r="B74">
            <v>-0.13260340632603407</v>
          </cell>
          <cell r="C74" t="str">
            <v>NM</v>
          </cell>
          <cell r="D74">
            <v>-0.13260340632603407</v>
          </cell>
          <cell r="F74">
            <v>0.21471774193548376</v>
          </cell>
          <cell r="G74">
            <v>0.1183673469387756</v>
          </cell>
          <cell r="H74">
            <v>0.16147947677041041</v>
          </cell>
          <cell r="I74" t="e">
            <v>#DIV/0!</v>
          </cell>
          <cell r="J74">
            <v>0.15827338129496393</v>
          </cell>
          <cell r="K74">
            <v>5.187319884726227E-2</v>
          </cell>
          <cell r="L74">
            <v>9.9199999999999955E-2</v>
          </cell>
          <cell r="Q74">
            <v>-9.9999999999999978E-2</v>
          </cell>
          <cell r="R74">
            <v>-0.22727272727272729</v>
          </cell>
          <cell r="S74">
            <v>-0.21830985915492962</v>
          </cell>
          <cell r="U74">
            <v>6.9933396764985778E-2</v>
          </cell>
          <cell r="V74">
            <v>0.13673708920187799</v>
          </cell>
          <cell r="W74">
            <v>9.9842354177614334E-2</v>
          </cell>
          <cell r="Y74">
            <v>0.21657095980311736</v>
          </cell>
          <cell r="Z74">
            <v>0.22569444444444442</v>
          </cell>
          <cell r="AA74">
            <v>0.21831453218314523</v>
          </cell>
          <cell r="AC74" t="str">
            <v>NM</v>
          </cell>
          <cell r="AD74" t="str">
            <v>NM</v>
          </cell>
          <cell r="AE74" t="str">
            <v>NM</v>
          </cell>
          <cell r="AG74">
            <v>0</v>
          </cell>
          <cell r="AH74" t="str">
            <v xml:space="preserve">  NM</v>
          </cell>
          <cell r="AI74">
            <v>0.91304347826086962</v>
          </cell>
          <cell r="AK74">
            <v>0.21411192214111918</v>
          </cell>
          <cell r="AL74">
            <v>0.33437500000000009</v>
          </cell>
          <cell r="AM74">
            <v>0.23889246619446225</v>
          </cell>
          <cell r="AO74" t="str">
            <v>Year</v>
          </cell>
          <cell r="AP74">
            <v>0.1164556962025316</v>
          </cell>
          <cell r="AQ74">
            <v>-2.0618556701030966E-2</v>
          </cell>
          <cell r="AR74">
            <v>4.0909090909091006E-2</v>
          </cell>
          <cell r="AT74">
            <v>0.39963833634719714</v>
          </cell>
          <cell r="AU74">
            <v>-3.7313432835820448E-3</v>
          </cell>
          <cell r="AV74">
            <v>0.2679658952496955</v>
          </cell>
          <cell r="AW74" t="e">
            <v>#DIV/0!</v>
          </cell>
          <cell r="AX74" t="str">
            <v>NM</v>
          </cell>
          <cell r="AY74" t="str">
            <v>NM</v>
          </cell>
          <cell r="AZ74" t="str">
            <v>NM</v>
          </cell>
          <cell r="BB74">
            <v>-8.9820359281437168E-2</v>
          </cell>
          <cell r="BC74">
            <v>-9.918699186991875E-2</v>
          </cell>
          <cell r="BD74">
            <v>-9.7186700767263434E-2</v>
          </cell>
          <cell r="BF74">
            <v>0.36412556053811662</v>
          </cell>
          <cell r="BG74">
            <v>-4.8976608187134452E-2</v>
          </cell>
          <cell r="BH74">
            <v>0.13652839307289577</v>
          </cell>
          <cell r="BJ74">
            <v>-0.1428571428571429</v>
          </cell>
          <cell r="BK74">
            <v>-0.15929203539823011</v>
          </cell>
          <cell r="BL74">
            <v>-0.15833333333333333</v>
          </cell>
          <cell r="BN74" t="str">
            <v xml:space="preserve">  NM</v>
          </cell>
          <cell r="BO74">
            <v>0</v>
          </cell>
          <cell r="BP74">
            <v>0</v>
          </cell>
          <cell r="BR74">
            <v>-0.1428571428571429</v>
          </cell>
          <cell r="BS74">
            <v>-0.14117647058823535</v>
          </cell>
          <cell r="BT74">
            <v>-0.14126394052044611</v>
          </cell>
          <cell r="BV74" t="str">
            <v>Year</v>
          </cell>
          <cell r="BW74" t="str">
            <v>NM</v>
          </cell>
          <cell r="BX74" t="str">
            <v>NM</v>
          </cell>
          <cell r="BY74" t="str">
            <v>NM</v>
          </cell>
          <cell r="CA74">
            <v>0.5807692307692307</v>
          </cell>
          <cell r="CB74">
            <v>-0.22499999999999998</v>
          </cell>
          <cell r="CC74">
            <v>0.56259398496240598</v>
          </cell>
          <cell r="CE74" t="str">
            <v xml:space="preserve">  NM</v>
          </cell>
          <cell r="CF74" t="str">
            <v xml:space="preserve">  NM</v>
          </cell>
          <cell r="CG74" t="str">
            <v xml:space="preserve">  NM</v>
          </cell>
          <cell r="CI74">
            <v>0.55805243445692887</v>
          </cell>
          <cell r="CJ74">
            <v>-0.16666666666666663</v>
          </cell>
          <cell r="CK74">
            <v>0.5421245421245422</v>
          </cell>
          <cell r="CM74">
            <v>0.31515151515151518</v>
          </cell>
          <cell r="CN74" t="str">
            <v xml:space="preserve">  NM</v>
          </cell>
          <cell r="CO74">
            <v>0.28571428571428581</v>
          </cell>
          <cell r="CQ74">
            <v>-0.23333333333333328</v>
          </cell>
          <cell r="CR74">
            <v>-7.1428571428571397E-2</v>
          </cell>
          <cell r="CS74">
            <v>-0.15517241379310343</v>
          </cell>
          <cell r="CU74">
            <v>0.23076923076923084</v>
          </cell>
          <cell r="CV74">
            <v>-0.10526315789473684</v>
          </cell>
          <cell r="CW74">
            <v>0.17596566523605151</v>
          </cell>
          <cell r="CY74" t="str">
            <v xml:space="preserve">  NM</v>
          </cell>
          <cell r="CZ74">
            <v>-0.28619528619528622</v>
          </cell>
          <cell r="DA74">
            <v>-0.31475409836065571</v>
          </cell>
          <cell r="DC74" t="str">
            <v>Year</v>
          </cell>
          <cell r="DD74" t="str">
            <v xml:space="preserve">    NM</v>
          </cell>
          <cell r="DE74" t="str">
            <v xml:space="preserve">    NM</v>
          </cell>
          <cell r="DF74" t="str">
            <v xml:space="preserve">    NM</v>
          </cell>
          <cell r="DH74">
            <v>1.5742574257425743</v>
          </cell>
          <cell r="DI74">
            <v>5.6923076923076925</v>
          </cell>
          <cell r="DJ74">
            <v>1.7436708860759493</v>
          </cell>
          <cell r="DL74">
            <v>0.40591603053435121</v>
          </cell>
          <cell r="DM74">
            <v>8.9022255563890873E-2</v>
          </cell>
          <cell r="DN74">
            <v>0.26875202944041554</v>
          </cell>
          <cell r="DP74">
            <v>0.10714285714285721</v>
          </cell>
          <cell r="DQ74">
            <v>-8.4745762711864403E-2</v>
          </cell>
          <cell r="DR74">
            <v>-1.2030075187969946E-2</v>
          </cell>
          <cell r="DS74" t="e">
            <v>#DIV/0!</v>
          </cell>
          <cell r="DT74">
            <v>-0.13084112149532712</v>
          </cell>
          <cell r="DU74">
            <v>0.38787878787878793</v>
          </cell>
          <cell r="DV74">
            <v>4.5267489711934061E-2</v>
          </cell>
          <cell r="DW74" t="e">
            <v>#DIV/0!</v>
          </cell>
          <cell r="DX74">
            <v>0.35267930750206111</v>
          </cell>
          <cell r="DY74">
            <v>7.0140280561122204E-2</v>
          </cell>
          <cell r="DZ74">
            <v>0.22514699231117152</v>
          </cell>
        </row>
        <row r="76">
          <cell r="A76" t="str">
            <v xml:space="preserve">1998 </v>
          </cell>
          <cell r="AO76" t="str">
            <v xml:space="preserve">1998 </v>
          </cell>
          <cell r="BQ76">
            <v>0</v>
          </cell>
          <cell r="BV76" t="str">
            <v xml:space="preserve">1998 </v>
          </cell>
          <cell r="CH76">
            <v>0</v>
          </cell>
          <cell r="DC76" t="str">
            <v xml:space="preserve">1998 </v>
          </cell>
        </row>
        <row r="77">
          <cell r="A77" t="str">
            <v xml:space="preserve"> 1Q</v>
          </cell>
          <cell r="B77">
            <v>193</v>
          </cell>
          <cell r="C77">
            <v>0</v>
          </cell>
          <cell r="D77">
            <v>193</v>
          </cell>
          <cell r="E77">
            <v>0</v>
          </cell>
          <cell r="F77">
            <v>259</v>
          </cell>
          <cell r="G77">
            <v>308</v>
          </cell>
          <cell r="H77">
            <v>567</v>
          </cell>
          <cell r="I77">
            <v>0</v>
          </cell>
          <cell r="J77">
            <v>84</v>
          </cell>
          <cell r="K77">
            <v>85</v>
          </cell>
          <cell r="L77">
            <v>169</v>
          </cell>
          <cell r="M77">
            <v>0</v>
          </cell>
          <cell r="N77">
            <v>13</v>
          </cell>
          <cell r="O77">
            <v>13</v>
          </cell>
          <cell r="Q77">
            <v>2</v>
          </cell>
          <cell r="R77">
            <v>25</v>
          </cell>
          <cell r="S77">
            <v>27</v>
          </cell>
          <cell r="U77">
            <v>538</v>
          </cell>
          <cell r="V77">
            <v>431</v>
          </cell>
          <cell r="W77">
            <v>969</v>
          </cell>
          <cell r="Y77">
            <v>381</v>
          </cell>
          <cell r="Z77">
            <v>79</v>
          </cell>
          <cell r="AA77">
            <v>460</v>
          </cell>
          <cell r="AC77">
            <v>0</v>
          </cell>
          <cell r="AD77">
            <v>0</v>
          </cell>
          <cell r="AE77">
            <v>0</v>
          </cell>
          <cell r="AG77">
            <v>4</v>
          </cell>
          <cell r="AH77">
            <v>12</v>
          </cell>
          <cell r="AI77">
            <v>16</v>
          </cell>
          <cell r="AK77">
            <v>385</v>
          </cell>
          <cell r="AL77">
            <v>91</v>
          </cell>
          <cell r="AM77">
            <v>476</v>
          </cell>
          <cell r="AO77" t="str">
            <v xml:space="preserve"> 1Q</v>
          </cell>
          <cell r="AP77">
            <v>118</v>
          </cell>
          <cell r="AQ77">
            <v>111</v>
          </cell>
          <cell r="AR77">
            <v>229</v>
          </cell>
          <cell r="AT77">
            <v>232</v>
          </cell>
          <cell r="AU77">
            <v>74</v>
          </cell>
          <cell r="AV77">
            <v>306</v>
          </cell>
          <cell r="AX77">
            <v>41</v>
          </cell>
          <cell r="AY77">
            <v>0</v>
          </cell>
          <cell r="AZ77">
            <v>41</v>
          </cell>
          <cell r="BB77">
            <v>42</v>
          </cell>
          <cell r="BC77">
            <v>139</v>
          </cell>
          <cell r="BD77">
            <v>181</v>
          </cell>
          <cell r="BF77">
            <v>433</v>
          </cell>
          <cell r="BG77">
            <v>324</v>
          </cell>
          <cell r="BH77">
            <v>757</v>
          </cell>
          <cell r="BJ77">
            <v>3</v>
          </cell>
          <cell r="BK77">
            <v>45</v>
          </cell>
          <cell r="BL77">
            <v>48</v>
          </cell>
          <cell r="BN77">
            <v>0</v>
          </cell>
          <cell r="BO77">
            <v>4</v>
          </cell>
          <cell r="BP77">
            <v>4</v>
          </cell>
          <cell r="BR77">
            <v>3</v>
          </cell>
          <cell r="BS77">
            <v>49</v>
          </cell>
          <cell r="BT77">
            <v>52</v>
          </cell>
          <cell r="BV77" t="str">
            <v xml:space="preserve"> 1Q</v>
          </cell>
          <cell r="BW77">
            <v>0</v>
          </cell>
          <cell r="BX77">
            <v>0</v>
          </cell>
          <cell r="BY77">
            <v>0</v>
          </cell>
          <cell r="CA77">
            <v>81</v>
          </cell>
          <cell r="CB77">
            <v>1</v>
          </cell>
          <cell r="CC77">
            <v>82</v>
          </cell>
          <cell r="CE77">
            <v>2</v>
          </cell>
          <cell r="CF77">
            <v>0</v>
          </cell>
          <cell r="CG77">
            <v>2</v>
          </cell>
          <cell r="CI77">
            <v>83</v>
          </cell>
          <cell r="CJ77">
            <v>1</v>
          </cell>
          <cell r="CK77">
            <v>84</v>
          </cell>
          <cell r="CM77">
            <v>56</v>
          </cell>
          <cell r="CN77">
            <v>2</v>
          </cell>
          <cell r="CO77">
            <v>58</v>
          </cell>
          <cell r="CQ77">
            <v>6</v>
          </cell>
          <cell r="CR77">
            <v>7</v>
          </cell>
          <cell r="CS77">
            <v>13</v>
          </cell>
          <cell r="CU77">
            <v>62</v>
          </cell>
          <cell r="CV77">
            <v>9</v>
          </cell>
          <cell r="CW77">
            <v>71</v>
          </cell>
          <cell r="CY77">
            <v>1</v>
          </cell>
          <cell r="CZ77">
            <v>67</v>
          </cell>
          <cell r="DA77">
            <v>68</v>
          </cell>
          <cell r="DC77" t="str">
            <v xml:space="preserve"> 1Q</v>
          </cell>
          <cell r="DD77">
            <v>0</v>
          </cell>
          <cell r="DE77">
            <v>0</v>
          </cell>
          <cell r="DF77">
            <v>0</v>
          </cell>
          <cell r="DH77">
            <v>139</v>
          </cell>
          <cell r="DI77">
            <v>11</v>
          </cell>
          <cell r="DJ77">
            <v>150</v>
          </cell>
          <cell r="DL77">
            <v>1644</v>
          </cell>
          <cell r="DM77">
            <v>983</v>
          </cell>
          <cell r="DN77">
            <v>2627</v>
          </cell>
          <cell r="DP77">
            <v>114</v>
          </cell>
          <cell r="DQ77">
            <v>176</v>
          </cell>
          <cell r="DR77">
            <v>290</v>
          </cell>
          <cell r="DT77">
            <v>87</v>
          </cell>
          <cell r="DU77">
            <v>32</v>
          </cell>
          <cell r="DV77">
            <v>119</v>
          </cell>
          <cell r="DX77">
            <v>1845</v>
          </cell>
          <cell r="DY77">
            <v>1191</v>
          </cell>
          <cell r="DZ77">
            <v>3036</v>
          </cell>
        </row>
        <row r="78">
          <cell r="A78" t="str">
            <v xml:space="preserve"> 2Q</v>
          </cell>
          <cell r="B78">
            <v>157</v>
          </cell>
          <cell r="C78">
            <v>0</v>
          </cell>
          <cell r="D78">
            <v>157</v>
          </cell>
          <cell r="E78">
            <v>0</v>
          </cell>
          <cell r="F78">
            <v>280</v>
          </cell>
          <cell r="G78">
            <v>338</v>
          </cell>
          <cell r="H78">
            <v>618</v>
          </cell>
          <cell r="I78">
            <v>0</v>
          </cell>
          <cell r="J78">
            <v>69</v>
          </cell>
          <cell r="K78">
            <v>90</v>
          </cell>
          <cell r="L78">
            <v>159</v>
          </cell>
          <cell r="M78">
            <v>0</v>
          </cell>
          <cell r="N78">
            <v>22</v>
          </cell>
          <cell r="O78">
            <v>22</v>
          </cell>
          <cell r="Q78">
            <v>2</v>
          </cell>
          <cell r="R78">
            <v>25</v>
          </cell>
          <cell r="S78">
            <v>27</v>
          </cell>
          <cell r="U78">
            <v>508</v>
          </cell>
          <cell r="V78">
            <v>475</v>
          </cell>
          <cell r="W78">
            <v>983</v>
          </cell>
          <cell r="Y78">
            <v>312</v>
          </cell>
          <cell r="Z78">
            <v>86</v>
          </cell>
          <cell r="AA78">
            <v>398</v>
          </cell>
          <cell r="AC78">
            <v>0</v>
          </cell>
          <cell r="AD78">
            <v>0</v>
          </cell>
          <cell r="AE78">
            <v>0</v>
          </cell>
          <cell r="AG78">
            <v>3</v>
          </cell>
          <cell r="AH78">
            <v>16</v>
          </cell>
          <cell r="AI78">
            <v>19</v>
          </cell>
          <cell r="AK78">
            <v>315</v>
          </cell>
          <cell r="AL78">
            <v>102</v>
          </cell>
          <cell r="AM78">
            <v>417</v>
          </cell>
          <cell r="AO78" t="str">
            <v xml:space="preserve"> 2Q</v>
          </cell>
          <cell r="AP78">
            <v>91</v>
          </cell>
          <cell r="AQ78">
            <v>120</v>
          </cell>
          <cell r="AR78">
            <v>211</v>
          </cell>
          <cell r="AT78">
            <v>97</v>
          </cell>
          <cell r="AU78">
            <v>66</v>
          </cell>
          <cell r="AV78">
            <v>163</v>
          </cell>
          <cell r="AX78">
            <v>22</v>
          </cell>
          <cell r="AY78">
            <v>0</v>
          </cell>
          <cell r="AZ78">
            <v>22</v>
          </cell>
          <cell r="BB78">
            <v>30</v>
          </cell>
          <cell r="BC78">
            <v>141</v>
          </cell>
          <cell r="BD78">
            <v>171</v>
          </cell>
          <cell r="BF78">
            <v>240</v>
          </cell>
          <cell r="BG78">
            <v>327</v>
          </cell>
          <cell r="BH78">
            <v>567</v>
          </cell>
          <cell r="BJ78">
            <v>2</v>
          </cell>
          <cell r="BK78">
            <v>48</v>
          </cell>
          <cell r="BL78">
            <v>50</v>
          </cell>
          <cell r="BN78">
            <v>0</v>
          </cell>
          <cell r="BO78">
            <v>8</v>
          </cell>
          <cell r="BP78">
            <v>8</v>
          </cell>
          <cell r="BR78">
            <v>2</v>
          </cell>
          <cell r="BS78">
            <v>56</v>
          </cell>
          <cell r="BT78">
            <v>58</v>
          </cell>
          <cell r="BV78" t="str">
            <v xml:space="preserve"> 2Q</v>
          </cell>
          <cell r="BW78">
            <v>409</v>
          </cell>
          <cell r="BX78">
            <v>2</v>
          </cell>
          <cell r="BY78">
            <v>411</v>
          </cell>
          <cell r="CA78">
            <v>104</v>
          </cell>
          <cell r="CB78">
            <v>1</v>
          </cell>
          <cell r="CC78">
            <v>105</v>
          </cell>
          <cell r="CE78">
            <v>1</v>
          </cell>
          <cell r="CF78">
            <v>0</v>
          </cell>
          <cell r="CG78">
            <v>1</v>
          </cell>
          <cell r="CI78">
            <v>105</v>
          </cell>
          <cell r="CJ78">
            <v>1</v>
          </cell>
          <cell r="CK78">
            <v>106</v>
          </cell>
          <cell r="CM78">
            <v>48</v>
          </cell>
          <cell r="CN78">
            <v>2</v>
          </cell>
          <cell r="CO78">
            <v>50</v>
          </cell>
          <cell r="CQ78">
            <v>5</v>
          </cell>
          <cell r="CR78">
            <v>6</v>
          </cell>
          <cell r="CS78">
            <v>11</v>
          </cell>
          <cell r="CU78">
            <v>53</v>
          </cell>
          <cell r="CV78">
            <v>8</v>
          </cell>
          <cell r="CW78">
            <v>61</v>
          </cell>
          <cell r="CY78">
            <v>1</v>
          </cell>
          <cell r="CZ78">
            <v>48</v>
          </cell>
          <cell r="DA78">
            <v>49</v>
          </cell>
          <cell r="DC78" t="str">
            <v xml:space="preserve"> 2Q</v>
          </cell>
          <cell r="DD78">
            <v>0</v>
          </cell>
          <cell r="DE78">
            <v>0</v>
          </cell>
          <cell r="DF78">
            <v>0</v>
          </cell>
          <cell r="DH78">
            <v>180</v>
          </cell>
          <cell r="DI78">
            <v>18</v>
          </cell>
          <cell r="DJ78">
            <v>198</v>
          </cell>
          <cell r="DL78">
            <v>1813</v>
          </cell>
          <cell r="DM78">
            <v>1037</v>
          </cell>
          <cell r="DN78">
            <v>2850</v>
          </cell>
          <cell r="DP78">
            <v>133</v>
          </cell>
          <cell r="DQ78">
            <v>187</v>
          </cell>
          <cell r="DR78">
            <v>320</v>
          </cell>
          <cell r="DT78">
            <v>75</v>
          </cell>
          <cell r="DU78">
            <v>67</v>
          </cell>
          <cell r="DV78">
            <v>142</v>
          </cell>
          <cell r="DX78">
            <v>2021</v>
          </cell>
          <cell r="DY78">
            <v>1291</v>
          </cell>
          <cell r="DZ78">
            <v>3312</v>
          </cell>
        </row>
        <row r="79">
          <cell r="A79" t="str">
            <v xml:space="preserve"> 3Q</v>
          </cell>
          <cell r="B79">
            <v>191</v>
          </cell>
          <cell r="C79">
            <v>0</v>
          </cell>
          <cell r="D79">
            <v>191</v>
          </cell>
          <cell r="E79">
            <v>0</v>
          </cell>
          <cell r="F79">
            <v>342</v>
          </cell>
          <cell r="G79">
            <v>329</v>
          </cell>
          <cell r="H79">
            <v>671</v>
          </cell>
          <cell r="I79">
            <v>0</v>
          </cell>
          <cell r="J79">
            <v>87</v>
          </cell>
          <cell r="K79">
            <v>87</v>
          </cell>
          <cell r="L79">
            <v>174</v>
          </cell>
          <cell r="M79">
            <v>0</v>
          </cell>
          <cell r="N79">
            <v>27</v>
          </cell>
          <cell r="O79">
            <v>27</v>
          </cell>
          <cell r="Q79">
            <v>2</v>
          </cell>
          <cell r="R79">
            <v>25</v>
          </cell>
          <cell r="S79">
            <v>27</v>
          </cell>
          <cell r="U79">
            <v>622</v>
          </cell>
          <cell r="V79">
            <v>468</v>
          </cell>
          <cell r="W79">
            <v>1090</v>
          </cell>
          <cell r="Y79">
            <v>403</v>
          </cell>
          <cell r="Z79">
            <v>86</v>
          </cell>
          <cell r="AA79">
            <v>489</v>
          </cell>
          <cell r="AC79">
            <v>0</v>
          </cell>
          <cell r="AD79">
            <v>0</v>
          </cell>
          <cell r="AE79">
            <v>0</v>
          </cell>
          <cell r="AG79">
            <v>3</v>
          </cell>
          <cell r="AH79">
            <v>20</v>
          </cell>
          <cell r="AI79">
            <v>23</v>
          </cell>
          <cell r="AK79">
            <v>406</v>
          </cell>
          <cell r="AL79">
            <v>106</v>
          </cell>
          <cell r="AM79">
            <v>512</v>
          </cell>
          <cell r="AO79" t="str">
            <v xml:space="preserve"> 3Q</v>
          </cell>
          <cell r="AP79">
            <v>113</v>
          </cell>
          <cell r="AQ79">
            <v>115</v>
          </cell>
          <cell r="AR79">
            <v>228</v>
          </cell>
          <cell r="AT79">
            <v>141</v>
          </cell>
          <cell r="AU79">
            <v>52</v>
          </cell>
          <cell r="AV79">
            <v>193</v>
          </cell>
          <cell r="AX79">
            <v>41</v>
          </cell>
          <cell r="AY79">
            <v>0</v>
          </cell>
          <cell r="AZ79">
            <v>41</v>
          </cell>
          <cell r="BB79">
            <v>37</v>
          </cell>
          <cell r="BC79">
            <v>127</v>
          </cell>
          <cell r="BD79">
            <v>164</v>
          </cell>
          <cell r="BF79">
            <v>332</v>
          </cell>
          <cell r="BG79">
            <v>294</v>
          </cell>
          <cell r="BH79">
            <v>626</v>
          </cell>
          <cell r="BJ79">
            <v>3</v>
          </cell>
          <cell r="BK79">
            <v>45</v>
          </cell>
          <cell r="BL79">
            <v>48</v>
          </cell>
          <cell r="BN79">
            <v>0</v>
          </cell>
          <cell r="BO79">
            <v>8</v>
          </cell>
          <cell r="BP79">
            <v>8</v>
          </cell>
          <cell r="BR79">
            <v>3</v>
          </cell>
          <cell r="BS79">
            <v>53</v>
          </cell>
          <cell r="BT79">
            <v>56</v>
          </cell>
          <cell r="BV79" t="str">
            <v xml:space="preserve"> 3Q</v>
          </cell>
          <cell r="BW79">
            <v>115</v>
          </cell>
          <cell r="BX79">
            <v>26</v>
          </cell>
          <cell r="BY79">
            <v>141</v>
          </cell>
          <cell r="CA79">
            <v>118</v>
          </cell>
          <cell r="CB79">
            <v>1.65</v>
          </cell>
          <cell r="CC79">
            <v>119.65</v>
          </cell>
          <cell r="CE79">
            <v>1</v>
          </cell>
          <cell r="CF79">
            <v>0.35000000000000009</v>
          </cell>
          <cell r="CG79">
            <v>1.35</v>
          </cell>
          <cell r="CI79">
            <v>119</v>
          </cell>
          <cell r="CJ79">
            <v>2</v>
          </cell>
          <cell r="CK79">
            <v>121</v>
          </cell>
          <cell r="CM79">
            <v>56</v>
          </cell>
          <cell r="CN79">
            <v>2</v>
          </cell>
          <cell r="CO79">
            <v>58</v>
          </cell>
          <cell r="CQ79">
            <v>6</v>
          </cell>
          <cell r="CR79">
            <v>6</v>
          </cell>
          <cell r="CS79">
            <v>12</v>
          </cell>
          <cell r="CU79">
            <v>62</v>
          </cell>
          <cell r="CV79">
            <v>8</v>
          </cell>
          <cell r="CW79">
            <v>70</v>
          </cell>
          <cell r="CY79">
            <v>4</v>
          </cell>
          <cell r="CZ79">
            <v>46</v>
          </cell>
          <cell r="DA79">
            <v>50</v>
          </cell>
          <cell r="DC79" t="str">
            <v xml:space="preserve"> 3Q</v>
          </cell>
          <cell r="DD79">
            <v>0</v>
          </cell>
          <cell r="DE79">
            <v>0</v>
          </cell>
          <cell r="DF79">
            <v>0</v>
          </cell>
          <cell r="DH79">
            <v>197</v>
          </cell>
          <cell r="DI79">
            <v>23</v>
          </cell>
          <cell r="DJ79">
            <v>220</v>
          </cell>
          <cell r="DL79">
            <v>1860</v>
          </cell>
          <cell r="DM79">
            <v>1026</v>
          </cell>
          <cell r="DN79">
            <v>2886</v>
          </cell>
          <cell r="DP79">
            <v>155</v>
          </cell>
          <cell r="DQ79">
            <v>164</v>
          </cell>
          <cell r="DR79">
            <v>319</v>
          </cell>
          <cell r="DT79">
            <v>67</v>
          </cell>
          <cell r="DU79">
            <v>58</v>
          </cell>
          <cell r="DV79">
            <v>125</v>
          </cell>
          <cell r="DX79">
            <v>2082</v>
          </cell>
          <cell r="DY79">
            <v>1248</v>
          </cell>
          <cell r="DZ79">
            <v>3330</v>
          </cell>
        </row>
        <row r="80">
          <cell r="A80" t="str">
            <v xml:space="preserve"> 4Q</v>
          </cell>
          <cell r="B80">
            <v>172</v>
          </cell>
          <cell r="C80">
            <v>0</v>
          </cell>
          <cell r="D80">
            <v>172</v>
          </cell>
          <cell r="E80">
            <v>0</v>
          </cell>
          <cell r="F80">
            <v>324</v>
          </cell>
          <cell r="G80">
            <v>395</v>
          </cell>
          <cell r="H80">
            <v>719</v>
          </cell>
          <cell r="I80">
            <v>0</v>
          </cell>
          <cell r="J80">
            <v>82</v>
          </cell>
          <cell r="K80">
            <v>103</v>
          </cell>
          <cell r="L80">
            <v>185</v>
          </cell>
          <cell r="M80">
            <v>0</v>
          </cell>
          <cell r="N80">
            <v>38</v>
          </cell>
          <cell r="O80">
            <v>38</v>
          </cell>
          <cell r="Q80">
            <v>3</v>
          </cell>
          <cell r="R80">
            <v>27</v>
          </cell>
          <cell r="S80">
            <v>30</v>
          </cell>
          <cell r="U80">
            <v>581</v>
          </cell>
          <cell r="V80">
            <v>563</v>
          </cell>
          <cell r="W80">
            <v>1144</v>
          </cell>
          <cell r="Y80">
            <v>387</v>
          </cell>
          <cell r="Z80">
            <v>102</v>
          </cell>
          <cell r="AA80">
            <v>489</v>
          </cell>
          <cell r="AC80">
            <v>0</v>
          </cell>
          <cell r="AD80">
            <v>0</v>
          </cell>
          <cell r="AE80">
            <v>0</v>
          </cell>
          <cell r="AG80">
            <v>4</v>
          </cell>
          <cell r="AH80">
            <v>26</v>
          </cell>
          <cell r="AI80">
            <v>30</v>
          </cell>
          <cell r="AK80">
            <v>391</v>
          </cell>
          <cell r="AL80">
            <v>128</v>
          </cell>
          <cell r="AM80">
            <v>519</v>
          </cell>
          <cell r="AO80" t="str">
            <v xml:space="preserve"> 4Q</v>
          </cell>
          <cell r="AP80">
            <v>119</v>
          </cell>
          <cell r="AQ80">
            <v>129</v>
          </cell>
          <cell r="AR80">
            <v>248</v>
          </cell>
          <cell r="AT80">
            <v>304</v>
          </cell>
          <cell r="AU80">
            <v>75</v>
          </cell>
          <cell r="AV80">
            <v>379</v>
          </cell>
          <cell r="AX80">
            <v>50</v>
          </cell>
          <cell r="AY80">
            <v>5</v>
          </cell>
          <cell r="AZ80">
            <v>55</v>
          </cell>
          <cell r="BB80">
            <v>43</v>
          </cell>
          <cell r="BC80">
            <v>147</v>
          </cell>
          <cell r="BD80">
            <v>190</v>
          </cell>
          <cell r="BF80">
            <v>516</v>
          </cell>
          <cell r="BG80">
            <v>356</v>
          </cell>
          <cell r="BH80">
            <v>872</v>
          </cell>
          <cell r="BJ80">
            <v>4</v>
          </cell>
          <cell r="BK80">
            <v>52</v>
          </cell>
          <cell r="BL80">
            <v>56</v>
          </cell>
          <cell r="BN80">
            <v>0</v>
          </cell>
          <cell r="BO80">
            <v>9</v>
          </cell>
          <cell r="BP80">
            <v>9</v>
          </cell>
          <cell r="BR80">
            <v>4</v>
          </cell>
          <cell r="BS80">
            <v>61</v>
          </cell>
          <cell r="BT80">
            <v>65</v>
          </cell>
          <cell r="BV80" t="str">
            <v xml:space="preserve"> 4Q</v>
          </cell>
          <cell r="BW80">
            <v>131</v>
          </cell>
          <cell r="BX80">
            <v>105</v>
          </cell>
          <cell r="BY80">
            <v>236</v>
          </cell>
          <cell r="CA80">
            <v>108</v>
          </cell>
          <cell r="CB80">
            <v>1</v>
          </cell>
          <cell r="CC80">
            <v>109</v>
          </cell>
          <cell r="CE80">
            <v>1</v>
          </cell>
          <cell r="CF80">
            <v>0</v>
          </cell>
          <cell r="CG80">
            <v>1</v>
          </cell>
          <cell r="CI80">
            <v>109</v>
          </cell>
          <cell r="CJ80">
            <v>1</v>
          </cell>
          <cell r="CK80">
            <v>110</v>
          </cell>
          <cell r="CM80">
            <v>57</v>
          </cell>
          <cell r="CN80">
            <v>2</v>
          </cell>
          <cell r="CO80">
            <v>59</v>
          </cell>
          <cell r="CQ80">
            <v>6</v>
          </cell>
          <cell r="CR80">
            <v>7</v>
          </cell>
          <cell r="CS80">
            <v>13</v>
          </cell>
          <cell r="CU80">
            <v>63</v>
          </cell>
          <cell r="CV80">
            <v>9</v>
          </cell>
          <cell r="CW80">
            <v>72</v>
          </cell>
          <cell r="CY80">
            <v>-9</v>
          </cell>
          <cell r="CZ80">
            <v>51</v>
          </cell>
          <cell r="DA80">
            <v>42</v>
          </cell>
          <cell r="DC80" t="str">
            <v xml:space="preserve"> 4Q</v>
          </cell>
          <cell r="DD80">
            <v>0</v>
          </cell>
          <cell r="DE80">
            <v>0</v>
          </cell>
          <cell r="DF80">
            <v>0</v>
          </cell>
          <cell r="DH80">
            <v>264</v>
          </cell>
          <cell r="DI80">
            <v>35</v>
          </cell>
          <cell r="DJ80">
            <v>299</v>
          </cell>
          <cell r="DL80">
            <v>2050</v>
          </cell>
          <cell r="DM80">
            <v>1309</v>
          </cell>
          <cell r="DN80">
            <v>3359</v>
          </cell>
          <cell r="DP80">
            <v>156</v>
          </cell>
          <cell r="DQ80">
            <v>229</v>
          </cell>
          <cell r="DR80">
            <v>385</v>
          </cell>
          <cell r="DT80">
            <v>50</v>
          </cell>
          <cell r="DU80">
            <v>72</v>
          </cell>
          <cell r="DV80">
            <v>122</v>
          </cell>
          <cell r="DX80">
            <v>2256</v>
          </cell>
          <cell r="DY80">
            <v>1610</v>
          </cell>
          <cell r="DZ80">
            <v>3866</v>
          </cell>
        </row>
        <row r="82">
          <cell r="A82" t="str">
            <v>Year</v>
          </cell>
          <cell r="B82">
            <v>713</v>
          </cell>
          <cell r="C82">
            <v>0</v>
          </cell>
          <cell r="D82">
            <v>713</v>
          </cell>
          <cell r="F82">
            <v>1205</v>
          </cell>
          <cell r="G82">
            <v>1370</v>
          </cell>
          <cell r="H82">
            <v>2575</v>
          </cell>
          <cell r="J82">
            <v>322</v>
          </cell>
          <cell r="K82">
            <v>365</v>
          </cell>
          <cell r="L82">
            <v>687</v>
          </cell>
          <cell r="M82">
            <v>0</v>
          </cell>
          <cell r="N82">
            <v>100</v>
          </cell>
          <cell r="O82">
            <v>100</v>
          </cell>
          <cell r="Q82">
            <v>9</v>
          </cell>
          <cell r="R82">
            <v>102</v>
          </cell>
          <cell r="S82">
            <v>111</v>
          </cell>
          <cell r="U82">
            <v>2249</v>
          </cell>
          <cell r="V82">
            <v>1937</v>
          </cell>
          <cell r="W82">
            <v>4186</v>
          </cell>
          <cell r="Y82">
            <v>1483</v>
          </cell>
          <cell r="Z82">
            <v>353</v>
          </cell>
          <cell r="AA82">
            <v>1836</v>
          </cell>
          <cell r="AC82">
            <v>0</v>
          </cell>
          <cell r="AD82">
            <v>0</v>
          </cell>
          <cell r="AE82">
            <v>0</v>
          </cell>
          <cell r="AG82">
            <v>14</v>
          </cell>
          <cell r="AH82">
            <v>74</v>
          </cell>
          <cell r="AI82">
            <v>88</v>
          </cell>
          <cell r="AK82">
            <v>1497</v>
          </cell>
          <cell r="AL82">
            <v>427</v>
          </cell>
          <cell r="AM82">
            <v>1924</v>
          </cell>
          <cell r="AO82" t="str">
            <v>Year</v>
          </cell>
          <cell r="AP82">
            <v>441</v>
          </cell>
          <cell r="AQ82">
            <v>475</v>
          </cell>
          <cell r="AR82">
            <v>916</v>
          </cell>
          <cell r="AT82">
            <v>774</v>
          </cell>
          <cell r="AU82">
            <v>267</v>
          </cell>
          <cell r="AV82">
            <v>1041</v>
          </cell>
          <cell r="AX82">
            <v>154</v>
          </cell>
          <cell r="AY82">
            <v>5</v>
          </cell>
          <cell r="AZ82">
            <v>159</v>
          </cell>
          <cell r="BB82">
            <v>152</v>
          </cell>
          <cell r="BC82">
            <v>554</v>
          </cell>
          <cell r="BD82">
            <v>706</v>
          </cell>
          <cell r="BF82">
            <v>1521</v>
          </cell>
          <cell r="BG82">
            <v>1301</v>
          </cell>
          <cell r="BH82">
            <v>2822</v>
          </cell>
          <cell r="BJ82">
            <v>12</v>
          </cell>
          <cell r="BK82">
            <v>190</v>
          </cell>
          <cell r="BL82">
            <v>202</v>
          </cell>
          <cell r="BM82">
            <v>0</v>
          </cell>
          <cell r="BN82">
            <v>0</v>
          </cell>
          <cell r="BO82">
            <v>29</v>
          </cell>
          <cell r="BP82">
            <v>29</v>
          </cell>
          <cell r="BQ82">
            <v>0</v>
          </cell>
          <cell r="BR82">
            <v>12</v>
          </cell>
          <cell r="BS82">
            <v>219</v>
          </cell>
          <cell r="BT82">
            <v>231</v>
          </cell>
          <cell r="BV82" t="str">
            <v>Year</v>
          </cell>
          <cell r="BW82">
            <v>655</v>
          </cell>
          <cell r="BX82">
            <v>133</v>
          </cell>
          <cell r="BY82">
            <v>788</v>
          </cell>
          <cell r="CA82">
            <v>411</v>
          </cell>
          <cell r="CB82">
            <v>4.6500000000000004</v>
          </cell>
          <cell r="CC82">
            <v>415.65</v>
          </cell>
          <cell r="CE82">
            <v>5</v>
          </cell>
          <cell r="CF82">
            <v>0.35000000000000009</v>
          </cell>
          <cell r="CG82">
            <v>5.35</v>
          </cell>
          <cell r="CI82">
            <v>416</v>
          </cell>
          <cell r="CJ82">
            <v>5</v>
          </cell>
          <cell r="CK82">
            <v>421</v>
          </cell>
          <cell r="CM82">
            <v>217</v>
          </cell>
          <cell r="CN82">
            <v>8</v>
          </cell>
          <cell r="CO82">
            <v>225</v>
          </cell>
          <cell r="CQ82">
            <v>23</v>
          </cell>
          <cell r="CR82">
            <v>26</v>
          </cell>
          <cell r="CS82">
            <v>49</v>
          </cell>
          <cell r="CU82">
            <v>240</v>
          </cell>
          <cell r="CV82">
            <v>34</v>
          </cell>
          <cell r="CW82">
            <v>274</v>
          </cell>
          <cell r="CY82">
            <v>-3</v>
          </cell>
          <cell r="CZ82">
            <v>212</v>
          </cell>
          <cell r="DA82">
            <v>209</v>
          </cell>
          <cell r="DC82" t="str">
            <v>Year</v>
          </cell>
          <cell r="DD82">
            <v>0</v>
          </cell>
          <cell r="DE82">
            <v>0</v>
          </cell>
          <cell r="DF82">
            <v>0</v>
          </cell>
          <cell r="DH82">
            <v>780</v>
          </cell>
          <cell r="DI82">
            <v>87</v>
          </cell>
          <cell r="DJ82">
            <v>867</v>
          </cell>
          <cell r="DL82">
            <v>7367</v>
          </cell>
          <cell r="DM82">
            <v>4355</v>
          </cell>
          <cell r="DN82">
            <v>11722</v>
          </cell>
          <cell r="DP82">
            <v>558</v>
          </cell>
          <cell r="DQ82">
            <v>756</v>
          </cell>
          <cell r="DR82">
            <v>1314</v>
          </cell>
          <cell r="DT82">
            <v>279</v>
          </cell>
          <cell r="DU82">
            <v>229</v>
          </cell>
          <cell r="DV82">
            <v>508</v>
          </cell>
          <cell r="DX82">
            <v>8204</v>
          </cell>
          <cell r="DY82">
            <v>5340</v>
          </cell>
          <cell r="DZ82">
            <v>13544</v>
          </cell>
        </row>
        <row r="84">
          <cell r="A84" t="str">
            <v xml:space="preserve">1999/98 </v>
          </cell>
          <cell r="AO84" t="str">
            <v xml:space="preserve">1999/98 </v>
          </cell>
          <cell r="BV84" t="str">
            <v xml:space="preserve">1999/98 </v>
          </cell>
          <cell r="DC84" t="str">
            <v xml:space="preserve">1999/98 </v>
          </cell>
        </row>
        <row r="85">
          <cell r="A85" t="str">
            <v xml:space="preserve"> 1QA</v>
          </cell>
          <cell r="B85">
            <v>-0.26943005181347146</v>
          </cell>
          <cell r="C85" t="str">
            <v>NM</v>
          </cell>
          <cell r="D85">
            <v>-0.26943005181347146</v>
          </cell>
          <cell r="F85">
            <v>0.21235521235521237</v>
          </cell>
          <cell r="G85">
            <v>0.26298701298701288</v>
          </cell>
          <cell r="H85">
            <v>0.23985890652557318</v>
          </cell>
          <cell r="J85">
            <v>0.13095238095238093</v>
          </cell>
          <cell r="K85">
            <v>0.16470588235294126</v>
          </cell>
          <cell r="L85">
            <v>0.14792899408284033</v>
          </cell>
          <cell r="N85">
            <v>1.9230769230769229</v>
          </cell>
          <cell r="O85">
            <v>1.9230769230769229</v>
          </cell>
          <cell r="Q85">
            <v>-0.5</v>
          </cell>
          <cell r="R85">
            <v>-7.999999999999996E-2</v>
          </cell>
          <cell r="S85">
            <v>-0.11111111111111116</v>
          </cell>
          <cell r="U85">
            <v>2.4163568773234223E-2</v>
          </cell>
          <cell r="V85">
            <v>0.27378190255220414</v>
          </cell>
          <cell r="W85">
            <v>0.1351909184726523</v>
          </cell>
          <cell r="Y85">
            <v>0.13910761154855633</v>
          </cell>
          <cell r="Z85">
            <v>0.17721518987341778</v>
          </cell>
          <cell r="AA85">
            <v>0.14565217391304341</v>
          </cell>
          <cell r="AC85" t="str">
            <v xml:space="preserve">  NM</v>
          </cell>
          <cell r="AD85" t="str">
            <v xml:space="preserve">  NM</v>
          </cell>
          <cell r="AE85" t="str">
            <v xml:space="preserve">  NM</v>
          </cell>
          <cell r="AG85">
            <v>-0.25</v>
          </cell>
          <cell r="AH85" t="str">
            <v>NM</v>
          </cell>
          <cell r="AI85">
            <v>0.625</v>
          </cell>
          <cell r="AK85">
            <v>0.13506493506493511</v>
          </cell>
          <cell r="AL85">
            <v>0.27472527472527464</v>
          </cell>
          <cell r="AM85">
            <v>0.16176470588235303</v>
          </cell>
          <cell r="AO85" t="str">
            <v xml:space="preserve"> 1QA</v>
          </cell>
          <cell r="AP85">
            <v>5.0847457627118731E-2</v>
          </cell>
          <cell r="AQ85">
            <v>9.0090090090090058E-2</v>
          </cell>
          <cell r="AR85">
            <v>6.9868995633187714E-2</v>
          </cell>
          <cell r="AT85">
            <v>0.48275862068965525</v>
          </cell>
          <cell r="AU85">
            <v>0.31081081081081074</v>
          </cell>
          <cell r="AV85">
            <v>0.44117647058823528</v>
          </cell>
          <cell r="AX85">
            <v>0.31707317073170738</v>
          </cell>
          <cell r="AY85" t="str">
            <v>NM</v>
          </cell>
          <cell r="AZ85">
            <v>0.51219512195121952</v>
          </cell>
          <cell r="BB85">
            <v>-7.1428571428571397E-2</v>
          </cell>
          <cell r="BC85">
            <v>8.6330935251798468E-2</v>
          </cell>
          <cell r="BD85">
            <v>4.9723756906077332E-2</v>
          </cell>
          <cell r="BF85">
            <v>0.29561200923787534</v>
          </cell>
          <cell r="BG85">
            <v>0.16358024691358031</v>
          </cell>
          <cell r="BH85">
            <v>0.23910171730515195</v>
          </cell>
          <cell r="BJ85">
            <v>-0.33333333333333337</v>
          </cell>
          <cell r="BK85">
            <v>-4.4444444444444398E-2</v>
          </cell>
          <cell r="BL85">
            <v>-6.25E-2</v>
          </cell>
          <cell r="BN85" t="str">
            <v xml:space="preserve">  NM</v>
          </cell>
          <cell r="BO85">
            <v>0.25</v>
          </cell>
          <cell r="BP85">
            <v>0.25</v>
          </cell>
          <cell r="BR85">
            <v>-0.33333333333333337</v>
          </cell>
          <cell r="BS85">
            <v>-2.0408163265306145E-2</v>
          </cell>
          <cell r="BT85">
            <v>-3.8461538461538436E-2</v>
          </cell>
          <cell r="BV85" t="str">
            <v xml:space="preserve"> 1QA</v>
          </cell>
          <cell r="BW85" t="str">
            <v xml:space="preserve">  NM</v>
          </cell>
          <cell r="BX85" t="str">
            <v xml:space="preserve">  NM</v>
          </cell>
          <cell r="BY85" t="str">
            <v xml:space="preserve">  NM</v>
          </cell>
          <cell r="CA85">
            <v>0.54320987654320985</v>
          </cell>
          <cell r="CB85">
            <v>0</v>
          </cell>
          <cell r="CC85">
            <v>0.53658536585365857</v>
          </cell>
          <cell r="CE85">
            <v>0</v>
          </cell>
          <cell r="CF85" t="str">
            <v xml:space="preserve">  NM</v>
          </cell>
          <cell r="CG85">
            <v>0</v>
          </cell>
          <cell r="CI85">
            <v>0.53012048192771077</v>
          </cell>
          <cell r="CJ85">
            <v>0</v>
          </cell>
          <cell r="CK85">
            <v>0.52380952380952372</v>
          </cell>
          <cell r="CM85">
            <v>0.14285714285714279</v>
          </cell>
          <cell r="CN85">
            <v>0.5</v>
          </cell>
          <cell r="CO85">
            <v>0.15517241379310343</v>
          </cell>
          <cell r="CQ85">
            <v>-0.33333333333333337</v>
          </cell>
          <cell r="CR85">
            <v>-0.2857142857142857</v>
          </cell>
          <cell r="CS85">
            <v>-0.30769230769230771</v>
          </cell>
          <cell r="CU85">
            <v>9.6774193548387011E-2</v>
          </cell>
          <cell r="CV85">
            <v>-0.11111111111111116</v>
          </cell>
          <cell r="CW85">
            <v>7.0422535211267512E-2</v>
          </cell>
          <cell r="CY85" t="str">
            <v xml:space="preserve">  NM</v>
          </cell>
          <cell r="CZ85">
            <v>-0.20895522388059706</v>
          </cell>
          <cell r="DA85">
            <v>-0.22058823529411764</v>
          </cell>
          <cell r="DC85" t="str">
            <v xml:space="preserve"> 1QA</v>
          </cell>
          <cell r="DD85" t="str">
            <v xml:space="preserve">    NM</v>
          </cell>
          <cell r="DE85" t="str">
            <v xml:space="preserve">    NM</v>
          </cell>
          <cell r="DF85" t="str">
            <v xml:space="preserve">    NM</v>
          </cell>
          <cell r="DH85">
            <v>1.5899280575539567</v>
          </cell>
          <cell r="DI85">
            <v>2.9090909090909092</v>
          </cell>
          <cell r="DJ85">
            <v>1.6866666666666665</v>
          </cell>
          <cell r="DL85">
            <v>0.37165450121654509</v>
          </cell>
          <cell r="DM85">
            <v>0.26042726347914558</v>
          </cell>
          <cell r="DN85">
            <v>0.3300342596117245</v>
          </cell>
          <cell r="DP85">
            <v>2.6315789473684292E-2</v>
          </cell>
          <cell r="DQ85">
            <v>-3.9772727272727293E-2</v>
          </cell>
          <cell r="DR85">
            <v>-1.379310344827589E-2</v>
          </cell>
          <cell r="DT85">
            <v>4.5977011494252817E-2</v>
          </cell>
          <cell r="DU85">
            <v>0.75</v>
          </cell>
          <cell r="DV85">
            <v>0.23529411764705888</v>
          </cell>
          <cell r="DX85">
            <v>0.33495934959349594</v>
          </cell>
          <cell r="DY85">
            <v>0.22921914357682627</v>
          </cell>
          <cell r="DZ85">
            <v>0.29347826086956519</v>
          </cell>
        </row>
        <row r="86">
          <cell r="A86" t="str">
            <v xml:space="preserve"> 2QA</v>
          </cell>
          <cell r="B86">
            <v>-0.27388535031847139</v>
          </cell>
          <cell r="C86" t="str">
            <v>NM</v>
          </cell>
          <cell r="D86">
            <v>-0.27388535031847139</v>
          </cell>
          <cell r="F86">
            <v>0.11785714285714288</v>
          </cell>
          <cell r="G86">
            <v>0.21005917159763321</v>
          </cell>
          <cell r="H86">
            <v>0.16828478964401294</v>
          </cell>
          <cell r="J86">
            <v>0.14492753623188404</v>
          </cell>
          <cell r="K86">
            <v>0.21111111111111103</v>
          </cell>
          <cell r="L86">
            <v>0.1823899371069182</v>
          </cell>
          <cell r="N86">
            <v>0.95454545454545459</v>
          </cell>
          <cell r="O86">
            <v>0.95454545454545459</v>
          </cell>
          <cell r="Q86">
            <v>-1</v>
          </cell>
          <cell r="R86">
            <v>0</v>
          </cell>
          <cell r="S86">
            <v>-7.407407407407407E-2</v>
          </cell>
          <cell r="U86">
            <v>-3.937007874015741E-3</v>
          </cell>
          <cell r="V86">
            <v>0.23368421052631572</v>
          </cell>
          <cell r="W86">
            <v>0.11088504577823</v>
          </cell>
          <cell r="Y86">
            <v>0.15705128205128216</v>
          </cell>
          <cell r="Z86">
            <v>0.16279069767441867</v>
          </cell>
          <cell r="AA86">
            <v>0.15829145728643224</v>
          </cell>
          <cell r="AC86" t="str">
            <v xml:space="preserve">  NM</v>
          </cell>
          <cell r="AD86" t="str">
            <v xml:space="preserve">  NM</v>
          </cell>
          <cell r="AE86" t="str">
            <v xml:space="preserve">  NM</v>
          </cell>
          <cell r="AG86">
            <v>-0.33333333333333337</v>
          </cell>
          <cell r="AH86">
            <v>0.75</v>
          </cell>
          <cell r="AI86">
            <v>0.57894736842105265</v>
          </cell>
          <cell r="AK86">
            <v>0.15238095238095228</v>
          </cell>
          <cell r="AL86">
            <v>0.25490196078431371</v>
          </cell>
          <cell r="AM86">
            <v>0.17745803357314149</v>
          </cell>
          <cell r="AO86" t="str">
            <v xml:space="preserve"> 2QA</v>
          </cell>
          <cell r="AP86">
            <v>0.10989010989010994</v>
          </cell>
          <cell r="AQ86">
            <v>5.8333333333333348E-2</v>
          </cell>
          <cell r="AR86">
            <v>8.0568720379146974E-2</v>
          </cell>
          <cell r="AT86">
            <v>0.47422680412371143</v>
          </cell>
          <cell r="AU86">
            <v>-3.0303030303030276E-2</v>
          </cell>
          <cell r="AV86">
            <v>0.26993865030674846</v>
          </cell>
          <cell r="AX86">
            <v>9.0909090909090828E-2</v>
          </cell>
          <cell r="AY86" t="str">
            <v>NM</v>
          </cell>
          <cell r="AZ86">
            <v>0.59090909090909083</v>
          </cell>
          <cell r="BB86">
            <v>3.3333333333333437E-2</v>
          </cell>
          <cell r="BC86">
            <v>-3.546099290780147E-2</v>
          </cell>
          <cell r="BD86">
            <v>-2.3391812865497075E-2</v>
          </cell>
          <cell r="BF86">
            <v>0.24583333333333335</v>
          </cell>
          <cell r="BG86">
            <v>3.3639143730886945E-2</v>
          </cell>
          <cell r="BH86">
            <v>0.12345679012345689</v>
          </cell>
          <cell r="BJ86">
            <v>-0.5</v>
          </cell>
          <cell r="BK86">
            <v>-8.333333333333337E-2</v>
          </cell>
          <cell r="BL86">
            <v>-9.9999999999999978E-2</v>
          </cell>
          <cell r="BN86" t="str">
            <v xml:space="preserve">  NM</v>
          </cell>
          <cell r="BO86">
            <v>0.25</v>
          </cell>
          <cell r="BP86">
            <v>0.25</v>
          </cell>
          <cell r="BR86">
            <v>-0.5</v>
          </cell>
          <cell r="BS86">
            <v>-3.5714285714285698E-2</v>
          </cell>
          <cell r="BT86">
            <v>-5.1724137931034475E-2</v>
          </cell>
          <cell r="BV86" t="str">
            <v xml:space="preserve"> 2QA</v>
          </cell>
          <cell r="BW86">
            <v>-0.5158924205378973</v>
          </cell>
          <cell r="BX86" t="str">
            <v xml:space="preserve">  NM</v>
          </cell>
          <cell r="BY86">
            <v>-0.24574209245742096</v>
          </cell>
          <cell r="CA86">
            <v>0.375</v>
          </cell>
          <cell r="CB86">
            <v>0</v>
          </cell>
          <cell r="CC86">
            <v>0.37142857142857144</v>
          </cell>
          <cell r="CE86">
            <v>1</v>
          </cell>
          <cell r="CF86" t="str">
            <v xml:space="preserve">  NM</v>
          </cell>
          <cell r="CG86">
            <v>1</v>
          </cell>
          <cell r="CI86">
            <v>0.38095238095238093</v>
          </cell>
          <cell r="CJ86">
            <v>0</v>
          </cell>
          <cell r="CK86">
            <v>0.37735849056603765</v>
          </cell>
          <cell r="CM86">
            <v>0.14583333333333326</v>
          </cell>
          <cell r="CN86">
            <v>0</v>
          </cell>
          <cell r="CO86">
            <v>0.1399999999999999</v>
          </cell>
          <cell r="CQ86">
            <v>-0.4</v>
          </cell>
          <cell r="CR86">
            <v>0</v>
          </cell>
          <cell r="CS86">
            <v>-0.18181818181818177</v>
          </cell>
          <cell r="CU86">
            <v>9.4339622641509413E-2</v>
          </cell>
          <cell r="CV86">
            <v>0</v>
          </cell>
          <cell r="CW86">
            <v>8.1967213114754189E-2</v>
          </cell>
          <cell r="CY86" t="str">
            <v xml:space="preserve">  NM</v>
          </cell>
          <cell r="CZ86">
            <v>-0.16666666666666663</v>
          </cell>
          <cell r="DA86">
            <v>-0.1428571428571429</v>
          </cell>
          <cell r="DC86" t="str">
            <v xml:space="preserve"> 2QA</v>
          </cell>
          <cell r="DD86" t="str">
            <v xml:space="preserve">    NM</v>
          </cell>
          <cell r="DE86" t="str">
            <v xml:space="preserve">    NM</v>
          </cell>
          <cell r="DF86" t="str">
            <v xml:space="preserve">    NM</v>
          </cell>
          <cell r="DH86">
            <v>1.3222222222222224</v>
          </cell>
          <cell r="DI86">
            <v>2.5</v>
          </cell>
          <cell r="DJ86">
            <v>1.4292929292929295</v>
          </cell>
          <cell r="DL86">
            <v>9.7628240485383433E-2</v>
          </cell>
          <cell r="DM86">
            <v>0.28254580520732886</v>
          </cell>
          <cell r="DN86">
            <v>0.16491228070175445</v>
          </cell>
          <cell r="DP86">
            <v>2.2556390977443552E-2</v>
          </cell>
          <cell r="DQ86">
            <v>-9.6256684491978661E-2</v>
          </cell>
          <cell r="DR86">
            <v>-4.6875E-2</v>
          </cell>
          <cell r="DT86">
            <v>6.6666666666666652E-2</v>
          </cell>
          <cell r="DU86">
            <v>0.10447761194029859</v>
          </cell>
          <cell r="DV86">
            <v>8.4507042253521236E-2</v>
          </cell>
          <cell r="DX86">
            <v>9.1538842157347755E-2</v>
          </cell>
          <cell r="DY86">
            <v>0.21843532145623556</v>
          </cell>
          <cell r="DZ86">
            <v>0.1410024154589371</v>
          </cell>
        </row>
        <row r="87">
          <cell r="A87" t="str">
            <v xml:space="preserve"> 3QA</v>
          </cell>
          <cell r="B87">
            <v>-0.34554973821989532</v>
          </cell>
          <cell r="C87" t="str">
            <v>NM</v>
          </cell>
          <cell r="D87">
            <v>-0.34554973821989532</v>
          </cell>
          <cell r="F87">
            <v>7.0175438596491224E-2</v>
          </cell>
          <cell r="G87">
            <v>0.28571428571428581</v>
          </cell>
          <cell r="H87">
            <v>0.17585692995529056</v>
          </cell>
          <cell r="J87">
            <v>5.7471264367816133E-2</v>
          </cell>
          <cell r="K87">
            <v>0.21839080459770122</v>
          </cell>
          <cell r="L87">
            <v>0.13793103448275867</v>
          </cell>
          <cell r="N87">
            <v>0.7407407407407407</v>
          </cell>
          <cell r="O87">
            <v>0.7407407407407407</v>
          </cell>
          <cell r="Q87">
            <v>-0.5</v>
          </cell>
          <cell r="R87">
            <v>-4.0000000000000036E-2</v>
          </cell>
          <cell r="S87">
            <v>-7.407407407407407E-2</v>
          </cell>
          <cell r="U87">
            <v>-6.1093247588424382E-2</v>
          </cell>
          <cell r="V87">
            <v>0.28205128205128216</v>
          </cell>
          <cell r="W87">
            <v>8.6238532110091803E-2</v>
          </cell>
          <cell r="Y87">
            <v>5.7071960297766733E-2</v>
          </cell>
          <cell r="Z87">
            <v>0.20930232558139528</v>
          </cell>
          <cell r="AA87">
            <v>8.3844580777096223E-2</v>
          </cell>
          <cell r="AC87" t="str">
            <v xml:space="preserve">  NM</v>
          </cell>
          <cell r="AD87" t="str">
            <v xml:space="preserve">  NM</v>
          </cell>
          <cell r="AE87" t="str">
            <v xml:space="preserve">  NM</v>
          </cell>
          <cell r="AG87">
            <v>-0.33333333333333337</v>
          </cell>
          <cell r="AH87">
            <v>0.39999999999999991</v>
          </cell>
          <cell r="AI87">
            <v>0.30434782608695654</v>
          </cell>
          <cell r="AK87">
            <v>5.4187192118226646E-2</v>
          </cell>
          <cell r="AL87">
            <v>0.24528301886792447</v>
          </cell>
          <cell r="AM87">
            <v>9.375E-2</v>
          </cell>
          <cell r="AO87" t="str">
            <v xml:space="preserve"> 3QA</v>
          </cell>
          <cell r="AP87">
            <v>4.4247787610619538E-2</v>
          </cell>
          <cell r="AQ87">
            <v>0.13913043478260878</v>
          </cell>
          <cell r="AR87">
            <v>9.210526315789469E-2</v>
          </cell>
          <cell r="AT87">
            <v>0.23404255319148937</v>
          </cell>
          <cell r="AU87">
            <v>3.8461538461538547E-2</v>
          </cell>
          <cell r="AV87">
            <v>0.18134715025906734</v>
          </cell>
          <cell r="AX87" t="str">
            <v>NM</v>
          </cell>
          <cell r="AY87" t="str">
            <v>NM</v>
          </cell>
          <cell r="AZ87" t="str">
            <v>NM</v>
          </cell>
          <cell r="BB87">
            <v>0.18918918918918926</v>
          </cell>
          <cell r="BC87">
            <v>6.2992125984252079E-2</v>
          </cell>
          <cell r="BD87">
            <v>9.1463414634146423E-2</v>
          </cell>
          <cell r="BF87">
            <v>-9.0361445783132543E-3</v>
          </cell>
          <cell r="BG87">
            <v>8.503401360544216E-2</v>
          </cell>
          <cell r="BH87">
            <v>3.514376996805102E-2</v>
          </cell>
          <cell r="BJ87">
            <v>-0.33333333333333337</v>
          </cell>
          <cell r="BK87">
            <v>-6.6666666666666652E-2</v>
          </cell>
          <cell r="BL87">
            <v>-8.333333333333337E-2</v>
          </cell>
          <cell r="BN87" t="str">
            <v xml:space="preserve">  NM</v>
          </cell>
          <cell r="BO87">
            <v>0.375</v>
          </cell>
          <cell r="BP87">
            <v>0.375</v>
          </cell>
          <cell r="BR87">
            <v>-0.33333333333333337</v>
          </cell>
          <cell r="BS87">
            <v>0</v>
          </cell>
          <cell r="BT87">
            <v>-1.7857142857142905E-2</v>
          </cell>
          <cell r="BV87" t="str">
            <v xml:space="preserve"> 3QA</v>
          </cell>
          <cell r="BW87">
            <v>0.39999999999999991</v>
          </cell>
          <cell r="BX87">
            <v>2.3846153846153846</v>
          </cell>
          <cell r="BY87">
            <v>0.76595744680851063</v>
          </cell>
          <cell r="CA87">
            <v>0.22881355932203395</v>
          </cell>
          <cell r="CB87">
            <v>-0.15151515151515149</v>
          </cell>
          <cell r="CC87">
            <v>0.22356874216464684</v>
          </cell>
          <cell r="CE87">
            <v>0</v>
          </cell>
          <cell r="CF87" t="str">
            <v xml:space="preserve">  NM</v>
          </cell>
          <cell r="CG87">
            <v>-0.2592592592592593</v>
          </cell>
          <cell r="CI87">
            <v>0.22689075630252109</v>
          </cell>
          <cell r="CJ87">
            <v>-0.30000000000000004</v>
          </cell>
          <cell r="CK87">
            <v>0.21818181818181825</v>
          </cell>
          <cell r="CM87">
            <v>0.1785714285714286</v>
          </cell>
          <cell r="CN87">
            <v>0.5</v>
          </cell>
          <cell r="CO87">
            <v>0.18965517241379315</v>
          </cell>
          <cell r="CQ87">
            <v>-0.33333333333333337</v>
          </cell>
          <cell r="CR87">
            <v>-0.16666666666666663</v>
          </cell>
          <cell r="CS87">
            <v>-0.25</v>
          </cell>
          <cell r="CU87">
            <v>0.12903225806451624</v>
          </cell>
          <cell r="CV87">
            <v>0</v>
          </cell>
          <cell r="CW87">
            <v>0.11428571428571432</v>
          </cell>
          <cell r="CY87">
            <v>-2</v>
          </cell>
          <cell r="CZ87">
            <v>-0.16086956521739137</v>
          </cell>
          <cell r="DA87">
            <v>-0.30800000000000016</v>
          </cell>
          <cell r="DC87" t="str">
            <v xml:space="preserve"> 3QA</v>
          </cell>
          <cell r="DD87" t="str">
            <v xml:space="preserve">    NM</v>
          </cell>
          <cell r="DE87" t="str">
            <v xml:space="preserve">    NM</v>
          </cell>
          <cell r="DF87" t="str">
            <v xml:space="preserve">    NM</v>
          </cell>
          <cell r="DH87">
            <v>1.5583756345177666</v>
          </cell>
          <cell r="DI87">
            <v>1.8260869565217392</v>
          </cell>
          <cell r="DJ87">
            <v>1.5863636363636364</v>
          </cell>
          <cell r="DL87">
            <v>0.19354838709677424</v>
          </cell>
          <cell r="DM87">
            <v>0.27192982456140347</v>
          </cell>
          <cell r="DN87">
            <v>0.22141372141372151</v>
          </cell>
          <cell r="DP87">
            <v>0.16129032258064524</v>
          </cell>
          <cell r="DQ87">
            <v>-4.8780487804878092E-2</v>
          </cell>
          <cell r="DR87">
            <v>5.3291536050156685E-2</v>
          </cell>
          <cell r="DT87">
            <v>0.10447761194029859</v>
          </cell>
          <cell r="DU87">
            <v>-1.7241379310344862E-2</v>
          </cell>
          <cell r="DV87">
            <v>4.8000000000000043E-2</v>
          </cell>
          <cell r="DX87">
            <v>0.1882804995196925</v>
          </cell>
          <cell r="DY87">
            <v>0.21634615384615374</v>
          </cell>
          <cell r="DZ87">
            <v>0.19879879879879869</v>
          </cell>
        </row>
        <row r="88">
          <cell r="A88" t="str">
            <v xml:space="preserve"> 4Q</v>
          </cell>
          <cell r="B88">
            <v>-0.17441860465116277</v>
          </cell>
          <cell r="C88" t="str">
            <v>NM</v>
          </cell>
          <cell r="D88">
            <v>-0.17441860465116277</v>
          </cell>
          <cell r="F88">
            <v>0.14814814814814814</v>
          </cell>
          <cell r="G88">
            <v>0.12658227848101267</v>
          </cell>
          <cell r="H88">
            <v>0.18</v>
          </cell>
          <cell r="J88">
            <v>0.14634146341463405</v>
          </cell>
          <cell r="K88">
            <v>0.17475728155339798</v>
          </cell>
          <cell r="L88">
            <v>0.16216216216216206</v>
          </cell>
          <cell r="N88">
            <v>0.60526315789473695</v>
          </cell>
          <cell r="O88">
            <v>0.60526315789473695</v>
          </cell>
          <cell r="Q88">
            <v>-0.66666666666666674</v>
          </cell>
          <cell r="R88">
            <v>-0.14814814814814814</v>
          </cell>
          <cell r="S88">
            <v>-0.19999999999999996</v>
          </cell>
          <cell r="U88">
            <v>4.8192771084337283E-2</v>
          </cell>
          <cell r="V88">
            <v>0.15452930728241565</v>
          </cell>
          <cell r="W88">
            <v>0.10052447552447563</v>
          </cell>
          <cell r="Y88">
            <v>6.9767441860465018E-2</v>
          </cell>
          <cell r="Z88">
            <v>9.8039215686274161E-3</v>
          </cell>
          <cell r="AA88">
            <v>5.7259713701431458E-2</v>
          </cell>
          <cell r="AC88" t="str">
            <v xml:space="preserve">  NM</v>
          </cell>
          <cell r="AD88" t="str">
            <v xml:space="preserve">  NM</v>
          </cell>
          <cell r="AE88" t="str">
            <v xml:space="preserve">  NM</v>
          </cell>
          <cell r="AG88">
            <v>-0.25</v>
          </cell>
          <cell r="AH88">
            <v>0.23076923076923084</v>
          </cell>
          <cell r="AI88">
            <v>0.16666666666666674</v>
          </cell>
          <cell r="AK88">
            <v>6.6496163682864484E-2</v>
          </cell>
          <cell r="AL88">
            <v>5.46875E-2</v>
          </cell>
          <cell r="AM88">
            <v>6.3583815028901647E-2</v>
          </cell>
          <cell r="AO88" t="str">
            <v xml:space="preserve"> 4Q</v>
          </cell>
          <cell r="AP88">
            <v>0.15126050420168058</v>
          </cell>
          <cell r="AQ88">
            <v>0.10077519379844957</v>
          </cell>
          <cell r="AR88">
            <v>0.125</v>
          </cell>
          <cell r="AT88">
            <v>0.26644736842105265</v>
          </cell>
          <cell r="AU88">
            <v>-2.6666666666666616E-2</v>
          </cell>
          <cell r="AV88">
            <v>0.20844327176780997</v>
          </cell>
          <cell r="AX88">
            <v>-0.9</v>
          </cell>
          <cell r="AY88" t="str">
            <v>NM</v>
          </cell>
          <cell r="AZ88">
            <v>-0.88181818181818183</v>
          </cell>
          <cell r="BB88">
            <v>-0.20930232558139539</v>
          </cell>
          <cell r="BC88">
            <v>-1.7006802721088454E-2</v>
          </cell>
          <cell r="BD88">
            <v>-6.052631578947365E-2</v>
          </cell>
          <cell r="BF88">
            <v>8.7209302325581328E-2</v>
          </cell>
          <cell r="BG88">
            <v>1.4044943820224809E-2</v>
          </cell>
          <cell r="BH88">
            <v>5.7339449541284448E-2</v>
          </cell>
          <cell r="BJ88">
            <v>-0.5</v>
          </cell>
          <cell r="BK88">
            <v>-0.17307692307692313</v>
          </cell>
          <cell r="BL88">
            <v>-0.1964285714285714</v>
          </cell>
          <cell r="BN88" t="str">
            <v xml:space="preserve">  NM</v>
          </cell>
          <cell r="BO88">
            <v>0.44444444444444442</v>
          </cell>
          <cell r="BP88">
            <v>0.44444444444444442</v>
          </cell>
          <cell r="BR88">
            <v>-0.5</v>
          </cell>
          <cell r="BS88">
            <v>-8.1967213114754078E-2</v>
          </cell>
          <cell r="BT88">
            <v>-0.10769230769230764</v>
          </cell>
          <cell r="BV88" t="str">
            <v xml:space="preserve"> 4Q</v>
          </cell>
          <cell r="BW88">
            <v>0.25190839694656497</v>
          </cell>
          <cell r="BX88">
            <v>0.11428571428571432</v>
          </cell>
          <cell r="BY88">
            <v>0.19067796610169485</v>
          </cell>
          <cell r="CA88">
            <v>0.25</v>
          </cell>
          <cell r="CB88">
            <v>0</v>
          </cell>
          <cell r="CC88">
            <v>0.24770642201834869</v>
          </cell>
          <cell r="CE88">
            <v>0</v>
          </cell>
          <cell r="CF88" t="str">
            <v xml:space="preserve">  NM</v>
          </cell>
          <cell r="CG88">
            <v>0</v>
          </cell>
          <cell r="CI88">
            <v>0.24770642201834869</v>
          </cell>
          <cell r="CJ88">
            <v>0</v>
          </cell>
          <cell r="CK88">
            <v>0.24545454545454537</v>
          </cell>
          <cell r="CM88">
            <v>0.12280701754385959</v>
          </cell>
          <cell r="CN88">
            <v>1</v>
          </cell>
          <cell r="CO88">
            <v>0.15254237288135597</v>
          </cell>
          <cell r="CQ88">
            <v>-0.16666666666666663</v>
          </cell>
          <cell r="CR88">
            <v>-0.4285714285714286</v>
          </cell>
          <cell r="CS88">
            <v>-0.30769230769230771</v>
          </cell>
          <cell r="CU88">
            <v>9.5238095238095344E-2</v>
          </cell>
          <cell r="CV88">
            <v>-0.11111111111111116</v>
          </cell>
          <cell r="CW88">
            <v>6.944444444444442E-2</v>
          </cell>
          <cell r="CY88">
            <v>-1.4444444444444444</v>
          </cell>
          <cell r="CZ88">
            <v>1.9607843137254832E-2</v>
          </cell>
          <cell r="DA88">
            <v>0.33333333333333326</v>
          </cell>
          <cell r="DC88" t="str">
            <v xml:space="preserve"> 4Q</v>
          </cell>
          <cell r="DD88" t="str">
            <v xml:space="preserve">    NM</v>
          </cell>
          <cell r="DE88" t="str">
            <v xml:space="preserve">    NM</v>
          </cell>
          <cell r="DF88" t="str">
            <v xml:space="preserve">    NM</v>
          </cell>
          <cell r="DH88">
            <v>1.0265151515151514</v>
          </cell>
          <cell r="DI88">
            <v>1.4</v>
          </cell>
          <cell r="DJ88">
            <v>1.0702341137123748</v>
          </cell>
          <cell r="DL88">
            <v>0.21804878048780485</v>
          </cell>
          <cell r="DM88">
            <v>0.11841100076394184</v>
          </cell>
          <cell r="DN88">
            <v>0.17922000595415311</v>
          </cell>
          <cell r="DP88">
            <v>0.3141025641025641</v>
          </cell>
          <cell r="DQ88">
            <v>-7.423580786026196E-2</v>
          </cell>
          <cell r="DR88">
            <v>8.3116883116883145E-2</v>
          </cell>
          <cell r="DT88">
            <v>2.0000000000000018E-2</v>
          </cell>
          <cell r="DU88">
            <v>6.944444444444442E-2</v>
          </cell>
          <cell r="DV88">
            <v>4.9180327868852514E-2</v>
          </cell>
          <cell r="DX88">
            <v>0.22030141843971629</v>
          </cell>
          <cell r="DY88">
            <v>8.8819875776397605E-2</v>
          </cell>
          <cell r="DZ88">
            <v>0.16554578375582008</v>
          </cell>
        </row>
        <row r="90">
          <cell r="A90" t="str">
            <v>Year</v>
          </cell>
          <cell r="B90">
            <v>-0.26788218793828888</v>
          </cell>
          <cell r="C90" t="str">
            <v>NM</v>
          </cell>
          <cell r="D90">
            <v>-0.26788218793828888</v>
          </cell>
          <cell r="F90">
            <v>0.13278008298755184</v>
          </cell>
          <cell r="G90">
            <v>0.21605839416058403</v>
          </cell>
          <cell r="H90">
            <v>0.17708737864077673</v>
          </cell>
          <cell r="I90" t="e">
            <v>#DIV/0!</v>
          </cell>
          <cell r="J90">
            <v>0.11801242236024834</v>
          </cell>
          <cell r="K90">
            <v>0.19178082191780832</v>
          </cell>
          <cell r="L90">
            <v>0.15720524017467241</v>
          </cell>
          <cell r="N90">
            <v>0.8899999999999999</v>
          </cell>
          <cell r="O90">
            <v>0.8899999999999999</v>
          </cell>
          <cell r="Q90">
            <v>-0.66666666666666674</v>
          </cell>
          <cell r="R90">
            <v>-6.8627450980392135E-2</v>
          </cell>
          <cell r="S90">
            <v>-0.11711711711711714</v>
          </cell>
          <cell r="U90">
            <v>4.4464206313921117E-4</v>
          </cell>
          <cell r="V90">
            <v>0.23128549303045953</v>
          </cell>
          <cell r="W90">
            <v>0.1072623029144768</v>
          </cell>
          <cell r="Y90">
            <v>0.10249494268374915</v>
          </cell>
          <cell r="Z90">
            <v>0.13314447592067991</v>
          </cell>
          <cell r="AA90">
            <v>0.10838779956427014</v>
          </cell>
          <cell r="AC90" t="str">
            <v>NM</v>
          </cell>
          <cell r="AD90" t="str">
            <v>NM</v>
          </cell>
          <cell r="AE90" t="str">
            <v>NM</v>
          </cell>
          <cell r="AG90">
            <v>-0.2857142857142857</v>
          </cell>
          <cell r="AH90">
            <v>0.5</v>
          </cell>
          <cell r="AI90">
            <v>0.375</v>
          </cell>
          <cell r="AK90">
            <v>9.8864395457581855E-2</v>
          </cell>
          <cell r="AL90">
            <v>0.19672131147540983</v>
          </cell>
          <cell r="AM90">
            <v>0.12058212058212048</v>
          </cell>
          <cell r="AO90" t="str">
            <v>Year</v>
          </cell>
          <cell r="AP90">
            <v>8.8435374149659962E-2</v>
          </cell>
          <cell r="AQ90">
            <v>9.6842105263157841E-2</v>
          </cell>
          <cell r="AR90">
            <v>9.2794759825327588E-2</v>
          </cell>
          <cell r="AT90">
            <v>0.35142118863049099</v>
          </cell>
          <cell r="AU90">
            <v>7.8651685393258397E-2</v>
          </cell>
          <cell r="AV90">
            <v>0.28146013448607099</v>
          </cell>
          <cell r="AW90" t="e">
            <v>#DIV/0!</v>
          </cell>
          <cell r="AX90">
            <v>-0.50649350649350655</v>
          </cell>
          <cell r="AY90" t="str">
            <v>NM</v>
          </cell>
          <cell r="AZ90">
            <v>-0.39937106918238996</v>
          </cell>
          <cell r="BB90">
            <v>-2.6315789473684181E-2</v>
          </cell>
          <cell r="BC90">
            <v>2.2563176895306958E-2</v>
          </cell>
          <cell r="BD90">
            <v>1.2039660056657242E-2</v>
          </cell>
          <cell r="BF90">
            <v>0.1505588428665352</v>
          </cell>
          <cell r="BG90">
            <v>7.2252113758647152E-2</v>
          </cell>
          <cell r="BH90">
            <v>0.1144578313253013</v>
          </cell>
          <cell r="BJ90">
            <v>-0.41666666666666663</v>
          </cell>
          <cell r="BK90">
            <v>-9.4736842105263119E-2</v>
          </cell>
          <cell r="BL90">
            <v>-0.11386138613861385</v>
          </cell>
          <cell r="BN90" t="str">
            <v xml:space="preserve">  NM</v>
          </cell>
          <cell r="BO90">
            <v>0.34482758620689657</v>
          </cell>
          <cell r="BP90">
            <v>0.34482758620689657</v>
          </cell>
          <cell r="BR90">
            <v>-0.41666666666666663</v>
          </cell>
          <cell r="BS90">
            <v>-3.6529680365296802E-2</v>
          </cell>
          <cell r="BT90">
            <v>-5.6277056277056259E-2</v>
          </cell>
          <cell r="BV90" t="str">
            <v>Year</v>
          </cell>
          <cell r="BW90">
            <v>2.5954198473282508E-2</v>
          </cell>
          <cell r="BX90">
            <v>1.7142857142857144</v>
          </cell>
          <cell r="BY90">
            <v>0.31091370558375631</v>
          </cell>
          <cell r="CA90">
            <v>0.33333333333333326</v>
          </cell>
          <cell r="CB90">
            <v>-5.3763440860215006E-2</v>
          </cell>
          <cell r="CC90">
            <v>0.32900276675087214</v>
          </cell>
          <cell r="CE90">
            <v>0.19999999999999996</v>
          </cell>
          <cell r="CF90" t="str">
            <v xml:space="preserve">  NM</v>
          </cell>
          <cell r="CG90">
            <v>0.12149532710280386</v>
          </cell>
          <cell r="CI90">
            <v>0.33173076923076916</v>
          </cell>
          <cell r="CJ90">
            <v>-0.11999999999999988</v>
          </cell>
          <cell r="CK90">
            <v>0.32636579572446545</v>
          </cell>
          <cell r="CM90">
            <v>0.14746543778801846</v>
          </cell>
          <cell r="CN90" t="str">
            <v xml:space="preserve">  NM</v>
          </cell>
          <cell r="CO90">
            <v>0.15999999999999992</v>
          </cell>
          <cell r="CQ90">
            <v>-0.30434782608695654</v>
          </cell>
          <cell r="CR90">
            <v>-0.23076923076923073</v>
          </cell>
          <cell r="CS90">
            <v>-0.26530612244897955</v>
          </cell>
          <cell r="CU90">
            <v>0.10416666666666674</v>
          </cell>
          <cell r="CV90">
            <v>-5.8823529411764719E-2</v>
          </cell>
          <cell r="CW90">
            <v>8.3941605839416011E-2</v>
          </cell>
          <cell r="CY90">
            <v>-1.6666666666666665</v>
          </cell>
          <cell r="CZ90">
            <v>-0.13396226415094348</v>
          </cell>
          <cell r="DA90">
            <v>-0.11196172248803826</v>
          </cell>
          <cell r="DC90" t="str">
            <v>Year</v>
          </cell>
          <cell r="DD90" t="str">
            <v xml:space="preserve">    NM</v>
          </cell>
          <cell r="DE90" t="str">
            <v xml:space="preserve">    NM</v>
          </cell>
          <cell r="DF90" t="str">
            <v xml:space="preserve">    NM</v>
          </cell>
          <cell r="DH90">
            <v>1.3294871794871796</v>
          </cell>
          <cell r="DI90">
            <v>1.9310344827586206</v>
          </cell>
          <cell r="DJ90">
            <v>1.3898500576701269</v>
          </cell>
          <cell r="DL90">
            <v>0.21650604045065824</v>
          </cell>
          <cell r="DM90">
            <v>0.22571756601607351</v>
          </cell>
          <cell r="DN90">
            <v>0.21992833987374172</v>
          </cell>
          <cell r="DP90">
            <v>0.14336917562724016</v>
          </cell>
          <cell r="DQ90">
            <v>-6.6137566137566162E-2</v>
          </cell>
          <cell r="DR90">
            <v>2.2831050228310446E-2</v>
          </cell>
          <cell r="DS90" t="e">
            <v>#DIV/0!</v>
          </cell>
          <cell r="DT90">
            <v>6.0931899641577081E-2</v>
          </cell>
          <cell r="DU90">
            <v>0.15283842794759828</v>
          </cell>
          <cell r="DV90">
            <v>0.10236220472440949</v>
          </cell>
          <cell r="DW90" t="e">
            <v>#DIV/0!</v>
          </cell>
          <cell r="DX90">
            <v>0.20624085811799131</v>
          </cell>
          <cell r="DY90">
            <v>0.18127340823970028</v>
          </cell>
          <cell r="DZ90">
            <v>0.19639692852923796</v>
          </cell>
        </row>
        <row r="92">
          <cell r="A92" t="str">
            <v>1999</v>
          </cell>
          <cell r="X92">
            <v>0</v>
          </cell>
          <cell r="AO92" t="str">
            <v>1999</v>
          </cell>
          <cell r="BE92">
            <v>0</v>
          </cell>
          <cell r="BI92">
            <v>0</v>
          </cell>
          <cell r="BV92" t="str">
            <v>1999</v>
          </cell>
          <cell r="CL92">
            <v>0</v>
          </cell>
          <cell r="CX92">
            <v>0</v>
          </cell>
          <cell r="DC92" t="str">
            <v>1999</v>
          </cell>
          <cell r="DK92">
            <v>0</v>
          </cell>
        </row>
        <row r="93">
          <cell r="A93" t="str">
            <v xml:space="preserve"> 1QA</v>
          </cell>
          <cell r="B93">
            <v>141</v>
          </cell>
          <cell r="C93">
            <v>0</v>
          </cell>
          <cell r="D93">
            <v>141</v>
          </cell>
          <cell r="E93">
            <v>0</v>
          </cell>
          <cell r="F93">
            <v>314</v>
          </cell>
          <cell r="G93">
            <v>389</v>
          </cell>
          <cell r="H93">
            <v>703</v>
          </cell>
          <cell r="I93">
            <v>0</v>
          </cell>
          <cell r="J93">
            <v>95</v>
          </cell>
          <cell r="K93">
            <v>99</v>
          </cell>
          <cell r="L93">
            <v>194</v>
          </cell>
          <cell r="M93">
            <v>0</v>
          </cell>
          <cell r="N93">
            <v>38</v>
          </cell>
          <cell r="O93">
            <v>38</v>
          </cell>
          <cell r="Q93">
            <v>1</v>
          </cell>
          <cell r="R93">
            <v>23</v>
          </cell>
          <cell r="S93">
            <v>24</v>
          </cell>
          <cell r="U93">
            <v>551</v>
          </cell>
          <cell r="V93">
            <v>549</v>
          </cell>
          <cell r="W93">
            <v>1100</v>
          </cell>
          <cell r="Y93">
            <v>434</v>
          </cell>
          <cell r="Z93">
            <v>93</v>
          </cell>
          <cell r="AA93">
            <v>527</v>
          </cell>
          <cell r="AC93">
            <v>0</v>
          </cell>
          <cell r="AD93">
            <v>0</v>
          </cell>
          <cell r="AE93">
            <v>0</v>
          </cell>
          <cell r="AG93">
            <v>3</v>
          </cell>
          <cell r="AH93">
            <v>23</v>
          </cell>
          <cell r="AI93">
            <v>26</v>
          </cell>
          <cell r="AK93">
            <v>437</v>
          </cell>
          <cell r="AL93">
            <v>116</v>
          </cell>
          <cell r="AM93">
            <v>553</v>
          </cell>
          <cell r="AO93" t="str">
            <v xml:space="preserve"> 1QA</v>
          </cell>
          <cell r="AP93">
            <v>124</v>
          </cell>
          <cell r="AQ93">
            <v>121</v>
          </cell>
          <cell r="AR93">
            <v>245</v>
          </cell>
          <cell r="AT93">
            <v>344</v>
          </cell>
          <cell r="AU93">
            <v>97</v>
          </cell>
          <cell r="AV93">
            <v>441</v>
          </cell>
          <cell r="AX93">
            <v>54</v>
          </cell>
          <cell r="AY93">
            <v>8</v>
          </cell>
          <cell r="AZ93">
            <v>62</v>
          </cell>
          <cell r="BB93">
            <v>39</v>
          </cell>
          <cell r="BC93">
            <v>151</v>
          </cell>
          <cell r="BD93">
            <v>190</v>
          </cell>
          <cell r="BF93">
            <v>561</v>
          </cell>
          <cell r="BG93">
            <v>377</v>
          </cell>
          <cell r="BH93">
            <v>938</v>
          </cell>
          <cell r="BJ93">
            <v>2</v>
          </cell>
          <cell r="BK93">
            <v>43</v>
          </cell>
          <cell r="BL93">
            <v>45</v>
          </cell>
          <cell r="BN93">
            <v>0</v>
          </cell>
          <cell r="BO93">
            <v>5</v>
          </cell>
          <cell r="BP93">
            <v>5</v>
          </cell>
          <cell r="BR93">
            <v>2</v>
          </cell>
          <cell r="BS93">
            <v>48</v>
          </cell>
          <cell r="BT93">
            <v>50</v>
          </cell>
          <cell r="BV93" t="str">
            <v xml:space="preserve"> 1QA</v>
          </cell>
          <cell r="BW93">
            <v>149</v>
          </cell>
          <cell r="BX93">
            <v>44</v>
          </cell>
          <cell r="BY93">
            <v>193</v>
          </cell>
          <cell r="CA93">
            <v>125</v>
          </cell>
          <cell r="CB93">
            <v>1</v>
          </cell>
          <cell r="CC93">
            <v>126</v>
          </cell>
          <cell r="CE93">
            <v>2</v>
          </cell>
          <cell r="CF93">
            <v>0</v>
          </cell>
          <cell r="CG93">
            <v>2</v>
          </cell>
          <cell r="CI93">
            <v>127</v>
          </cell>
          <cell r="CJ93">
            <v>1</v>
          </cell>
          <cell r="CK93">
            <v>128</v>
          </cell>
          <cell r="CM93">
            <v>64</v>
          </cell>
          <cell r="CN93">
            <v>3</v>
          </cell>
          <cell r="CO93">
            <v>67</v>
          </cell>
          <cell r="CQ93">
            <v>4</v>
          </cell>
          <cell r="CR93">
            <v>5</v>
          </cell>
          <cell r="CS93">
            <v>9</v>
          </cell>
          <cell r="CU93">
            <v>68</v>
          </cell>
          <cell r="CV93">
            <v>8</v>
          </cell>
          <cell r="CW93">
            <v>76</v>
          </cell>
          <cell r="CY93">
            <v>0</v>
          </cell>
          <cell r="CZ93">
            <v>53</v>
          </cell>
          <cell r="DA93">
            <v>53</v>
          </cell>
          <cell r="DC93" t="str">
            <v xml:space="preserve"> 1QA</v>
          </cell>
          <cell r="DD93">
            <v>0</v>
          </cell>
          <cell r="DE93">
            <v>0</v>
          </cell>
          <cell r="DF93">
            <v>0</v>
          </cell>
          <cell r="DH93">
            <v>360</v>
          </cell>
          <cell r="DI93">
            <v>43</v>
          </cell>
          <cell r="DJ93">
            <v>403</v>
          </cell>
          <cell r="DL93">
            <v>2255</v>
          </cell>
          <cell r="DM93">
            <v>1239</v>
          </cell>
          <cell r="DN93">
            <v>3494</v>
          </cell>
          <cell r="DP93">
            <v>117</v>
          </cell>
          <cell r="DQ93">
            <v>169</v>
          </cell>
          <cell r="DR93">
            <v>286</v>
          </cell>
          <cell r="DT93">
            <v>91</v>
          </cell>
          <cell r="DU93">
            <v>56</v>
          </cell>
          <cell r="DV93">
            <v>147</v>
          </cell>
          <cell r="DX93">
            <v>2463</v>
          </cell>
          <cell r="DY93">
            <v>1464</v>
          </cell>
          <cell r="DZ93">
            <v>3927</v>
          </cell>
        </row>
        <row r="94">
          <cell r="A94" t="str">
            <v xml:space="preserve"> 2QA</v>
          </cell>
          <cell r="B94">
            <v>114</v>
          </cell>
          <cell r="C94">
            <v>0</v>
          </cell>
          <cell r="D94">
            <v>114</v>
          </cell>
          <cell r="E94">
            <v>0</v>
          </cell>
          <cell r="F94">
            <v>313</v>
          </cell>
          <cell r="G94">
            <v>409</v>
          </cell>
          <cell r="H94">
            <v>722</v>
          </cell>
          <cell r="J94">
            <v>79</v>
          </cell>
          <cell r="K94">
            <v>109</v>
          </cell>
          <cell r="L94">
            <v>188</v>
          </cell>
          <cell r="M94">
            <v>0</v>
          </cell>
          <cell r="N94">
            <v>43</v>
          </cell>
          <cell r="O94">
            <v>43</v>
          </cell>
          <cell r="Q94">
            <v>0</v>
          </cell>
          <cell r="R94">
            <v>25</v>
          </cell>
          <cell r="S94">
            <v>25</v>
          </cell>
          <cell r="U94">
            <v>506</v>
          </cell>
          <cell r="V94">
            <v>586</v>
          </cell>
          <cell r="W94">
            <v>1092</v>
          </cell>
          <cell r="Y94">
            <v>361</v>
          </cell>
          <cell r="Z94">
            <v>100</v>
          </cell>
          <cell r="AA94">
            <v>461</v>
          </cell>
          <cell r="AC94">
            <v>0</v>
          </cell>
          <cell r="AD94">
            <v>0</v>
          </cell>
          <cell r="AE94">
            <v>0</v>
          </cell>
          <cell r="AG94">
            <v>2</v>
          </cell>
          <cell r="AH94">
            <v>28</v>
          </cell>
          <cell r="AI94">
            <v>30</v>
          </cell>
          <cell r="AK94">
            <v>363</v>
          </cell>
          <cell r="AL94">
            <v>128</v>
          </cell>
          <cell r="AM94">
            <v>491</v>
          </cell>
          <cell r="AO94" t="str">
            <v xml:space="preserve"> 2QA</v>
          </cell>
          <cell r="AP94">
            <v>101</v>
          </cell>
          <cell r="AQ94">
            <v>127</v>
          </cell>
          <cell r="AR94">
            <v>228</v>
          </cell>
          <cell r="AT94">
            <v>143</v>
          </cell>
          <cell r="AU94">
            <v>64</v>
          </cell>
          <cell r="AV94">
            <v>207</v>
          </cell>
          <cell r="AX94">
            <v>24</v>
          </cell>
          <cell r="AY94">
            <v>11</v>
          </cell>
          <cell r="AZ94">
            <v>35</v>
          </cell>
          <cell r="BB94">
            <v>31</v>
          </cell>
          <cell r="BC94">
            <v>136</v>
          </cell>
          <cell r="BD94">
            <v>167</v>
          </cell>
          <cell r="BF94">
            <v>299</v>
          </cell>
          <cell r="BG94">
            <v>338</v>
          </cell>
          <cell r="BH94">
            <v>637</v>
          </cell>
          <cell r="BJ94">
            <v>1</v>
          </cell>
          <cell r="BK94">
            <v>44</v>
          </cell>
          <cell r="BL94">
            <v>45</v>
          </cell>
          <cell r="BN94">
            <v>0</v>
          </cell>
          <cell r="BO94">
            <v>10</v>
          </cell>
          <cell r="BP94">
            <v>10</v>
          </cell>
          <cell r="BR94">
            <v>1</v>
          </cell>
          <cell r="BS94">
            <v>54</v>
          </cell>
          <cell r="BT94">
            <v>55</v>
          </cell>
          <cell r="BV94" t="str">
            <v xml:space="preserve"> 2QA</v>
          </cell>
          <cell r="BW94">
            <v>198</v>
          </cell>
          <cell r="BX94">
            <v>112</v>
          </cell>
          <cell r="BY94">
            <v>310</v>
          </cell>
          <cell r="CA94">
            <v>143</v>
          </cell>
          <cell r="CB94">
            <v>1</v>
          </cell>
          <cell r="CC94">
            <v>144</v>
          </cell>
          <cell r="CE94">
            <v>2</v>
          </cell>
          <cell r="CF94">
            <v>0</v>
          </cell>
          <cell r="CG94">
            <v>2</v>
          </cell>
          <cell r="CI94">
            <v>145</v>
          </cell>
          <cell r="CJ94">
            <v>1</v>
          </cell>
          <cell r="CK94">
            <v>146</v>
          </cell>
          <cell r="CM94">
            <v>55</v>
          </cell>
          <cell r="CN94">
            <v>2</v>
          </cell>
          <cell r="CO94">
            <v>57</v>
          </cell>
          <cell r="CQ94">
            <v>3</v>
          </cell>
          <cell r="CR94">
            <v>6</v>
          </cell>
          <cell r="CS94">
            <v>9</v>
          </cell>
          <cell r="CU94">
            <v>58</v>
          </cell>
          <cell r="CV94">
            <v>8</v>
          </cell>
          <cell r="CW94">
            <v>66</v>
          </cell>
          <cell r="CY94">
            <v>2</v>
          </cell>
          <cell r="CZ94">
            <v>40</v>
          </cell>
          <cell r="DA94">
            <v>42</v>
          </cell>
          <cell r="DC94" t="str">
            <v xml:space="preserve"> 2QA</v>
          </cell>
          <cell r="DD94">
            <v>0</v>
          </cell>
          <cell r="DE94">
            <v>0</v>
          </cell>
          <cell r="DF94">
            <v>0</v>
          </cell>
          <cell r="DH94">
            <v>418</v>
          </cell>
          <cell r="DI94">
            <v>63</v>
          </cell>
          <cell r="DJ94">
            <v>481</v>
          </cell>
          <cell r="DL94">
            <v>1990</v>
          </cell>
          <cell r="DM94">
            <v>1330</v>
          </cell>
          <cell r="DN94">
            <v>3320</v>
          </cell>
          <cell r="DP94">
            <v>136</v>
          </cell>
          <cell r="DQ94">
            <v>169</v>
          </cell>
          <cell r="DR94">
            <v>305</v>
          </cell>
          <cell r="DT94">
            <v>80</v>
          </cell>
          <cell r="DU94">
            <v>74</v>
          </cell>
          <cell r="DV94">
            <v>154</v>
          </cell>
          <cell r="DX94">
            <v>2206</v>
          </cell>
          <cell r="DY94">
            <v>1573</v>
          </cell>
          <cell r="DZ94">
            <v>3779</v>
          </cell>
        </row>
        <row r="95">
          <cell r="A95" t="str">
            <v xml:space="preserve"> 3QA</v>
          </cell>
          <cell r="B95">
            <v>125</v>
          </cell>
          <cell r="C95">
            <v>0</v>
          </cell>
          <cell r="D95">
            <v>125</v>
          </cell>
          <cell r="E95">
            <v>0</v>
          </cell>
          <cell r="F95">
            <v>366</v>
          </cell>
          <cell r="G95">
            <v>423</v>
          </cell>
          <cell r="H95">
            <v>789</v>
          </cell>
          <cell r="I95">
            <v>0</v>
          </cell>
          <cell r="J95">
            <v>92</v>
          </cell>
          <cell r="K95">
            <v>106</v>
          </cell>
          <cell r="L95">
            <v>198</v>
          </cell>
          <cell r="M95">
            <v>0</v>
          </cell>
          <cell r="N95">
            <v>47</v>
          </cell>
          <cell r="O95">
            <v>47</v>
          </cell>
          <cell r="Q95">
            <v>1</v>
          </cell>
          <cell r="R95">
            <v>24</v>
          </cell>
          <cell r="S95">
            <v>25</v>
          </cell>
          <cell r="U95">
            <v>584</v>
          </cell>
          <cell r="V95">
            <v>600</v>
          </cell>
          <cell r="W95">
            <v>1184</v>
          </cell>
          <cell r="Y95">
            <v>426</v>
          </cell>
          <cell r="Z95">
            <v>104</v>
          </cell>
          <cell r="AA95">
            <v>530</v>
          </cell>
          <cell r="AC95">
            <v>0</v>
          </cell>
          <cell r="AD95">
            <v>0</v>
          </cell>
          <cell r="AE95">
            <v>0</v>
          </cell>
          <cell r="AG95">
            <v>2</v>
          </cell>
          <cell r="AH95">
            <v>28</v>
          </cell>
          <cell r="AI95">
            <v>30</v>
          </cell>
          <cell r="AK95">
            <v>428</v>
          </cell>
          <cell r="AL95">
            <v>132</v>
          </cell>
          <cell r="AM95">
            <v>560</v>
          </cell>
          <cell r="AO95" t="str">
            <v xml:space="preserve"> 3QA</v>
          </cell>
          <cell r="AP95">
            <v>118</v>
          </cell>
          <cell r="AQ95">
            <v>131</v>
          </cell>
          <cell r="AR95">
            <v>249</v>
          </cell>
          <cell r="AT95">
            <v>174</v>
          </cell>
          <cell r="AU95">
            <v>54</v>
          </cell>
          <cell r="AV95">
            <v>228</v>
          </cell>
          <cell r="AX95">
            <v>-7</v>
          </cell>
          <cell r="AY95">
            <v>-1</v>
          </cell>
          <cell r="AZ95">
            <v>-8</v>
          </cell>
          <cell r="BB95">
            <v>44</v>
          </cell>
          <cell r="BC95">
            <v>135</v>
          </cell>
          <cell r="BD95">
            <v>179</v>
          </cell>
          <cell r="BF95">
            <v>329</v>
          </cell>
          <cell r="BG95">
            <v>319</v>
          </cell>
          <cell r="BH95">
            <v>648</v>
          </cell>
          <cell r="BJ95">
            <v>2</v>
          </cell>
          <cell r="BK95">
            <v>42</v>
          </cell>
          <cell r="BL95">
            <v>44</v>
          </cell>
          <cell r="BN95">
            <v>0</v>
          </cell>
          <cell r="BO95">
            <v>11</v>
          </cell>
          <cell r="BP95">
            <v>11</v>
          </cell>
          <cell r="BR95">
            <v>2</v>
          </cell>
          <cell r="BS95">
            <v>53</v>
          </cell>
          <cell r="BT95">
            <v>55</v>
          </cell>
          <cell r="BV95" t="str">
            <v xml:space="preserve"> 3QA</v>
          </cell>
          <cell r="BW95">
            <v>161</v>
          </cell>
          <cell r="BX95">
            <v>88</v>
          </cell>
          <cell r="BY95">
            <v>249</v>
          </cell>
          <cell r="CA95">
            <v>145</v>
          </cell>
          <cell r="CB95">
            <v>1.4</v>
          </cell>
          <cell r="CC95">
            <v>146.4</v>
          </cell>
          <cell r="CE95">
            <v>1</v>
          </cell>
          <cell r="CF95">
            <v>0</v>
          </cell>
          <cell r="CG95">
            <v>1</v>
          </cell>
          <cell r="CI95">
            <v>146</v>
          </cell>
          <cell r="CJ95">
            <v>1.4</v>
          </cell>
          <cell r="CK95">
            <v>147.4</v>
          </cell>
          <cell r="CM95">
            <v>66</v>
          </cell>
          <cell r="CN95">
            <v>3</v>
          </cell>
          <cell r="CO95">
            <v>69</v>
          </cell>
          <cell r="CQ95">
            <v>4</v>
          </cell>
          <cell r="CR95">
            <v>5</v>
          </cell>
          <cell r="CS95">
            <v>9</v>
          </cell>
          <cell r="CU95">
            <v>70</v>
          </cell>
          <cell r="CV95">
            <v>8</v>
          </cell>
          <cell r="CW95">
            <v>78</v>
          </cell>
          <cell r="CY95">
            <v>-4</v>
          </cell>
          <cell r="CZ95">
            <v>38.599999999999994</v>
          </cell>
          <cell r="DA95">
            <v>34.599999999999994</v>
          </cell>
          <cell r="DC95" t="str">
            <v xml:space="preserve"> 3QA</v>
          </cell>
          <cell r="DD95">
            <v>0</v>
          </cell>
          <cell r="DE95">
            <v>0</v>
          </cell>
          <cell r="DF95">
            <v>0</v>
          </cell>
          <cell r="DH95">
            <v>504</v>
          </cell>
          <cell r="DI95">
            <v>65</v>
          </cell>
          <cell r="DJ95">
            <v>569</v>
          </cell>
          <cell r="DL95">
            <v>2220</v>
          </cell>
          <cell r="DM95">
            <v>1305</v>
          </cell>
          <cell r="DN95">
            <v>3525</v>
          </cell>
          <cell r="DP95">
            <v>180</v>
          </cell>
          <cell r="DQ95">
            <v>156</v>
          </cell>
          <cell r="DR95">
            <v>336</v>
          </cell>
          <cell r="DT95">
            <v>74</v>
          </cell>
          <cell r="DU95">
            <v>57</v>
          </cell>
          <cell r="DV95">
            <v>131</v>
          </cell>
          <cell r="DX95">
            <v>2474</v>
          </cell>
          <cell r="DY95">
            <v>1518</v>
          </cell>
          <cell r="DZ95">
            <v>3992</v>
          </cell>
        </row>
        <row r="96">
          <cell r="A96" t="str">
            <v xml:space="preserve"> 4Q</v>
          </cell>
          <cell r="B96">
            <v>142</v>
          </cell>
          <cell r="C96">
            <v>0</v>
          </cell>
          <cell r="D96">
            <v>142</v>
          </cell>
          <cell r="E96">
            <v>0</v>
          </cell>
          <cell r="F96">
            <v>372</v>
          </cell>
          <cell r="G96">
            <v>445</v>
          </cell>
          <cell r="H96">
            <v>817</v>
          </cell>
          <cell r="I96">
            <v>0</v>
          </cell>
          <cell r="J96">
            <v>94</v>
          </cell>
          <cell r="K96">
            <v>121</v>
          </cell>
          <cell r="L96">
            <v>215</v>
          </cell>
          <cell r="M96">
            <v>0</v>
          </cell>
          <cell r="N96">
            <v>61</v>
          </cell>
          <cell r="O96">
            <v>61</v>
          </cell>
          <cell r="Q96">
            <v>1</v>
          </cell>
          <cell r="R96">
            <v>23</v>
          </cell>
          <cell r="S96">
            <v>24</v>
          </cell>
          <cell r="U96">
            <v>609</v>
          </cell>
          <cell r="V96">
            <v>650</v>
          </cell>
          <cell r="W96">
            <v>1259</v>
          </cell>
          <cell r="Y96">
            <v>414</v>
          </cell>
          <cell r="Z96">
            <v>103</v>
          </cell>
          <cell r="AA96">
            <v>517</v>
          </cell>
          <cell r="AC96">
            <v>0</v>
          </cell>
          <cell r="AD96">
            <v>0</v>
          </cell>
          <cell r="AE96">
            <v>0</v>
          </cell>
          <cell r="AG96">
            <v>3</v>
          </cell>
          <cell r="AH96">
            <v>32</v>
          </cell>
          <cell r="AI96">
            <v>35</v>
          </cell>
          <cell r="AK96">
            <v>417</v>
          </cell>
          <cell r="AL96">
            <v>135</v>
          </cell>
          <cell r="AM96">
            <v>552</v>
          </cell>
          <cell r="AO96" t="str">
            <v xml:space="preserve"> 4Q</v>
          </cell>
          <cell r="AP96">
            <v>137</v>
          </cell>
          <cell r="AQ96">
            <v>142</v>
          </cell>
          <cell r="AR96">
            <v>279</v>
          </cell>
          <cell r="AT96">
            <v>385</v>
          </cell>
          <cell r="AU96">
            <v>73</v>
          </cell>
          <cell r="AV96">
            <v>458</v>
          </cell>
          <cell r="AX96">
            <v>4.9999999999999991</v>
          </cell>
          <cell r="AY96">
            <v>1.5</v>
          </cell>
          <cell r="AZ96">
            <v>6.4999999999999991</v>
          </cell>
          <cell r="BB96">
            <v>34</v>
          </cell>
          <cell r="BC96">
            <v>144.5</v>
          </cell>
          <cell r="BD96">
            <v>178.5</v>
          </cell>
          <cell r="BF96">
            <v>561</v>
          </cell>
          <cell r="BG96">
            <v>361</v>
          </cell>
          <cell r="BH96">
            <v>922</v>
          </cell>
          <cell r="BJ96">
            <v>2</v>
          </cell>
          <cell r="BK96">
            <v>43</v>
          </cell>
          <cell r="BL96">
            <v>45</v>
          </cell>
          <cell r="BN96">
            <v>0</v>
          </cell>
          <cell r="BO96">
            <v>13</v>
          </cell>
          <cell r="BP96">
            <v>13</v>
          </cell>
          <cell r="BR96">
            <v>2</v>
          </cell>
          <cell r="BS96">
            <v>56</v>
          </cell>
          <cell r="BT96">
            <v>58</v>
          </cell>
          <cell r="BV96" t="str">
            <v xml:space="preserve"> 4Q</v>
          </cell>
          <cell r="BW96">
            <v>164</v>
          </cell>
          <cell r="BX96">
            <v>117</v>
          </cell>
          <cell r="BY96">
            <v>281</v>
          </cell>
          <cell r="CA96">
            <v>135</v>
          </cell>
          <cell r="CB96">
            <v>1</v>
          </cell>
          <cell r="CC96">
            <v>136</v>
          </cell>
          <cell r="CE96">
            <v>1</v>
          </cell>
          <cell r="CF96">
            <v>0</v>
          </cell>
          <cell r="CG96">
            <v>1</v>
          </cell>
          <cell r="CI96">
            <v>136</v>
          </cell>
          <cell r="CJ96">
            <v>1</v>
          </cell>
          <cell r="CK96">
            <v>137</v>
          </cell>
          <cell r="CM96">
            <v>64</v>
          </cell>
          <cell r="CN96">
            <v>4</v>
          </cell>
          <cell r="CO96">
            <v>68</v>
          </cell>
          <cell r="CQ96">
            <v>5</v>
          </cell>
          <cell r="CR96">
            <v>4</v>
          </cell>
          <cell r="CS96">
            <v>9</v>
          </cell>
          <cell r="CU96">
            <v>69</v>
          </cell>
          <cell r="CV96">
            <v>8</v>
          </cell>
          <cell r="CW96">
            <v>77</v>
          </cell>
          <cell r="CY96">
            <v>4</v>
          </cell>
          <cell r="CZ96">
            <v>52</v>
          </cell>
          <cell r="DA96">
            <v>56</v>
          </cell>
          <cell r="DC96" t="str">
            <v xml:space="preserve"> 4Q</v>
          </cell>
          <cell r="DD96">
            <v>0</v>
          </cell>
          <cell r="DE96">
            <v>0</v>
          </cell>
          <cell r="DF96">
            <v>0</v>
          </cell>
          <cell r="DH96">
            <v>535</v>
          </cell>
          <cell r="DI96">
            <v>84</v>
          </cell>
          <cell r="DJ96">
            <v>619</v>
          </cell>
          <cell r="DL96">
            <v>2497</v>
          </cell>
          <cell r="DM96">
            <v>1464</v>
          </cell>
          <cell r="DN96">
            <v>3961</v>
          </cell>
          <cell r="DP96">
            <v>205</v>
          </cell>
          <cell r="DQ96">
            <v>212</v>
          </cell>
          <cell r="DR96">
            <v>417</v>
          </cell>
          <cell r="DT96">
            <v>51</v>
          </cell>
          <cell r="DU96">
            <v>77</v>
          </cell>
          <cell r="DV96">
            <v>128</v>
          </cell>
          <cell r="DX96">
            <v>2753</v>
          </cell>
          <cell r="DY96">
            <v>1753</v>
          </cell>
          <cell r="DZ96">
            <v>4506</v>
          </cell>
        </row>
        <row r="98">
          <cell r="A98" t="str">
            <v>Year</v>
          </cell>
          <cell r="B98">
            <v>522</v>
          </cell>
          <cell r="C98">
            <v>0</v>
          </cell>
          <cell r="D98">
            <v>522</v>
          </cell>
          <cell r="F98">
            <v>1365</v>
          </cell>
          <cell r="G98">
            <v>1666</v>
          </cell>
          <cell r="H98">
            <v>3031</v>
          </cell>
          <cell r="J98">
            <v>360</v>
          </cell>
          <cell r="K98">
            <v>435</v>
          </cell>
          <cell r="L98">
            <v>795</v>
          </cell>
          <cell r="M98">
            <v>0</v>
          </cell>
          <cell r="N98">
            <v>189</v>
          </cell>
          <cell r="O98">
            <v>189</v>
          </cell>
          <cell r="Q98">
            <v>3</v>
          </cell>
          <cell r="R98">
            <v>95</v>
          </cell>
          <cell r="S98">
            <v>98</v>
          </cell>
          <cell r="U98">
            <v>2250</v>
          </cell>
          <cell r="V98">
            <v>2385</v>
          </cell>
          <cell r="W98">
            <v>4635</v>
          </cell>
          <cell r="Y98">
            <v>1635</v>
          </cell>
          <cell r="Z98">
            <v>400</v>
          </cell>
          <cell r="AA98">
            <v>2035</v>
          </cell>
          <cell r="AC98">
            <v>0</v>
          </cell>
          <cell r="AD98">
            <v>0</v>
          </cell>
          <cell r="AE98">
            <v>0</v>
          </cell>
          <cell r="AG98">
            <v>10</v>
          </cell>
          <cell r="AH98">
            <v>111</v>
          </cell>
          <cell r="AI98">
            <v>121</v>
          </cell>
          <cell r="AK98">
            <v>1645</v>
          </cell>
          <cell r="AL98">
            <v>511</v>
          </cell>
          <cell r="AM98">
            <v>2156</v>
          </cell>
          <cell r="AO98" t="str">
            <v>Year</v>
          </cell>
          <cell r="AP98">
            <v>480</v>
          </cell>
          <cell r="AQ98">
            <v>521</v>
          </cell>
          <cell r="AR98">
            <v>1001</v>
          </cell>
          <cell r="AT98">
            <v>1046</v>
          </cell>
          <cell r="AU98">
            <v>288</v>
          </cell>
          <cell r="AV98">
            <v>1334</v>
          </cell>
          <cell r="AX98">
            <v>76</v>
          </cell>
          <cell r="AY98">
            <v>19.5</v>
          </cell>
          <cell r="AZ98">
            <v>95.5</v>
          </cell>
          <cell r="BB98">
            <v>148</v>
          </cell>
          <cell r="BC98">
            <v>566.5</v>
          </cell>
          <cell r="BD98">
            <v>714.5</v>
          </cell>
          <cell r="BF98">
            <v>1750</v>
          </cell>
          <cell r="BG98">
            <v>1395</v>
          </cell>
          <cell r="BH98">
            <v>3145</v>
          </cell>
          <cell r="BJ98">
            <v>7</v>
          </cell>
          <cell r="BK98">
            <v>172</v>
          </cell>
          <cell r="BL98">
            <v>179</v>
          </cell>
          <cell r="BM98">
            <v>0</v>
          </cell>
          <cell r="BN98">
            <v>0</v>
          </cell>
          <cell r="BO98">
            <v>39</v>
          </cell>
          <cell r="BP98">
            <v>39</v>
          </cell>
          <cell r="BQ98">
            <v>0</v>
          </cell>
          <cell r="BR98">
            <v>7</v>
          </cell>
          <cell r="BS98">
            <v>211</v>
          </cell>
          <cell r="BT98">
            <v>218</v>
          </cell>
          <cell r="BV98" t="str">
            <v>Year</v>
          </cell>
          <cell r="BW98">
            <v>672</v>
          </cell>
          <cell r="BX98">
            <v>361</v>
          </cell>
          <cell r="BY98">
            <v>1033</v>
          </cell>
          <cell r="CA98">
            <v>548</v>
          </cell>
          <cell r="CB98">
            <v>4.4000000000000004</v>
          </cell>
          <cell r="CC98">
            <v>552.4</v>
          </cell>
          <cell r="CE98">
            <v>6</v>
          </cell>
          <cell r="CF98">
            <v>0</v>
          </cell>
          <cell r="CG98">
            <v>6</v>
          </cell>
          <cell r="CI98">
            <v>554</v>
          </cell>
          <cell r="CJ98">
            <v>4.4000000000000004</v>
          </cell>
          <cell r="CK98">
            <v>558.4</v>
          </cell>
          <cell r="CM98">
            <v>249</v>
          </cell>
          <cell r="CN98">
            <v>12</v>
          </cell>
          <cell r="CO98">
            <v>261</v>
          </cell>
          <cell r="CQ98">
            <v>16</v>
          </cell>
          <cell r="CR98">
            <v>20</v>
          </cell>
          <cell r="CS98">
            <v>36</v>
          </cell>
          <cell r="CU98">
            <v>265</v>
          </cell>
          <cell r="CV98">
            <v>32</v>
          </cell>
          <cell r="CW98">
            <v>297</v>
          </cell>
          <cell r="CY98">
            <v>2</v>
          </cell>
          <cell r="CZ98">
            <v>183.6</v>
          </cell>
          <cell r="DA98">
            <v>185.6</v>
          </cell>
          <cell r="DC98" t="str">
            <v>Year</v>
          </cell>
          <cell r="DD98">
            <v>0</v>
          </cell>
          <cell r="DE98">
            <v>0</v>
          </cell>
          <cell r="DF98">
            <v>0</v>
          </cell>
          <cell r="DH98">
            <v>1817</v>
          </cell>
          <cell r="DI98">
            <v>255</v>
          </cell>
          <cell r="DJ98">
            <v>2072</v>
          </cell>
          <cell r="DL98">
            <v>8962</v>
          </cell>
          <cell r="DM98">
            <v>5338</v>
          </cell>
          <cell r="DN98">
            <v>14300</v>
          </cell>
          <cell r="DP98">
            <v>638</v>
          </cell>
          <cell r="DQ98">
            <v>706</v>
          </cell>
          <cell r="DR98">
            <v>1344</v>
          </cell>
          <cell r="DT98">
            <v>296</v>
          </cell>
          <cell r="DU98">
            <v>264</v>
          </cell>
          <cell r="DV98">
            <v>560</v>
          </cell>
          <cell r="DX98">
            <v>9896</v>
          </cell>
          <cell r="DY98">
            <v>6308</v>
          </cell>
          <cell r="DZ98">
            <v>16204</v>
          </cell>
        </row>
        <row r="100">
          <cell r="A100" t="str">
            <v>2000E</v>
          </cell>
          <cell r="AO100" t="str">
            <v>2000E</v>
          </cell>
          <cell r="BV100" t="str">
            <v>2000E</v>
          </cell>
          <cell r="DC100" t="str">
            <v>2000E</v>
          </cell>
        </row>
        <row r="101">
          <cell r="A101" t="str">
            <v xml:space="preserve"> 1QA</v>
          </cell>
          <cell r="B101">
            <v>-0.21985815602836878</v>
          </cell>
          <cell r="C101">
            <v>0</v>
          </cell>
          <cell r="D101">
            <v>-0.21985815602836878</v>
          </cell>
          <cell r="F101">
            <v>0.12738853503184711</v>
          </cell>
          <cell r="G101">
            <v>0.12596401028277637</v>
          </cell>
          <cell r="H101">
            <v>0.12660028449502136</v>
          </cell>
          <cell r="J101">
            <v>-5.2631578947368474E-2</v>
          </cell>
          <cell r="K101">
            <v>0.1515151515151516</v>
          </cell>
          <cell r="L101">
            <v>5.1546391752577359E-2</v>
          </cell>
          <cell r="M101">
            <v>0</v>
          </cell>
          <cell r="N101">
            <v>0.42105263157894735</v>
          </cell>
          <cell r="O101">
            <v>0.42105263157894735</v>
          </cell>
          <cell r="Q101">
            <v>0</v>
          </cell>
          <cell r="R101">
            <v>-8.6956521739130488E-2</v>
          </cell>
          <cell r="S101">
            <v>-8.333333333333337E-2</v>
          </cell>
          <cell r="U101">
            <v>7.2595281306715442E-3</v>
          </cell>
          <cell r="V101">
            <v>0.14207650273224037</v>
          </cell>
          <cell r="W101">
            <v>7.454545454545447E-2</v>
          </cell>
          <cell r="Y101">
            <v>-1.3824884792626779E-2</v>
          </cell>
          <cell r="Z101">
            <v>2.1505376344086002E-2</v>
          </cell>
          <cell r="AA101">
            <v>-7.5901328273244584E-3</v>
          </cell>
          <cell r="AG101">
            <v>0</v>
          </cell>
          <cell r="AH101">
            <v>0.30434782608695654</v>
          </cell>
          <cell r="AI101">
            <v>0.26923076923076916</v>
          </cell>
          <cell r="AK101">
            <v>-1.3729977116704761E-2</v>
          </cell>
          <cell r="AL101">
            <v>7.7586206896551824E-2</v>
          </cell>
          <cell r="AM101">
            <v>5.4249547920433017E-3</v>
          </cell>
          <cell r="AO101" t="str">
            <v xml:space="preserve"> 1QA</v>
          </cell>
          <cell r="AP101">
            <v>-1.6129032258064502E-2</v>
          </cell>
          <cell r="AQ101">
            <v>3.3057851239669311E-2</v>
          </cell>
          <cell r="AR101">
            <v>8.1632653061225469E-3</v>
          </cell>
          <cell r="AT101">
            <v>-4.9418604651162767E-2</v>
          </cell>
          <cell r="AU101">
            <v>-5.1546391752577359E-2</v>
          </cell>
          <cell r="AV101">
            <v>-4.9886621315192725E-2</v>
          </cell>
          <cell r="AX101">
            <v>-1.0185185185185186</v>
          </cell>
          <cell r="AY101">
            <v>-1.125</v>
          </cell>
          <cell r="AZ101">
            <v>-1.032258064516129</v>
          </cell>
          <cell r="BB101">
            <v>-7.6923076923076872E-2</v>
          </cell>
          <cell r="BC101">
            <v>-6.6225165562914245E-3</v>
          </cell>
          <cell r="BD101">
            <v>-2.1052631578947323E-2</v>
          </cell>
          <cell r="BF101">
            <v>-0.13725490196078427</v>
          </cell>
          <cell r="BG101">
            <v>-2.917771883289122E-2</v>
          </cell>
          <cell r="BH101">
            <v>-9.3816631130063999E-2</v>
          </cell>
          <cell r="BJ101">
            <v>0</v>
          </cell>
          <cell r="BK101">
            <v>-0.20930232558139539</v>
          </cell>
          <cell r="BL101">
            <v>-0.19999999999999996</v>
          </cell>
          <cell r="BN101">
            <v>0</v>
          </cell>
          <cell r="BO101">
            <v>2.4</v>
          </cell>
          <cell r="BP101">
            <v>2.4</v>
          </cell>
          <cell r="BR101">
            <v>0</v>
          </cell>
          <cell r="BS101">
            <v>6.25E-2</v>
          </cell>
          <cell r="BT101">
            <v>6.0000000000000053E-2</v>
          </cell>
          <cell r="BV101" t="str">
            <v xml:space="preserve"> 1QA</v>
          </cell>
          <cell r="BW101">
            <v>0.52348993288590595</v>
          </cell>
          <cell r="BX101">
            <v>1.4090909090909092</v>
          </cell>
          <cell r="BY101">
            <v>0.72538860103626934</v>
          </cell>
          <cell r="CA101">
            <v>0.20799999999999996</v>
          </cell>
          <cell r="CB101" t="str">
            <v>NA</v>
          </cell>
          <cell r="CC101">
            <v>0.19841269841269837</v>
          </cell>
          <cell r="CE101">
            <v>-0.5</v>
          </cell>
          <cell r="CF101">
            <v>0</v>
          </cell>
          <cell r="CG101">
            <v>-0.5</v>
          </cell>
          <cell r="CI101">
            <v>0.1968503937007875</v>
          </cell>
          <cell r="CJ101">
            <v>-1</v>
          </cell>
          <cell r="CK101">
            <v>0.1875</v>
          </cell>
          <cell r="CM101">
            <v>-1.5625E-2</v>
          </cell>
          <cell r="CN101">
            <v>0.33333333333333326</v>
          </cell>
          <cell r="CO101">
            <v>0</v>
          </cell>
          <cell r="CQ101">
            <v>0</v>
          </cell>
          <cell r="CR101">
            <v>-0.19999999999999996</v>
          </cell>
          <cell r="CS101">
            <v>-0.11111111111111116</v>
          </cell>
          <cell r="CU101">
            <v>-1.4705882352941124E-2</v>
          </cell>
          <cell r="CV101">
            <v>0</v>
          </cell>
          <cell r="CW101">
            <v>-1.3157894736842146E-2</v>
          </cell>
          <cell r="CY101" t="str">
            <v>NA</v>
          </cell>
          <cell r="CZ101">
            <v>-0.15094339622641506</v>
          </cell>
          <cell r="DA101">
            <v>-0.22641509433962259</v>
          </cell>
          <cell r="DC101" t="str">
            <v xml:space="preserve"> 1QA</v>
          </cell>
          <cell r="DH101">
            <v>0.62777777777777777</v>
          </cell>
          <cell r="DI101">
            <v>0.83720930232558133</v>
          </cell>
          <cell r="DJ101">
            <v>0.65012406947890811</v>
          </cell>
          <cell r="DL101">
            <v>0.10864745011086474</v>
          </cell>
          <cell r="DM101">
            <v>0.13559322033898313</v>
          </cell>
          <cell r="DN101">
            <v>0.118202633085289</v>
          </cell>
          <cell r="DP101">
            <v>0</v>
          </cell>
          <cell r="DQ101">
            <v>-0.10650887573964496</v>
          </cell>
          <cell r="DR101">
            <v>-6.2937062937062915E-2</v>
          </cell>
          <cell r="DT101">
            <v>-6.5934065934065922E-2</v>
          </cell>
          <cell r="DU101">
            <v>-1.7857142857142905E-2</v>
          </cell>
          <cell r="DV101">
            <v>-4.7619047619047672E-2</v>
          </cell>
          <cell r="DX101">
            <v>9.7036134794965534E-2</v>
          </cell>
          <cell r="DY101">
            <v>0.10177595628415292</v>
          </cell>
          <cell r="DZ101">
            <v>9.880315762668701E-2</v>
          </cell>
        </row>
        <row r="102">
          <cell r="A102" t="str">
            <v xml:space="preserve"> 2QE</v>
          </cell>
          <cell r="B102">
            <v>-0.19</v>
          </cell>
          <cell r="C102">
            <v>0</v>
          </cell>
          <cell r="D102">
            <v>-0.18999999999999995</v>
          </cell>
          <cell r="F102">
            <v>0.12</v>
          </cell>
          <cell r="G102">
            <v>0.1</v>
          </cell>
          <cell r="H102">
            <v>0.10867036011080344</v>
          </cell>
          <cell r="J102">
            <v>7.0000000000000007E-2</v>
          </cell>
          <cell r="K102">
            <v>0.03</v>
          </cell>
          <cell r="L102">
            <v>4.6808510638297829E-2</v>
          </cell>
          <cell r="M102">
            <v>0</v>
          </cell>
          <cell r="N102">
            <v>0.65</v>
          </cell>
          <cell r="O102">
            <v>0.65000000000000013</v>
          </cell>
          <cell r="Q102">
            <v>0</v>
          </cell>
          <cell r="R102">
            <v>-0.6</v>
          </cell>
          <cell r="S102">
            <v>-0.6</v>
          </cell>
          <cell r="U102">
            <v>4.2351778656126715E-2</v>
          </cell>
          <cell r="V102">
            <v>9.7474402730375553E-2</v>
          </cell>
          <cell r="W102">
            <v>7.1932234432234621E-2</v>
          </cell>
          <cell r="Y102">
            <v>0.15</v>
          </cell>
          <cell r="Z102">
            <v>0.16</v>
          </cell>
          <cell r="AA102">
            <v>0.152169197396963</v>
          </cell>
          <cell r="AG102">
            <v>2</v>
          </cell>
          <cell r="AH102">
            <v>0.17</v>
          </cell>
          <cell r="AI102">
            <v>0.29200000000000004</v>
          </cell>
          <cell r="AK102">
            <v>0.16019283746556479</v>
          </cell>
          <cell r="AL102">
            <v>0.16218749999999993</v>
          </cell>
          <cell r="AM102">
            <v>0.1607128309572301</v>
          </cell>
          <cell r="AO102" t="str">
            <v xml:space="preserve"> 2QE</v>
          </cell>
          <cell r="AP102">
            <v>0.05</v>
          </cell>
          <cell r="AQ102">
            <v>0.03</v>
          </cell>
          <cell r="AR102">
            <v>3.8859649122807038E-2</v>
          </cell>
          <cell r="AT102">
            <v>0.16</v>
          </cell>
          <cell r="AU102">
            <v>0.15</v>
          </cell>
          <cell r="AV102">
            <v>0.15690821256038645</v>
          </cell>
          <cell r="AX102">
            <v>-0.85</v>
          </cell>
          <cell r="AY102">
            <v>-0.8</v>
          </cell>
          <cell r="AZ102">
            <v>-0.8342857142857143</v>
          </cell>
          <cell r="BB102">
            <v>-0.05</v>
          </cell>
          <cell r="BC102">
            <v>-0.05</v>
          </cell>
          <cell r="BD102">
            <v>-5.0000000000000155E-2</v>
          </cell>
          <cell r="BF102">
            <v>2.0000000000000018E-2</v>
          </cell>
          <cell r="BG102">
            <v>-6.4792899408285809E-3</v>
          </cell>
          <cell r="BH102">
            <v>5.9497645211930017E-3</v>
          </cell>
          <cell r="BJ102">
            <v>-0.06</v>
          </cell>
          <cell r="BK102">
            <v>-0.11</v>
          </cell>
          <cell r="BL102">
            <v>-0.10888888888888881</v>
          </cell>
          <cell r="BN102">
            <v>0</v>
          </cell>
          <cell r="BO102">
            <v>-0.74</v>
          </cell>
          <cell r="BP102">
            <v>-0.74</v>
          </cell>
          <cell r="BR102">
            <v>-6.0000000000000053E-2</v>
          </cell>
          <cell r="BS102">
            <v>-0.22666666666666657</v>
          </cell>
          <cell r="BT102">
            <v>-0.22363636363636363</v>
          </cell>
          <cell r="BV102" t="str">
            <v xml:space="preserve"> 2QE</v>
          </cell>
          <cell r="BW102">
            <v>0.1</v>
          </cell>
          <cell r="BX102">
            <v>0.12</v>
          </cell>
          <cell r="BY102">
            <v>0.10722580645161295</v>
          </cell>
          <cell r="CA102">
            <v>0.2</v>
          </cell>
          <cell r="CB102">
            <v>0.18</v>
          </cell>
          <cell r="CC102">
            <v>0.19986111111111104</v>
          </cell>
          <cell r="CE102">
            <v>0</v>
          </cell>
          <cell r="CF102">
            <v>0</v>
          </cell>
          <cell r="CG102">
            <v>0</v>
          </cell>
          <cell r="CI102">
            <v>0.19724137931034469</v>
          </cell>
          <cell r="CJ102">
            <v>0.17999999999999994</v>
          </cell>
          <cell r="CK102">
            <v>0.19712328767123299</v>
          </cell>
          <cell r="CM102">
            <v>0.1</v>
          </cell>
          <cell r="CN102">
            <v>0.03</v>
          </cell>
          <cell r="CO102">
            <v>9.7543859649122933E-2</v>
          </cell>
          <cell r="CQ102">
            <v>0</v>
          </cell>
          <cell r="CR102">
            <v>0</v>
          </cell>
          <cell r="CS102">
            <v>0</v>
          </cell>
          <cell r="CU102">
            <v>9.4827586206896575E-2</v>
          </cell>
          <cell r="CV102">
            <v>7.5000000000000622E-3</v>
          </cell>
          <cell r="CW102">
            <v>8.424242424242423E-2</v>
          </cell>
          <cell r="CY102">
            <v>5</v>
          </cell>
          <cell r="CZ102">
            <v>0.05</v>
          </cell>
          <cell r="DA102">
            <v>0.28571428571428581</v>
          </cell>
          <cell r="DC102" t="str">
            <v xml:space="preserve"> 2QE</v>
          </cell>
          <cell r="DH102">
            <v>0.5</v>
          </cell>
          <cell r="DI102">
            <v>0.9</v>
          </cell>
          <cell r="DJ102">
            <v>0.55171077962577986</v>
          </cell>
          <cell r="DL102">
            <v>0.18010050251256282</v>
          </cell>
          <cell r="DM102">
            <v>0.1021278195488724</v>
          </cell>
          <cell r="DN102">
            <v>0.1488644578313254</v>
          </cell>
          <cell r="DP102">
            <v>0.14000000000000001</v>
          </cell>
          <cell r="DQ102">
            <v>0.04</v>
          </cell>
          <cell r="DR102">
            <v>8.4590163934426421E-2</v>
          </cell>
          <cell r="DT102">
            <v>0.04</v>
          </cell>
          <cell r="DU102">
            <v>0.04</v>
          </cell>
          <cell r="DV102">
            <v>4.0000000000000258E-2</v>
          </cell>
          <cell r="DX102">
            <v>0.17254759746146875</v>
          </cell>
          <cell r="DY102">
            <v>9.2530197075651799E-2</v>
          </cell>
          <cell r="DZ102">
            <v>0.13924053982535067</v>
          </cell>
        </row>
        <row r="103">
          <cell r="A103" t="str">
            <v xml:space="preserve"> 3QE</v>
          </cell>
          <cell r="B103">
            <v>-0.21</v>
          </cell>
          <cell r="C103">
            <v>0</v>
          </cell>
          <cell r="D103">
            <v>-0.20999999999999996</v>
          </cell>
          <cell r="F103">
            <v>0.11</v>
          </cell>
          <cell r="G103">
            <v>0.13</v>
          </cell>
          <cell r="H103">
            <v>0.12072243346007605</v>
          </cell>
          <cell r="J103">
            <v>0.04</v>
          </cell>
          <cell r="K103">
            <v>0.02</v>
          </cell>
          <cell r="L103">
            <v>2.9292929292929371E-2</v>
          </cell>
          <cell r="M103">
            <v>0</v>
          </cell>
          <cell r="N103">
            <v>0.35</v>
          </cell>
          <cell r="O103">
            <v>0.35000000000000009</v>
          </cell>
          <cell r="Q103">
            <v>0</v>
          </cell>
          <cell r="R103">
            <v>0</v>
          </cell>
          <cell r="S103">
            <v>0</v>
          </cell>
          <cell r="U103">
            <v>3.0291095890411013E-2</v>
          </cell>
          <cell r="V103">
            <v>0.12259999999999982</v>
          </cell>
          <cell r="W103">
            <v>7.7069256756756799E-2</v>
          </cell>
          <cell r="Y103">
            <v>0.06</v>
          </cell>
          <cell r="Z103">
            <v>0.18</v>
          </cell>
          <cell r="AA103">
            <v>8.3547169811320598E-2</v>
          </cell>
          <cell r="AG103">
            <v>2</v>
          </cell>
          <cell r="AH103">
            <v>0.17</v>
          </cell>
          <cell r="AI103">
            <v>0.29200000000000004</v>
          </cell>
          <cell r="AK103">
            <v>6.9065420560747715E-2</v>
          </cell>
          <cell r="AL103">
            <v>0.17787878787878775</v>
          </cell>
          <cell r="AM103">
            <v>9.4714285714285751E-2</v>
          </cell>
          <cell r="AO103" t="str">
            <v xml:space="preserve"> 3QE</v>
          </cell>
          <cell r="AP103">
            <v>0.05</v>
          </cell>
          <cell r="AQ103">
            <v>0.05</v>
          </cell>
          <cell r="AR103">
            <v>5.0000000000000266E-2</v>
          </cell>
          <cell r="AT103">
            <v>0.19</v>
          </cell>
          <cell r="AU103">
            <v>0.18</v>
          </cell>
          <cell r="AV103">
            <v>0.18763157894736837</v>
          </cell>
          <cell r="AX103" t="str">
            <v>NM</v>
          </cell>
          <cell r="AY103" t="str">
            <v>NM</v>
          </cell>
          <cell r="AZ103">
            <v>-1.625</v>
          </cell>
          <cell r="BB103">
            <v>-0.05</v>
          </cell>
          <cell r="BC103">
            <v>-0.05</v>
          </cell>
          <cell r="BD103">
            <v>-4.9999999999999933E-2</v>
          </cell>
          <cell r="BF103">
            <v>0.14516717325227968</v>
          </cell>
          <cell r="BG103">
            <v>3.6112852664576645E-2</v>
          </cell>
          <cell r="BH103">
            <v>9.1481481481481497E-2</v>
          </cell>
          <cell r="BJ103">
            <v>-0.05</v>
          </cell>
          <cell r="BK103">
            <v>-0.1</v>
          </cell>
          <cell r="BL103">
            <v>-9.7727272727272663E-2</v>
          </cell>
          <cell r="BN103">
            <v>0</v>
          </cell>
          <cell r="BO103">
            <v>-0.74</v>
          </cell>
          <cell r="BP103">
            <v>-0.74</v>
          </cell>
          <cell r="BR103">
            <v>-5.0000000000000044E-2</v>
          </cell>
          <cell r="BS103">
            <v>-0.23283018867924521</v>
          </cell>
          <cell r="BT103">
            <v>-0.22618181818181815</v>
          </cell>
          <cell r="BV103" t="str">
            <v xml:space="preserve"> 3QE</v>
          </cell>
          <cell r="BW103">
            <v>0.15</v>
          </cell>
          <cell r="BX103">
            <v>0.55000000000000004</v>
          </cell>
          <cell r="BY103">
            <v>0.29136546184738932</v>
          </cell>
          <cell r="CA103">
            <v>0.21</v>
          </cell>
          <cell r="CB103">
            <v>0.18</v>
          </cell>
          <cell r="CC103">
            <v>0.20971311475409804</v>
          </cell>
          <cell r="CE103">
            <v>0</v>
          </cell>
          <cell r="CF103">
            <v>0</v>
          </cell>
          <cell r="CG103">
            <v>0</v>
          </cell>
          <cell r="CI103">
            <v>0.20856164383561637</v>
          </cell>
          <cell r="CJ103">
            <v>0.17999999999999994</v>
          </cell>
          <cell r="CK103">
            <v>0.2082903663500677</v>
          </cell>
          <cell r="CM103">
            <v>0.09</v>
          </cell>
          <cell r="CN103">
            <v>0.03</v>
          </cell>
          <cell r="CO103">
            <v>8.7391304347826271E-2</v>
          </cell>
          <cell r="CQ103">
            <v>0</v>
          </cell>
          <cell r="CR103">
            <v>0</v>
          </cell>
          <cell r="CS103">
            <v>0</v>
          </cell>
          <cell r="CU103">
            <v>8.4857142857142964E-2</v>
          </cell>
          <cell r="CV103">
            <v>1.1249999999999982E-2</v>
          </cell>
          <cell r="CW103">
            <v>7.7307692307692522E-2</v>
          </cell>
          <cell r="CY103">
            <v>5</v>
          </cell>
          <cell r="CZ103">
            <v>0.05</v>
          </cell>
          <cell r="DA103">
            <v>-0.52225433526011567</v>
          </cell>
          <cell r="DC103" t="str">
            <v xml:space="preserve"> 3QE</v>
          </cell>
          <cell r="DF103" t="str">
            <v>NA</v>
          </cell>
          <cell r="DH103">
            <v>0.25</v>
          </cell>
          <cell r="DI103">
            <v>1.3</v>
          </cell>
          <cell r="DJ103">
            <v>0.41389905975395425</v>
          </cell>
          <cell r="DL103">
            <v>0.13353603603603625</v>
          </cell>
          <cell r="DM103">
            <v>0.18880613026819937</v>
          </cell>
          <cell r="DN103">
            <v>0.15399773049645415</v>
          </cell>
          <cell r="DP103">
            <v>0.14000000000000001</v>
          </cell>
          <cell r="DQ103">
            <v>0.04</v>
          </cell>
          <cell r="DR103">
            <v>9.3571428571428639E-2</v>
          </cell>
          <cell r="DT103">
            <v>0.04</v>
          </cell>
          <cell r="DU103">
            <v>0.1</v>
          </cell>
          <cell r="DV103">
            <v>6.6106870229007741E-2</v>
          </cell>
          <cell r="DX103">
            <v>0.13120856911883605</v>
          </cell>
          <cell r="DY103">
            <v>0.1701791831357049</v>
          </cell>
          <cell r="DZ103">
            <v>0.14602755511022036</v>
          </cell>
        </row>
        <row r="104">
          <cell r="A104" t="str">
            <v xml:space="preserve"> 4QE</v>
          </cell>
          <cell r="B104">
            <v>-0.32654929577464775</v>
          </cell>
          <cell r="C104">
            <v>0</v>
          </cell>
          <cell r="D104">
            <v>-0.32654929577464775</v>
          </cell>
          <cell r="F104">
            <v>8.6908602150537639E-2</v>
          </cell>
          <cell r="G104">
            <v>0.14238202247191012</v>
          </cell>
          <cell r="H104">
            <v>0.11712362301101575</v>
          </cell>
          <cell r="J104">
            <v>-0.46606382978723437</v>
          </cell>
          <cell r="K104">
            <v>-6.0661157024793133E-2</v>
          </cell>
          <cell r="L104">
            <v>-0.23790697674418604</v>
          </cell>
          <cell r="M104">
            <v>0</v>
          </cell>
          <cell r="N104">
            <v>0.86885245901639419</v>
          </cell>
          <cell r="O104">
            <v>0.86885245901639419</v>
          </cell>
          <cell r="Q104">
            <v>0</v>
          </cell>
          <cell r="R104">
            <v>-1.119565217391304</v>
          </cell>
          <cell r="S104">
            <v>-1.0729166666666663</v>
          </cell>
          <cell r="U104">
            <v>-9.499178981937606E-2</v>
          </cell>
          <cell r="V104">
            <v>0.12810769230769226</v>
          </cell>
          <cell r="W104">
            <v>2.0190627482128631E-2</v>
          </cell>
          <cell r="Y104">
            <v>0.13789855072463819</v>
          </cell>
          <cell r="Z104">
            <v>7.0679611650485974E-2</v>
          </cell>
          <cell r="AA104">
            <v>0.12450676982591924</v>
          </cell>
          <cell r="AG104">
            <v>4</v>
          </cell>
          <cell r="AH104">
            <v>7.7500000000000346E-2</v>
          </cell>
          <cell r="AI104">
            <v>0.41371428571428592</v>
          </cell>
          <cell r="AK104">
            <v>0.16568345323741052</v>
          </cell>
          <cell r="AL104">
            <v>7.2296296296296969E-2</v>
          </cell>
          <cell r="AM104">
            <v>0.14284420289855126</v>
          </cell>
          <cell r="AO104" t="str">
            <v xml:space="preserve"> 4QE</v>
          </cell>
          <cell r="AP104">
            <v>0.10985401459854005</v>
          </cell>
          <cell r="AQ104">
            <v>8.2323943661972265E-2</v>
          </cell>
          <cell r="AR104">
            <v>9.5842293906809983E-2</v>
          </cell>
          <cell r="AT104">
            <v>0.11620779220779243</v>
          </cell>
          <cell r="AU104">
            <v>0.15890410958904133</v>
          </cell>
          <cell r="AV104">
            <v>0.12301310043668146</v>
          </cell>
          <cell r="AX104">
            <v>2.2400000000000011</v>
          </cell>
          <cell r="AY104">
            <v>3.3833333333333329</v>
          </cell>
          <cell r="AZ104">
            <v>2.5038461538461547</v>
          </cell>
          <cell r="BB104">
            <v>-1.9117647058823684E-2</v>
          </cell>
          <cell r="BC104">
            <v>-9.5328719723183575E-2</v>
          </cell>
          <cell r="BD104">
            <v>-8.0812324929972257E-2</v>
          </cell>
          <cell r="BF104">
            <v>0.12538324420677394</v>
          </cell>
          <cell r="BG104">
            <v>4.0415512465374004E-2</v>
          </cell>
          <cell r="BH104">
            <v>9.2114967462039177E-2</v>
          </cell>
          <cell r="BJ104">
            <v>-9.5000000000000195E-2</v>
          </cell>
          <cell r="BK104">
            <v>1.9534883720930374E-2</v>
          </cell>
          <cell r="BL104">
            <v>1.4444444444444704E-2</v>
          </cell>
          <cell r="BN104">
            <v>0</v>
          </cell>
          <cell r="BO104">
            <v>-1.9584615384615385</v>
          </cell>
          <cell r="BP104">
            <v>-1.9584615384615385</v>
          </cell>
          <cell r="BR104">
            <v>-9.5000000000000195E-2</v>
          </cell>
          <cell r="BS104">
            <v>-0.439642857142857</v>
          </cell>
          <cell r="BT104">
            <v>-0.42775862068965498</v>
          </cell>
          <cell r="BV104" t="str">
            <v xml:space="preserve"> 4QE</v>
          </cell>
          <cell r="BW104">
            <v>0.23981707317073164</v>
          </cell>
          <cell r="BX104">
            <v>0.42871794871794866</v>
          </cell>
          <cell r="BY104">
            <v>0.31846975088967966</v>
          </cell>
          <cell r="CA104">
            <v>0.26303703703703651</v>
          </cell>
          <cell r="CB104">
            <v>1.3600000000000003</v>
          </cell>
          <cell r="CC104">
            <v>0.27110294117647027</v>
          </cell>
          <cell r="CE104">
            <v>1</v>
          </cell>
          <cell r="CF104">
            <v>0</v>
          </cell>
          <cell r="CG104">
            <v>1</v>
          </cell>
          <cell r="CI104">
            <v>0.2684558823529406</v>
          </cell>
          <cell r="CJ104">
            <v>1.3600000000000003</v>
          </cell>
          <cell r="CK104">
            <v>0.2764233576642332</v>
          </cell>
          <cell r="CM104">
            <v>0.22593750000000035</v>
          </cell>
          <cell r="CN104">
            <v>-0.19750000000000023</v>
          </cell>
          <cell r="CO104">
            <v>0.20102941176470601</v>
          </cell>
          <cell r="CQ104">
            <v>0</v>
          </cell>
          <cell r="CR104">
            <v>0</v>
          </cell>
          <cell r="CS104">
            <v>1.1111111111111112</v>
          </cell>
          <cell r="CU104">
            <v>0.2675362318840584</v>
          </cell>
          <cell r="CV104">
            <v>0.65124999999999988</v>
          </cell>
          <cell r="CW104">
            <v>0.30740259740259757</v>
          </cell>
          <cell r="CY104">
            <v>6</v>
          </cell>
          <cell r="CZ104">
            <v>0.25480769230769229</v>
          </cell>
          <cell r="DA104">
            <v>0.6651785714285714</v>
          </cell>
          <cell r="DC104" t="str">
            <v xml:space="preserve"> 4QE</v>
          </cell>
          <cell r="DD104" t="str">
            <v>NA</v>
          </cell>
          <cell r="DE104" t="str">
            <v>NA</v>
          </cell>
          <cell r="DF104" t="str">
            <v>NA</v>
          </cell>
          <cell r="DH104">
            <v>0.30584832074766344</v>
          </cell>
          <cell r="DI104">
            <v>1.4966491476190478</v>
          </cell>
          <cell r="DJ104">
            <v>0.35583005654281097</v>
          </cell>
          <cell r="DL104">
            <v>0.14750454609531438</v>
          </cell>
          <cell r="DM104">
            <v>0.21085965054644817</v>
          </cell>
          <cell r="DN104">
            <v>0.17092082302448874</v>
          </cell>
          <cell r="DP104">
            <v>0.12653658536585377</v>
          </cell>
          <cell r="DQ104">
            <v>9.0188679245283065E-2</v>
          </cell>
          <cell r="DR104">
            <v>0.1080575539568347</v>
          </cell>
          <cell r="DT104">
            <v>0.17098039215686267</v>
          </cell>
          <cell r="DU104">
            <v>3.3766233766234777E-3</v>
          </cell>
          <cell r="DV104">
            <v>7.0156250000000142E-2</v>
          </cell>
          <cell r="DX104">
            <v>0.14637807904104605</v>
          </cell>
          <cell r="DY104">
            <v>0.18715261175128362</v>
          </cell>
          <cell r="DZ104">
            <v>0.16224087438970258</v>
          </cell>
        </row>
        <row r="106">
          <cell r="A106" t="str">
            <v>Year</v>
          </cell>
          <cell r="B106">
            <v>-0.24</v>
          </cell>
          <cell r="C106" t="str">
            <v>NM</v>
          </cell>
          <cell r="D106">
            <v>-0.24</v>
          </cell>
          <cell r="F106">
            <v>0.11</v>
          </cell>
          <cell r="G106">
            <v>0.125</v>
          </cell>
          <cell r="H106">
            <v>0.11824480369515022</v>
          </cell>
          <cell r="J106">
            <v>-0.11</v>
          </cell>
          <cell r="K106">
            <v>0.03</v>
          </cell>
          <cell r="L106">
            <v>-3.3396226415094321E-2</v>
          </cell>
          <cell r="M106">
            <v>0</v>
          </cell>
          <cell r="N106">
            <v>0.6</v>
          </cell>
          <cell r="O106">
            <v>0.60000000000000009</v>
          </cell>
          <cell r="Q106">
            <v>0</v>
          </cell>
          <cell r="R106">
            <v>-0.45</v>
          </cell>
          <cell r="S106">
            <v>-0.43622448979591832</v>
          </cell>
          <cell r="U106">
            <v>-6.5466666666667006E-3</v>
          </cell>
          <cell r="V106">
            <v>0.12241090146750544</v>
          </cell>
          <cell r="W106">
            <v>5.9810140237324783E-2</v>
          </cell>
          <cell r="Y106">
            <v>0.08</v>
          </cell>
          <cell r="Z106">
            <v>0.11</v>
          </cell>
          <cell r="AA106">
            <v>8.5896805896805928E-2</v>
          </cell>
          <cell r="AC106" t="str">
            <v xml:space="preserve">  NM</v>
          </cell>
          <cell r="AD106" t="str">
            <v xml:space="preserve">  NM</v>
          </cell>
          <cell r="AE106" t="str">
            <v xml:space="preserve">  NM</v>
          </cell>
          <cell r="AG106">
            <v>2</v>
          </cell>
          <cell r="AH106">
            <v>0.1711711711711712</v>
          </cell>
          <cell r="AI106">
            <v>0.3223140495867769</v>
          </cell>
          <cell r="AK106">
            <v>9.1671732522796479E-2</v>
          </cell>
          <cell r="AL106">
            <v>0.12328767123287676</v>
          </cell>
          <cell r="AM106">
            <v>9.9165120593692091E-2</v>
          </cell>
          <cell r="AO106" t="str">
            <v>Year</v>
          </cell>
          <cell r="AP106">
            <v>0.05</v>
          </cell>
          <cell r="AQ106">
            <v>0.05</v>
          </cell>
          <cell r="AR106">
            <v>5.0000000000000266E-2</v>
          </cell>
          <cell r="AT106">
            <v>0.08</v>
          </cell>
          <cell r="AU106">
            <v>0.09</v>
          </cell>
          <cell r="AV106">
            <v>8.2158920539730174E-2</v>
          </cell>
          <cell r="AX106">
            <v>-0.7</v>
          </cell>
          <cell r="AY106">
            <v>-0.55000000000000004</v>
          </cell>
          <cell r="AZ106">
            <v>-0.66937172774869103</v>
          </cell>
          <cell r="BB106">
            <v>-0.05</v>
          </cell>
          <cell r="BC106">
            <v>-0.05</v>
          </cell>
          <cell r="BD106">
            <v>-5.0000000000000044E-2</v>
          </cell>
          <cell r="BF106">
            <v>2.6902857142857117E-2</v>
          </cell>
          <cell r="BG106">
            <v>9.2616487455197127E-3</v>
          </cell>
          <cell r="BH106">
            <v>1.9077901430842648E-2</v>
          </cell>
          <cell r="BJ106">
            <v>-0.05</v>
          </cell>
          <cell r="BK106">
            <v>-0.1</v>
          </cell>
          <cell r="BL106">
            <v>-9.8044692737430106E-2</v>
          </cell>
          <cell r="BN106" t="str">
            <v xml:space="preserve">  NM</v>
          </cell>
          <cell r="BO106">
            <v>-0.74358974358974361</v>
          </cell>
          <cell r="BP106">
            <v>-0.74358974358974361</v>
          </cell>
          <cell r="BR106">
            <v>-5.0000000000000044E-2</v>
          </cell>
          <cell r="BS106">
            <v>-0.21895734597156391</v>
          </cell>
          <cell r="BT106">
            <v>-0.213532110091743</v>
          </cell>
          <cell r="BV106" t="str">
            <v>Year</v>
          </cell>
          <cell r="BW106">
            <v>0.24</v>
          </cell>
          <cell r="BX106">
            <v>0.48199445983379507</v>
          </cell>
          <cell r="BY106">
            <v>0.32456921587608911</v>
          </cell>
          <cell r="CA106">
            <v>0.22</v>
          </cell>
          <cell r="CB106">
            <v>0.18</v>
          </cell>
          <cell r="CC106">
            <v>0.21968139029688638</v>
          </cell>
          <cell r="CE106">
            <v>0</v>
          </cell>
          <cell r="CF106" t="str">
            <v xml:space="preserve">  NM</v>
          </cell>
          <cell r="CG106">
            <v>0</v>
          </cell>
          <cell r="CI106">
            <v>0.21761732851985549</v>
          </cell>
          <cell r="CJ106">
            <v>0.17999999999999994</v>
          </cell>
          <cell r="CK106">
            <v>0.21732091690544419</v>
          </cell>
          <cell r="CM106">
            <v>0.1</v>
          </cell>
          <cell r="CN106">
            <v>0.03</v>
          </cell>
          <cell r="CO106">
            <v>9.6781609195402574E-2</v>
          </cell>
          <cell r="CQ106">
            <v>0.25</v>
          </cell>
          <cell r="CR106">
            <v>0.25</v>
          </cell>
          <cell r="CS106">
            <v>0.25</v>
          </cell>
          <cell r="CU106">
            <v>0.10905660377358495</v>
          </cell>
          <cell r="CV106">
            <v>0.16749999999999998</v>
          </cell>
          <cell r="CW106">
            <v>0.11535353535353554</v>
          </cell>
          <cell r="CY106">
            <v>5</v>
          </cell>
          <cell r="CZ106">
            <v>0.05</v>
          </cell>
          <cell r="DA106">
            <v>0.10334051724137927</v>
          </cell>
          <cell r="DC106" t="str">
            <v>Year</v>
          </cell>
          <cell r="DD106" t="str">
            <v xml:space="preserve">    NM</v>
          </cell>
          <cell r="DE106" t="str">
            <v xml:space="preserve">    NM</v>
          </cell>
          <cell r="DF106" t="str">
            <v xml:space="preserve">    NM</v>
          </cell>
          <cell r="DH106">
            <v>0.39880509168959821</v>
          </cell>
          <cell r="DI106">
            <v>1.1879157976470589</v>
          </cell>
          <cell r="DJ106">
            <v>0.49592055019305015</v>
          </cell>
          <cell r="DL106">
            <v>0.14150511622405704</v>
          </cell>
          <cell r="DM106">
            <v>0.16090680562008242</v>
          </cell>
          <cell r="DN106">
            <v>0.14874750909090895</v>
          </cell>
          <cell r="DP106">
            <v>0.11</v>
          </cell>
          <cell r="DQ106">
            <v>0.02</v>
          </cell>
          <cell r="DR106">
            <v>6.2723214285714368E-2</v>
          </cell>
          <cell r="DT106">
            <v>0.03</v>
          </cell>
          <cell r="DU106">
            <v>0.03</v>
          </cell>
          <cell r="DV106">
            <v>3.0000000000000027E-2</v>
          </cell>
          <cell r="DX106">
            <v>0.13613872793047688</v>
          </cell>
          <cell r="DY106">
            <v>0.13965766144578318</v>
          </cell>
          <cell r="DZ106">
            <v>0.13750860157985678</v>
          </cell>
        </row>
        <row r="108">
          <cell r="A108" t="str">
            <v>2000E</v>
          </cell>
          <cell r="AO108" t="str">
            <v>2000E</v>
          </cell>
          <cell r="BV108" t="str">
            <v>2000E</v>
          </cell>
          <cell r="DC108" t="str">
            <v>2000E</v>
          </cell>
        </row>
        <row r="109">
          <cell r="A109" t="str">
            <v xml:space="preserve"> 1QA</v>
          </cell>
          <cell r="B109">
            <v>110</v>
          </cell>
          <cell r="C109">
            <v>0</v>
          </cell>
          <cell r="D109">
            <v>110</v>
          </cell>
          <cell r="F109">
            <v>354</v>
          </cell>
          <cell r="G109">
            <v>438</v>
          </cell>
          <cell r="H109">
            <v>792</v>
          </cell>
          <cell r="J109">
            <v>90</v>
          </cell>
          <cell r="K109">
            <v>114</v>
          </cell>
          <cell r="L109">
            <v>204</v>
          </cell>
          <cell r="M109">
            <v>0</v>
          </cell>
          <cell r="N109">
            <v>54</v>
          </cell>
          <cell r="O109">
            <v>54</v>
          </cell>
          <cell r="Q109">
            <v>1</v>
          </cell>
          <cell r="R109">
            <v>21</v>
          </cell>
          <cell r="S109">
            <v>22</v>
          </cell>
          <cell r="U109">
            <v>555</v>
          </cell>
          <cell r="V109">
            <v>627</v>
          </cell>
          <cell r="W109">
            <v>1182</v>
          </cell>
          <cell r="Y109">
            <v>428</v>
          </cell>
          <cell r="Z109">
            <v>95</v>
          </cell>
          <cell r="AA109">
            <v>523</v>
          </cell>
          <cell r="AG109">
            <v>3</v>
          </cell>
          <cell r="AH109">
            <v>30</v>
          </cell>
          <cell r="AI109">
            <v>33</v>
          </cell>
          <cell r="AK109">
            <v>431</v>
          </cell>
          <cell r="AL109">
            <v>125</v>
          </cell>
          <cell r="AM109">
            <v>556</v>
          </cell>
          <cell r="AO109" t="str">
            <v xml:space="preserve"> 1QA</v>
          </cell>
          <cell r="AP109">
            <v>122</v>
          </cell>
          <cell r="AQ109">
            <v>125</v>
          </cell>
          <cell r="AR109">
            <v>247</v>
          </cell>
          <cell r="AT109">
            <v>327</v>
          </cell>
          <cell r="AU109">
            <v>92</v>
          </cell>
          <cell r="AV109">
            <v>419</v>
          </cell>
          <cell r="AX109">
            <v>-1</v>
          </cell>
          <cell r="AY109">
            <v>-1</v>
          </cell>
          <cell r="AZ109">
            <v>-2</v>
          </cell>
          <cell r="BB109">
            <v>36</v>
          </cell>
          <cell r="BC109">
            <v>150</v>
          </cell>
          <cell r="BD109">
            <v>186</v>
          </cell>
          <cell r="BF109">
            <v>484</v>
          </cell>
          <cell r="BG109">
            <v>366</v>
          </cell>
          <cell r="BH109">
            <v>850</v>
          </cell>
          <cell r="BJ109">
            <v>2</v>
          </cell>
          <cell r="BK109">
            <v>34</v>
          </cell>
          <cell r="BL109">
            <v>36</v>
          </cell>
          <cell r="BN109">
            <v>0</v>
          </cell>
          <cell r="BO109">
            <v>17</v>
          </cell>
          <cell r="BP109">
            <v>17</v>
          </cell>
          <cell r="BR109">
            <v>2</v>
          </cell>
          <cell r="BS109">
            <v>51</v>
          </cell>
          <cell r="BT109">
            <v>53</v>
          </cell>
          <cell r="BV109" t="str">
            <v xml:space="preserve"> 1QA</v>
          </cell>
          <cell r="BW109">
            <v>227</v>
          </cell>
          <cell r="BX109">
            <v>106</v>
          </cell>
          <cell r="BY109">
            <v>333</v>
          </cell>
          <cell r="CA109">
            <v>151</v>
          </cell>
          <cell r="CB109">
            <v>0</v>
          </cell>
          <cell r="CC109">
            <v>151</v>
          </cell>
          <cell r="CE109">
            <v>1</v>
          </cell>
          <cell r="CF109">
            <v>0</v>
          </cell>
          <cell r="CG109">
            <v>1</v>
          </cell>
          <cell r="CI109">
            <v>152</v>
          </cell>
          <cell r="CJ109">
            <v>0</v>
          </cell>
          <cell r="CK109">
            <v>152</v>
          </cell>
          <cell r="CM109">
            <v>63</v>
          </cell>
          <cell r="CN109">
            <v>4</v>
          </cell>
          <cell r="CO109">
            <v>67</v>
          </cell>
          <cell r="CQ109">
            <v>4</v>
          </cell>
          <cell r="CR109">
            <v>4</v>
          </cell>
          <cell r="CS109">
            <v>8</v>
          </cell>
          <cell r="CU109">
            <v>67</v>
          </cell>
          <cell r="CV109">
            <v>8</v>
          </cell>
          <cell r="CW109">
            <v>75</v>
          </cell>
          <cell r="CY109">
            <v>-4</v>
          </cell>
          <cell r="CZ109">
            <v>45</v>
          </cell>
          <cell r="DA109">
            <v>41</v>
          </cell>
          <cell r="DC109" t="str">
            <v xml:space="preserve"> 1QA</v>
          </cell>
          <cell r="DD109">
            <v>0</v>
          </cell>
          <cell r="DE109">
            <v>0</v>
          </cell>
          <cell r="DF109">
            <v>0</v>
          </cell>
          <cell r="DH109">
            <v>586</v>
          </cell>
          <cell r="DI109">
            <v>79</v>
          </cell>
          <cell r="DJ109">
            <v>665</v>
          </cell>
          <cell r="DL109">
            <v>2500</v>
          </cell>
          <cell r="DM109">
            <v>1407</v>
          </cell>
          <cell r="DN109">
            <v>3907</v>
          </cell>
          <cell r="DP109">
            <v>117</v>
          </cell>
          <cell r="DQ109">
            <v>151</v>
          </cell>
          <cell r="DR109">
            <v>268</v>
          </cell>
          <cell r="DT109">
            <v>85</v>
          </cell>
          <cell r="DU109">
            <v>55</v>
          </cell>
          <cell r="DV109">
            <v>140</v>
          </cell>
          <cell r="DX109">
            <v>2702</v>
          </cell>
          <cell r="DY109">
            <v>1613</v>
          </cell>
          <cell r="DZ109">
            <v>4315</v>
          </cell>
        </row>
        <row r="110">
          <cell r="A110" t="str">
            <v xml:space="preserve"> 2QE</v>
          </cell>
          <cell r="B110">
            <v>92.34</v>
          </cell>
          <cell r="C110">
            <v>0</v>
          </cell>
          <cell r="D110">
            <v>92.34</v>
          </cell>
          <cell r="F110">
            <v>350.56000000000006</v>
          </cell>
          <cell r="G110">
            <v>449.90000000000003</v>
          </cell>
          <cell r="H110">
            <v>800.46</v>
          </cell>
          <cell r="J110">
            <v>84.53</v>
          </cell>
          <cell r="K110">
            <v>112.27</v>
          </cell>
          <cell r="L110">
            <v>196.8</v>
          </cell>
          <cell r="M110">
            <v>0</v>
          </cell>
          <cell r="N110">
            <v>70.95</v>
          </cell>
          <cell r="O110">
            <v>70.95</v>
          </cell>
          <cell r="Q110">
            <v>0</v>
          </cell>
          <cell r="R110">
            <v>10</v>
          </cell>
          <cell r="S110">
            <v>10</v>
          </cell>
          <cell r="U110">
            <v>527.43000000000006</v>
          </cell>
          <cell r="V110">
            <v>643.12000000000012</v>
          </cell>
          <cell r="W110">
            <v>1170.5500000000002</v>
          </cell>
          <cell r="Y110">
            <v>415.15</v>
          </cell>
          <cell r="Z110">
            <v>115.99999999999999</v>
          </cell>
          <cell r="AA110">
            <v>531.15</v>
          </cell>
          <cell r="AG110">
            <v>6</v>
          </cell>
          <cell r="AH110">
            <v>32.76</v>
          </cell>
          <cell r="AI110">
            <v>38.76</v>
          </cell>
          <cell r="AK110">
            <v>421.15</v>
          </cell>
          <cell r="AL110">
            <v>148.76</v>
          </cell>
          <cell r="AM110">
            <v>569.91</v>
          </cell>
          <cell r="AO110" t="str">
            <v xml:space="preserve"> 2QE</v>
          </cell>
          <cell r="AP110">
            <v>106.05000000000001</v>
          </cell>
          <cell r="AQ110">
            <v>130.81</v>
          </cell>
          <cell r="AR110">
            <v>236.86</v>
          </cell>
          <cell r="AT110">
            <v>165.88</v>
          </cell>
          <cell r="AU110">
            <v>73.599999999999994</v>
          </cell>
          <cell r="AV110">
            <v>239.48</v>
          </cell>
          <cell r="AX110">
            <v>3.6000000000000005</v>
          </cell>
          <cell r="AY110">
            <v>2.1999999999999993</v>
          </cell>
          <cell r="AZ110">
            <v>5.8</v>
          </cell>
          <cell r="BB110">
            <v>29.45</v>
          </cell>
          <cell r="BC110">
            <v>129.19999999999999</v>
          </cell>
          <cell r="BD110">
            <v>158.64999999999998</v>
          </cell>
          <cell r="BF110">
            <v>304.98</v>
          </cell>
          <cell r="BG110">
            <v>335.80999999999995</v>
          </cell>
          <cell r="BH110">
            <v>640.79</v>
          </cell>
          <cell r="BJ110">
            <v>0.94</v>
          </cell>
          <cell r="BK110">
            <v>39.160000000000004</v>
          </cell>
          <cell r="BL110">
            <v>40.1</v>
          </cell>
          <cell r="BN110">
            <v>0</v>
          </cell>
          <cell r="BO110">
            <v>2.6</v>
          </cell>
          <cell r="BP110">
            <v>2.6</v>
          </cell>
          <cell r="BR110">
            <v>0.94</v>
          </cell>
          <cell r="BS110">
            <v>41.760000000000005</v>
          </cell>
          <cell r="BT110">
            <v>42.7</v>
          </cell>
          <cell r="BV110" t="str">
            <v xml:space="preserve"> 2QE</v>
          </cell>
          <cell r="BW110">
            <v>217.8</v>
          </cell>
          <cell r="BX110">
            <v>125.44000000000001</v>
          </cell>
          <cell r="BY110">
            <v>343.24</v>
          </cell>
          <cell r="CA110">
            <v>171.6</v>
          </cell>
          <cell r="CB110">
            <v>1.18</v>
          </cell>
          <cell r="CC110">
            <v>172.78</v>
          </cell>
          <cell r="CE110">
            <v>2</v>
          </cell>
          <cell r="CF110">
            <v>0</v>
          </cell>
          <cell r="CG110">
            <v>2</v>
          </cell>
          <cell r="CI110">
            <v>173.6</v>
          </cell>
          <cell r="CJ110">
            <v>1.18</v>
          </cell>
          <cell r="CK110">
            <v>174.78</v>
          </cell>
          <cell r="CM110">
            <v>60.500000000000007</v>
          </cell>
          <cell r="CN110">
            <v>2.06</v>
          </cell>
          <cell r="CO110">
            <v>62.560000000000009</v>
          </cell>
          <cell r="CQ110">
            <v>3</v>
          </cell>
          <cell r="CR110">
            <v>6</v>
          </cell>
          <cell r="CS110">
            <v>9</v>
          </cell>
          <cell r="CU110">
            <v>63.500000000000007</v>
          </cell>
          <cell r="CV110">
            <v>8.06</v>
          </cell>
          <cell r="CW110">
            <v>71.56</v>
          </cell>
          <cell r="CY110">
            <v>12</v>
          </cell>
          <cell r="CZ110">
            <v>42</v>
          </cell>
          <cell r="DA110">
            <v>54</v>
          </cell>
          <cell r="DC110" t="str">
            <v xml:space="preserve"> 2QE</v>
          </cell>
          <cell r="DD110">
            <v>0</v>
          </cell>
          <cell r="DE110">
            <v>0</v>
          </cell>
          <cell r="DF110">
            <v>0</v>
          </cell>
          <cell r="DH110">
            <v>627</v>
          </cell>
          <cell r="DI110">
            <v>119.69999999999999</v>
          </cell>
          <cell r="DJ110">
            <v>746.37288500000011</v>
          </cell>
          <cell r="DL110">
            <v>2348.4</v>
          </cell>
          <cell r="DM110">
            <v>1465.8300000000002</v>
          </cell>
          <cell r="DN110">
            <v>3814.2300000000005</v>
          </cell>
          <cell r="DP110">
            <v>155.04000000000002</v>
          </cell>
          <cell r="DQ110">
            <v>175.76000000000002</v>
          </cell>
          <cell r="DR110">
            <v>330.80000000000007</v>
          </cell>
          <cell r="DT110">
            <v>83.2</v>
          </cell>
          <cell r="DU110">
            <v>76.960000000000008</v>
          </cell>
          <cell r="DV110">
            <v>160.16000000000003</v>
          </cell>
          <cell r="DX110">
            <v>2586.64</v>
          </cell>
          <cell r="DY110">
            <v>1718.5500000000002</v>
          </cell>
          <cell r="DZ110">
            <v>4305.1900000000005</v>
          </cell>
        </row>
        <row r="111">
          <cell r="A111" t="str">
            <v xml:space="preserve"> 3QE</v>
          </cell>
          <cell r="B111">
            <v>98.75</v>
          </cell>
          <cell r="C111">
            <v>0</v>
          </cell>
          <cell r="D111">
            <v>98.75</v>
          </cell>
          <cell r="F111">
            <v>406.26000000000005</v>
          </cell>
          <cell r="G111">
            <v>477.98999999999995</v>
          </cell>
          <cell r="H111">
            <v>884.25</v>
          </cell>
          <cell r="J111">
            <v>95.68</v>
          </cell>
          <cell r="K111">
            <v>108.12</v>
          </cell>
          <cell r="L111">
            <v>203.8</v>
          </cell>
          <cell r="M111">
            <v>0</v>
          </cell>
          <cell r="N111">
            <v>63.45</v>
          </cell>
          <cell r="O111">
            <v>63.45</v>
          </cell>
          <cell r="Q111">
            <v>1</v>
          </cell>
          <cell r="R111">
            <v>24</v>
          </cell>
          <cell r="S111">
            <v>25</v>
          </cell>
          <cell r="U111">
            <v>601.69000000000005</v>
          </cell>
          <cell r="V111">
            <v>673.56</v>
          </cell>
          <cell r="W111">
            <v>1275.25</v>
          </cell>
          <cell r="Y111">
            <v>451.56</v>
          </cell>
          <cell r="Z111">
            <v>122.72</v>
          </cell>
          <cell r="AA111">
            <v>574.28</v>
          </cell>
          <cell r="AG111">
            <v>6</v>
          </cell>
          <cell r="AH111">
            <v>32.76</v>
          </cell>
          <cell r="AI111">
            <v>38.76</v>
          </cell>
          <cell r="AK111">
            <v>457.56</v>
          </cell>
          <cell r="AL111">
            <v>155.47999999999999</v>
          </cell>
          <cell r="AM111">
            <v>613.04</v>
          </cell>
          <cell r="AO111" t="str">
            <v xml:space="preserve"> 3QE</v>
          </cell>
          <cell r="AP111">
            <v>123.9</v>
          </cell>
          <cell r="AQ111">
            <v>137.55000000000001</v>
          </cell>
          <cell r="AR111">
            <v>261.45000000000005</v>
          </cell>
          <cell r="AT111">
            <v>207.06</v>
          </cell>
          <cell r="AU111">
            <v>63.72</v>
          </cell>
          <cell r="AV111">
            <v>270.77999999999997</v>
          </cell>
          <cell r="AX111">
            <v>4</v>
          </cell>
          <cell r="AY111">
            <v>1</v>
          </cell>
          <cell r="AZ111">
            <v>5</v>
          </cell>
          <cell r="BB111">
            <v>41.8</v>
          </cell>
          <cell r="BC111">
            <v>128.25</v>
          </cell>
          <cell r="BD111">
            <v>170.05</v>
          </cell>
          <cell r="BF111">
            <v>376.76000000000005</v>
          </cell>
          <cell r="BG111">
            <v>330.52</v>
          </cell>
          <cell r="BH111">
            <v>707.28</v>
          </cell>
          <cell r="BJ111">
            <v>1.9</v>
          </cell>
          <cell r="BK111">
            <v>37.800000000000004</v>
          </cell>
          <cell r="BL111">
            <v>39.700000000000003</v>
          </cell>
          <cell r="BN111">
            <v>0</v>
          </cell>
          <cell r="BO111">
            <v>2.8600000000000003</v>
          </cell>
          <cell r="BP111">
            <v>2.8600000000000003</v>
          </cell>
          <cell r="BR111">
            <v>1.9</v>
          </cell>
          <cell r="BS111">
            <v>40.660000000000004</v>
          </cell>
          <cell r="BT111">
            <v>42.56</v>
          </cell>
          <cell r="BV111" t="str">
            <v xml:space="preserve"> 3QE</v>
          </cell>
          <cell r="BW111">
            <v>185.14999999999998</v>
          </cell>
          <cell r="BX111">
            <v>136.4</v>
          </cell>
          <cell r="BY111">
            <v>321.54999999999995</v>
          </cell>
          <cell r="CA111">
            <v>175.45</v>
          </cell>
          <cell r="CB111">
            <v>1.6519999999999999</v>
          </cell>
          <cell r="CC111">
            <v>177.10199999999998</v>
          </cell>
          <cell r="CE111">
            <v>1</v>
          </cell>
          <cell r="CF111">
            <v>0</v>
          </cell>
          <cell r="CG111">
            <v>1</v>
          </cell>
          <cell r="CI111">
            <v>176.45</v>
          </cell>
          <cell r="CJ111">
            <v>1.6519999999999999</v>
          </cell>
          <cell r="CK111">
            <v>178.10199999999998</v>
          </cell>
          <cell r="CM111">
            <v>71.940000000000012</v>
          </cell>
          <cell r="CN111">
            <v>3.09</v>
          </cell>
          <cell r="CO111">
            <v>75.030000000000015</v>
          </cell>
          <cell r="CQ111">
            <v>4</v>
          </cell>
          <cell r="CR111">
            <v>5</v>
          </cell>
          <cell r="CS111">
            <v>9</v>
          </cell>
          <cell r="CU111">
            <v>75.940000000000012</v>
          </cell>
          <cell r="CV111">
            <v>8.09</v>
          </cell>
          <cell r="CW111">
            <v>84.030000000000015</v>
          </cell>
          <cell r="CY111">
            <v>-24</v>
          </cell>
          <cell r="CZ111">
            <v>40.529999999999994</v>
          </cell>
          <cell r="DA111">
            <v>16.529999999999994</v>
          </cell>
          <cell r="DC111" t="str">
            <v xml:space="preserve"> 3QE</v>
          </cell>
          <cell r="DD111">
            <v>35</v>
          </cell>
          <cell r="DE111">
            <v>15</v>
          </cell>
          <cell r="DF111">
            <v>50</v>
          </cell>
          <cell r="DH111">
            <v>630</v>
          </cell>
          <cell r="DI111">
            <v>149.5</v>
          </cell>
          <cell r="DJ111">
            <v>804.50856499999998</v>
          </cell>
          <cell r="DL111">
            <v>2516.4500000000003</v>
          </cell>
          <cell r="DM111">
            <v>1551.3920000000001</v>
          </cell>
          <cell r="DN111">
            <v>4067.8420000000006</v>
          </cell>
          <cell r="DP111">
            <v>205.20000000000002</v>
          </cell>
          <cell r="DQ111">
            <v>162.24</v>
          </cell>
          <cell r="DR111">
            <v>367.44000000000005</v>
          </cell>
          <cell r="DT111">
            <v>76.960000000000008</v>
          </cell>
          <cell r="DU111">
            <v>62.7</v>
          </cell>
          <cell r="DV111">
            <v>139.66000000000003</v>
          </cell>
          <cell r="DX111">
            <v>2798.61</v>
          </cell>
          <cell r="DY111">
            <v>1776.3320000000001</v>
          </cell>
          <cell r="DZ111">
            <v>4574.942</v>
          </cell>
        </row>
        <row r="112">
          <cell r="A112" t="str">
            <v xml:space="preserve"> 4QE</v>
          </cell>
          <cell r="B112">
            <v>95.630000000000024</v>
          </cell>
          <cell r="C112">
            <v>0</v>
          </cell>
          <cell r="D112">
            <v>95.630000000000024</v>
          </cell>
          <cell r="F112">
            <v>404.33</v>
          </cell>
          <cell r="G112">
            <v>508.35999999999996</v>
          </cell>
          <cell r="H112">
            <v>912.68999999999994</v>
          </cell>
          <cell r="J112">
            <v>50.189999999999969</v>
          </cell>
          <cell r="K112">
            <v>113.66000000000003</v>
          </cell>
          <cell r="L112">
            <v>163.85</v>
          </cell>
          <cell r="M112">
            <v>0</v>
          </cell>
          <cell r="N112">
            <v>114.00000000000004</v>
          </cell>
          <cell r="O112">
            <v>114.00000000000004</v>
          </cell>
          <cell r="Q112">
            <v>1</v>
          </cell>
          <cell r="R112">
            <v>-2.7499999999999929</v>
          </cell>
          <cell r="S112">
            <v>-1.7499999999999929</v>
          </cell>
          <cell r="U112">
            <v>551.15</v>
          </cell>
          <cell r="V112">
            <v>733.27</v>
          </cell>
          <cell r="W112">
            <v>1284.42</v>
          </cell>
          <cell r="Y112">
            <v>471.0900000000002</v>
          </cell>
          <cell r="Z112">
            <v>110.28000000000006</v>
          </cell>
          <cell r="AA112">
            <v>581.37000000000023</v>
          </cell>
          <cell r="AG112">
            <v>15</v>
          </cell>
          <cell r="AH112">
            <v>34.480000000000011</v>
          </cell>
          <cell r="AI112">
            <v>49.480000000000011</v>
          </cell>
          <cell r="AK112">
            <v>486.0900000000002</v>
          </cell>
          <cell r="AL112">
            <v>144.76000000000008</v>
          </cell>
          <cell r="AM112">
            <v>630.85000000000025</v>
          </cell>
          <cell r="AO112" t="str">
            <v xml:space="preserve"> 4QE</v>
          </cell>
          <cell r="AP112">
            <v>152.04999999999998</v>
          </cell>
          <cell r="AQ112">
            <v>153.69000000000005</v>
          </cell>
          <cell r="AR112">
            <v>305.74</v>
          </cell>
          <cell r="AT112">
            <v>429.74000000000007</v>
          </cell>
          <cell r="AU112">
            <v>84.600000000000023</v>
          </cell>
          <cell r="AV112">
            <v>514.34000000000015</v>
          </cell>
          <cell r="AX112">
            <v>16.200000000000003</v>
          </cell>
          <cell r="AY112">
            <v>6.5749999999999993</v>
          </cell>
          <cell r="AZ112">
            <v>22.775000000000002</v>
          </cell>
          <cell r="BB112">
            <v>33.349999999999994</v>
          </cell>
          <cell r="BC112">
            <v>130.72499999999997</v>
          </cell>
          <cell r="BD112">
            <v>164.07499999999996</v>
          </cell>
          <cell r="BF112">
            <v>631.34000000000015</v>
          </cell>
          <cell r="BG112">
            <v>375.59000000000003</v>
          </cell>
          <cell r="BH112">
            <v>974.93000000000018</v>
          </cell>
          <cell r="BJ112">
            <v>1.8099999999999996</v>
          </cell>
          <cell r="BK112">
            <v>43.840000000000011</v>
          </cell>
          <cell r="BL112">
            <v>45.650000000000013</v>
          </cell>
          <cell r="BN112">
            <v>0</v>
          </cell>
          <cell r="BO112">
            <v>-12.46</v>
          </cell>
          <cell r="BP112">
            <v>-12.46</v>
          </cell>
          <cell r="BR112">
            <v>1.8099999999999996</v>
          </cell>
          <cell r="BS112">
            <v>31.38000000000001</v>
          </cell>
          <cell r="BT112">
            <v>33.190000000000012</v>
          </cell>
          <cell r="BV112" t="str">
            <v xml:space="preserve"> 4QE</v>
          </cell>
          <cell r="BW112">
            <v>203.32999999999998</v>
          </cell>
          <cell r="BX112">
            <v>167.16</v>
          </cell>
          <cell r="BY112">
            <v>370.49</v>
          </cell>
          <cell r="CA112">
            <v>170.50999999999993</v>
          </cell>
          <cell r="CB112">
            <v>2.3600000000000003</v>
          </cell>
          <cell r="CC112">
            <v>172.86999999999995</v>
          </cell>
          <cell r="CE112">
            <v>2</v>
          </cell>
          <cell r="CF112">
            <v>0</v>
          </cell>
          <cell r="CG112">
            <v>2</v>
          </cell>
          <cell r="CI112">
            <v>172.50999999999993</v>
          </cell>
          <cell r="CJ112">
            <v>2.3600000000000003</v>
          </cell>
          <cell r="CK112">
            <v>174.86999999999995</v>
          </cell>
          <cell r="CM112">
            <v>78.460000000000022</v>
          </cell>
          <cell r="CN112">
            <v>3.2099999999999991</v>
          </cell>
          <cell r="CO112">
            <v>81.670000000000016</v>
          </cell>
          <cell r="CQ112">
            <v>9</v>
          </cell>
          <cell r="CR112">
            <v>10</v>
          </cell>
          <cell r="CS112">
            <v>19</v>
          </cell>
          <cell r="CU112">
            <v>87.460000000000022</v>
          </cell>
          <cell r="CV112">
            <v>13.209999999999999</v>
          </cell>
          <cell r="CW112">
            <v>100.67000000000002</v>
          </cell>
          <cell r="CY112">
            <v>28</v>
          </cell>
          <cell r="CZ112">
            <v>65.25</v>
          </cell>
          <cell r="DA112">
            <v>93.25</v>
          </cell>
          <cell r="DC112" t="str">
            <v xml:space="preserve"> 4QE</v>
          </cell>
          <cell r="DD112">
            <v>5</v>
          </cell>
          <cell r="DE112">
            <v>30</v>
          </cell>
          <cell r="DF112">
            <v>35</v>
          </cell>
          <cell r="DH112">
            <v>698.62885159999996</v>
          </cell>
          <cell r="DI112">
            <v>209.71852840000003</v>
          </cell>
          <cell r="DJ112">
            <v>839.25880500000005</v>
          </cell>
          <cell r="DL112">
            <v>2865.3188516</v>
          </cell>
          <cell r="DM112">
            <v>1772.6985284000002</v>
          </cell>
          <cell r="DN112">
            <v>4638.0173800000002</v>
          </cell>
          <cell r="DP112">
            <v>230.94000000000003</v>
          </cell>
          <cell r="DQ112">
            <v>231.12</v>
          </cell>
          <cell r="DR112">
            <v>462.06000000000006</v>
          </cell>
          <cell r="DT112">
            <v>59.72</v>
          </cell>
          <cell r="DU112">
            <v>77.260000000000005</v>
          </cell>
          <cell r="DV112">
            <v>136.98000000000002</v>
          </cell>
          <cell r="DX112">
            <v>3155.9788515999999</v>
          </cell>
          <cell r="DY112">
            <v>2081.0785284000003</v>
          </cell>
          <cell r="DZ112">
            <v>5237.0573800000002</v>
          </cell>
        </row>
        <row r="114">
          <cell r="A114" t="str">
            <v>Year</v>
          </cell>
          <cell r="B114">
            <v>396.72</v>
          </cell>
          <cell r="C114">
            <v>0</v>
          </cell>
          <cell r="D114">
            <v>396.72</v>
          </cell>
          <cell r="F114">
            <v>1515.15</v>
          </cell>
          <cell r="G114">
            <v>1874.25</v>
          </cell>
          <cell r="H114">
            <v>3389.4</v>
          </cell>
          <cell r="J114">
            <v>320.39999999999998</v>
          </cell>
          <cell r="K114">
            <v>448.05</v>
          </cell>
          <cell r="L114">
            <v>768.45</v>
          </cell>
          <cell r="M114">
            <v>0</v>
          </cell>
          <cell r="N114">
            <v>302.40000000000003</v>
          </cell>
          <cell r="O114">
            <v>302.40000000000003</v>
          </cell>
          <cell r="Q114">
            <v>3</v>
          </cell>
          <cell r="R114">
            <v>52.250000000000007</v>
          </cell>
          <cell r="S114">
            <v>55.250000000000007</v>
          </cell>
          <cell r="U114">
            <v>2235.27</v>
          </cell>
          <cell r="V114">
            <v>2676.9500000000003</v>
          </cell>
          <cell r="W114">
            <v>4912.22</v>
          </cell>
          <cell r="Y114">
            <v>1765.8000000000002</v>
          </cell>
          <cell r="Z114">
            <v>444.00000000000006</v>
          </cell>
          <cell r="AA114">
            <v>2209.8000000000002</v>
          </cell>
          <cell r="AC114">
            <v>0</v>
          </cell>
          <cell r="AD114">
            <v>0</v>
          </cell>
          <cell r="AE114">
            <v>0</v>
          </cell>
          <cell r="AG114">
            <v>30</v>
          </cell>
          <cell r="AH114">
            <v>130</v>
          </cell>
          <cell r="AI114">
            <v>160</v>
          </cell>
          <cell r="AK114">
            <v>1795.8000000000002</v>
          </cell>
          <cell r="AL114">
            <v>574</v>
          </cell>
          <cell r="AM114">
            <v>2369.8000000000002</v>
          </cell>
          <cell r="AO114" t="str">
            <v>Year</v>
          </cell>
          <cell r="AP114">
            <v>504</v>
          </cell>
          <cell r="AQ114">
            <v>547.05000000000007</v>
          </cell>
          <cell r="AR114">
            <v>1051.0500000000002</v>
          </cell>
          <cell r="AT114">
            <v>1129.68</v>
          </cell>
          <cell r="AU114">
            <v>313.92</v>
          </cell>
          <cell r="AV114">
            <v>1443.6000000000001</v>
          </cell>
          <cell r="AX114">
            <v>22.800000000000004</v>
          </cell>
          <cell r="AY114">
            <v>8.7749999999999986</v>
          </cell>
          <cell r="AZ114">
            <v>31.575000000000003</v>
          </cell>
          <cell r="BB114">
            <v>140.6</v>
          </cell>
          <cell r="BC114">
            <v>538.17499999999995</v>
          </cell>
          <cell r="BD114">
            <v>678.77499999999998</v>
          </cell>
          <cell r="BF114">
            <v>1797.08</v>
          </cell>
          <cell r="BG114">
            <v>1407.92</v>
          </cell>
          <cell r="BH114">
            <v>3205</v>
          </cell>
          <cell r="BJ114">
            <v>6.6499999999999995</v>
          </cell>
          <cell r="BK114">
            <v>154.80000000000001</v>
          </cell>
          <cell r="BL114">
            <v>161.45000000000002</v>
          </cell>
          <cell r="BN114">
            <v>0</v>
          </cell>
          <cell r="BO114">
            <v>10</v>
          </cell>
          <cell r="BP114">
            <v>10</v>
          </cell>
          <cell r="BR114">
            <v>6.6499999999999995</v>
          </cell>
          <cell r="BS114">
            <v>164.8</v>
          </cell>
          <cell r="BT114">
            <v>171.45000000000002</v>
          </cell>
          <cell r="BV114" t="str">
            <v>Year</v>
          </cell>
          <cell r="BW114">
            <v>833.28</v>
          </cell>
          <cell r="BX114">
            <v>535</v>
          </cell>
          <cell r="BY114">
            <v>1368.28</v>
          </cell>
          <cell r="CA114">
            <v>668.56</v>
          </cell>
          <cell r="CB114">
            <v>5.1920000000000002</v>
          </cell>
          <cell r="CC114">
            <v>673.75199999999995</v>
          </cell>
          <cell r="CE114">
            <v>6</v>
          </cell>
          <cell r="CF114">
            <v>0</v>
          </cell>
          <cell r="CG114">
            <v>6</v>
          </cell>
          <cell r="CI114">
            <v>674.56</v>
          </cell>
          <cell r="CJ114">
            <v>5.1920000000000002</v>
          </cell>
          <cell r="CK114">
            <v>679.75199999999995</v>
          </cell>
          <cell r="CM114">
            <v>273.90000000000003</v>
          </cell>
          <cell r="CN114">
            <v>12.36</v>
          </cell>
          <cell r="CO114">
            <v>286.26000000000005</v>
          </cell>
          <cell r="CQ114">
            <v>20</v>
          </cell>
          <cell r="CR114">
            <v>25</v>
          </cell>
          <cell r="CS114">
            <v>45</v>
          </cell>
          <cell r="CU114">
            <v>293.90000000000003</v>
          </cell>
          <cell r="CV114">
            <v>37.36</v>
          </cell>
          <cell r="CW114">
            <v>331.26000000000005</v>
          </cell>
          <cell r="CY114">
            <v>12</v>
          </cell>
          <cell r="CZ114">
            <v>192.78</v>
          </cell>
          <cell r="DA114">
            <v>204.78</v>
          </cell>
          <cell r="DC114" t="str">
            <v>Year</v>
          </cell>
          <cell r="DD114">
            <v>40</v>
          </cell>
          <cell r="DE114">
            <v>45</v>
          </cell>
          <cell r="DF114">
            <v>85</v>
          </cell>
          <cell r="DH114">
            <v>2541.6288516</v>
          </cell>
          <cell r="DI114">
            <v>557.91852840000001</v>
          </cell>
          <cell r="DJ114">
            <v>3099.54738</v>
          </cell>
          <cell r="DL114">
            <v>10230.168851599999</v>
          </cell>
          <cell r="DM114">
            <v>6196.9205284</v>
          </cell>
          <cell r="DN114">
            <v>16427.089379999998</v>
          </cell>
          <cell r="DP114">
            <v>708.18000000000006</v>
          </cell>
          <cell r="DQ114">
            <v>720.12</v>
          </cell>
          <cell r="DR114">
            <v>1428.3000000000002</v>
          </cell>
          <cell r="DT114">
            <v>304.88</v>
          </cell>
          <cell r="DU114">
            <v>271.92</v>
          </cell>
          <cell r="DV114">
            <v>576.79999999999995</v>
          </cell>
          <cell r="DX114">
            <v>11243.228851599999</v>
          </cell>
          <cell r="DY114">
            <v>7188.9605283999999</v>
          </cell>
          <cell r="DZ114">
            <v>18432.18938</v>
          </cell>
        </row>
        <row r="117">
          <cell r="A117" t="str">
            <v>2001E/00E</v>
          </cell>
          <cell r="B117">
            <v>-0.2</v>
          </cell>
          <cell r="C117" t="str">
            <v>NM</v>
          </cell>
          <cell r="D117">
            <v>-0.19999999999999996</v>
          </cell>
          <cell r="F117">
            <v>0.09</v>
          </cell>
          <cell r="G117">
            <v>0.11</v>
          </cell>
          <cell r="H117">
            <v>0.10105947955390326</v>
          </cell>
          <cell r="J117">
            <v>-0.5</v>
          </cell>
          <cell r="K117">
            <v>0.03</v>
          </cell>
          <cell r="L117">
            <v>-0.1909798945930119</v>
          </cell>
          <cell r="M117">
            <v>0</v>
          </cell>
          <cell r="N117">
            <v>0.2</v>
          </cell>
          <cell r="O117">
            <v>0.19999999999999996</v>
          </cell>
          <cell r="Q117">
            <v>0</v>
          </cell>
          <cell r="R117">
            <v>0</v>
          </cell>
          <cell r="S117">
            <v>0</v>
          </cell>
          <cell r="U117">
            <v>-4.6160195412634719E-2</v>
          </cell>
          <cell r="V117">
            <v>0.10462989596368999</v>
          </cell>
          <cell r="W117">
            <v>3.6013961101090786E-2</v>
          </cell>
          <cell r="Y117">
            <v>0.08</v>
          </cell>
          <cell r="Z117">
            <v>0.08</v>
          </cell>
          <cell r="AA117">
            <v>8.0000000000000071E-2</v>
          </cell>
          <cell r="AC117" t="str">
            <v xml:space="preserve">  NM</v>
          </cell>
          <cell r="AD117" t="str">
            <v xml:space="preserve">  NM</v>
          </cell>
          <cell r="AE117" t="str">
            <v xml:space="preserve">  NM</v>
          </cell>
          <cell r="AG117">
            <v>0</v>
          </cell>
          <cell r="AH117">
            <v>0.69230769230769229</v>
          </cell>
          <cell r="AI117">
            <v>0.5625</v>
          </cell>
          <cell r="AK117">
            <v>7.866354827931854E-2</v>
          </cell>
          <cell r="AL117">
            <v>0.21867595818815322</v>
          </cell>
          <cell r="AM117">
            <v>0.11257658874166609</v>
          </cell>
          <cell r="AO117" t="str">
            <v>2001E/00E</v>
          </cell>
          <cell r="AP117">
            <v>0.03</v>
          </cell>
          <cell r="AQ117">
            <v>0.02</v>
          </cell>
          <cell r="AR117">
            <v>2.4795204795204695E-2</v>
          </cell>
          <cell r="AT117">
            <v>0.18</v>
          </cell>
          <cell r="AU117">
            <v>0.12</v>
          </cell>
          <cell r="AV117">
            <v>0.16695261845386522</v>
          </cell>
          <cell r="AX117">
            <v>0.02</v>
          </cell>
          <cell r="AY117">
            <v>0</v>
          </cell>
          <cell r="AZ117">
            <v>1.4441805225653193E-2</v>
          </cell>
          <cell r="BB117">
            <v>-0.05</v>
          </cell>
          <cell r="BC117">
            <v>-0.05</v>
          </cell>
          <cell r="BD117">
            <v>-5.0000000000000044E-2</v>
          </cell>
          <cell r="BF117">
            <v>0.11790704921316819</v>
          </cell>
          <cell r="BG117">
            <v>1.5414689755099742E-2</v>
          </cell>
          <cell r="BH117">
            <v>7.2883322932917327E-2</v>
          </cell>
          <cell r="BJ117">
            <v>-0.05</v>
          </cell>
          <cell r="BK117">
            <v>-0.1</v>
          </cell>
          <cell r="BL117">
            <v>-9.7940538866522098E-2</v>
          </cell>
          <cell r="BN117" t="str">
            <v xml:space="preserve">  NM</v>
          </cell>
          <cell r="BO117">
            <v>0</v>
          </cell>
          <cell r="BP117">
            <v>0</v>
          </cell>
          <cell r="BR117">
            <v>-5.0000000000000044E-2</v>
          </cell>
          <cell r="BS117">
            <v>-9.3932038834951381E-2</v>
          </cell>
          <cell r="BT117">
            <v>-9.2228054826479999E-2</v>
          </cell>
          <cell r="BV117" t="str">
            <v>2001E/00E</v>
          </cell>
          <cell r="BW117">
            <v>0.14000000000000001</v>
          </cell>
          <cell r="BX117">
            <v>0.24</v>
          </cell>
          <cell r="BY117">
            <v>0.17910018417283013</v>
          </cell>
          <cell r="CA117">
            <v>0.14000000000000001</v>
          </cell>
          <cell r="CB117">
            <v>0.15</v>
          </cell>
          <cell r="CC117">
            <v>0.14007706099573736</v>
          </cell>
          <cell r="CE117">
            <v>0</v>
          </cell>
          <cell r="CF117" t="str">
            <v xml:space="preserve">  NM</v>
          </cell>
          <cell r="CG117">
            <v>0</v>
          </cell>
          <cell r="CI117">
            <v>0.138754743833017</v>
          </cell>
          <cell r="CJ117">
            <v>0.15000000000000013</v>
          </cell>
          <cell r="CK117">
            <v>0.13884063599665764</v>
          </cell>
          <cell r="CM117">
            <v>0.06</v>
          </cell>
          <cell r="CN117">
            <v>0.03</v>
          </cell>
          <cell r="CO117">
            <v>5.8704674072521446E-2</v>
          </cell>
          <cell r="CQ117">
            <v>0</v>
          </cell>
          <cell r="CR117">
            <v>0</v>
          </cell>
          <cell r="CS117">
            <v>0</v>
          </cell>
          <cell r="CU117">
            <v>5.5916978564137576E-2</v>
          </cell>
          <cell r="CV117">
            <v>9.9250535331907308E-3</v>
          </cell>
          <cell r="CW117">
            <v>5.0729940228219528E-2</v>
          </cell>
          <cell r="CY117">
            <v>0</v>
          </cell>
          <cell r="CZ117">
            <v>0.05</v>
          </cell>
          <cell r="DA117">
            <v>4.7070026369762763E-2</v>
          </cell>
          <cell r="DC117" t="str">
            <v>2001E/00E</v>
          </cell>
          <cell r="DD117">
            <v>9.625</v>
          </cell>
          <cell r="DE117">
            <v>2.8888888888888888</v>
          </cell>
          <cell r="DF117">
            <v>6.0588235294117645</v>
          </cell>
          <cell r="DH117">
            <v>0.29554338661489865</v>
          </cell>
          <cell r="DI117">
            <v>0.47547996808919013</v>
          </cell>
          <cell r="DJ117">
            <v>0.32793197128027129</v>
          </cell>
          <cell r="DL117">
            <v>0.157621308280538</v>
          </cell>
          <cell r="DM117">
            <v>0.15270477162700158</v>
          </cell>
          <cell r="DN117">
            <v>0.15576660436969036</v>
          </cell>
          <cell r="DP117">
            <v>0.12</v>
          </cell>
          <cell r="DQ117">
            <v>0.03</v>
          </cell>
          <cell r="DR117">
            <v>7.4623818525519831E-2</v>
          </cell>
          <cell r="DT117">
            <v>0.03</v>
          </cell>
          <cell r="DU117">
            <v>0.03</v>
          </cell>
          <cell r="DV117">
            <v>3.0000000000000155E-2</v>
          </cell>
          <cell r="DX117">
            <v>0.15179096866618846</v>
          </cell>
          <cell r="DY117">
            <v>0.13577213704597102</v>
          </cell>
          <cell r="DZ117">
            <v>0.1455432709101212</v>
          </cell>
        </row>
        <row r="118">
          <cell r="A118" t="str">
            <v>2002E/01E</v>
          </cell>
          <cell r="B118">
            <v>-0.2</v>
          </cell>
          <cell r="C118" t="str">
            <v>NM</v>
          </cell>
          <cell r="D118">
            <v>-0.19999999999999996</v>
          </cell>
          <cell r="F118">
            <v>0.08</v>
          </cell>
          <cell r="G118">
            <v>0.12</v>
          </cell>
          <cell r="H118">
            <v>0.10229856339787635</v>
          </cell>
          <cell r="J118">
            <v>-0.3</v>
          </cell>
          <cell r="K118">
            <v>0.03</v>
          </cell>
          <cell r="L118">
            <v>-5.5035745220901267E-2</v>
          </cell>
          <cell r="M118">
            <v>0</v>
          </cell>
          <cell r="N118">
            <v>0.15</v>
          </cell>
          <cell r="O118">
            <v>0.15000000000000013</v>
          </cell>
          <cell r="Q118">
            <v>0</v>
          </cell>
          <cell r="R118">
            <v>0</v>
          </cell>
          <cell r="S118">
            <v>0</v>
          </cell>
          <cell r="U118">
            <v>9.6552607195898865E-3</v>
          </cell>
          <cell r="V118">
            <v>0.10751526949762913</v>
          </cell>
          <cell r="W118">
            <v>6.651683583937773E-2</v>
          </cell>
          <cell r="Y118">
            <v>0.06</v>
          </cell>
          <cell r="Z118">
            <v>0.08</v>
          </cell>
          <cell r="AA118">
            <v>6.4018463209340348E-2</v>
          </cell>
          <cell r="AC118" t="str">
            <v xml:space="preserve">  NM</v>
          </cell>
          <cell r="AD118" t="str">
            <v xml:space="preserve">  NM</v>
          </cell>
          <cell r="AE118" t="str">
            <v xml:space="preserve">  NM</v>
          </cell>
          <cell r="AG118">
            <v>0</v>
          </cell>
          <cell r="AH118">
            <v>0</v>
          </cell>
          <cell r="AI118">
            <v>0</v>
          </cell>
          <cell r="AK118">
            <v>5.9070758632652209E-2</v>
          </cell>
          <cell r="AL118">
            <v>5.483989021043012E-2</v>
          </cell>
          <cell r="AM118">
            <v>5.7948254256265042E-2</v>
          </cell>
          <cell r="AO118" t="str">
            <v>2002E/01E</v>
          </cell>
          <cell r="AP118">
            <v>0.02</v>
          </cell>
          <cell r="AQ118">
            <v>0.02</v>
          </cell>
          <cell r="AR118">
            <v>2.0000000000000018E-2</v>
          </cell>
          <cell r="AT118">
            <v>0.14000000000000001</v>
          </cell>
          <cell r="AU118">
            <v>0.1</v>
          </cell>
          <cell r="AV118">
            <v>0.13165172198620345</v>
          </cell>
          <cell r="AX118">
            <v>0.03</v>
          </cell>
          <cell r="AY118">
            <v>0</v>
          </cell>
          <cell r="AZ118">
            <v>2.1781399269457546E-2</v>
          </cell>
          <cell r="BB118">
            <v>-0.05</v>
          </cell>
          <cell r="BC118">
            <v>-0.05</v>
          </cell>
          <cell r="BD118">
            <v>-5.0000000000000044E-2</v>
          </cell>
          <cell r="BF118">
            <v>9.5085973477731178E-2</v>
          </cell>
          <cell r="BG118">
            <v>1.4518199959968614E-2</v>
          </cell>
          <cell r="BH118">
            <v>6.1589255721467673E-2</v>
          </cell>
          <cell r="BJ118">
            <v>-0.05</v>
          </cell>
          <cell r="BK118">
            <v>-0.1</v>
          </cell>
          <cell r="BL118">
            <v>-9.7831087460303778E-2</v>
          </cell>
          <cell r="BN118" t="str">
            <v xml:space="preserve">  NM</v>
          </cell>
          <cell r="BO118">
            <v>0</v>
          </cell>
          <cell r="BP118">
            <v>0</v>
          </cell>
          <cell r="BR118">
            <v>-5.0000000000000044E-2</v>
          </cell>
          <cell r="BS118">
            <v>-9.3302973479774898E-2</v>
          </cell>
          <cell r="BT118">
            <v>-9.1545257409043401E-2</v>
          </cell>
          <cell r="BV118" t="str">
            <v>2002E/01E</v>
          </cell>
          <cell r="BW118">
            <v>0.12</v>
          </cell>
          <cell r="BX118">
            <v>0.15</v>
          </cell>
          <cell r="BY118">
            <v>0.13233590555538477</v>
          </cell>
          <cell r="CA118">
            <v>0.1</v>
          </cell>
          <cell r="CB118">
            <v>0.1</v>
          </cell>
          <cell r="CC118">
            <v>9.9999999999999867E-2</v>
          </cell>
          <cell r="CE118">
            <v>0</v>
          </cell>
          <cell r="CF118" t="str">
            <v xml:space="preserve">  NM</v>
          </cell>
          <cell r="CG118">
            <v>0</v>
          </cell>
          <cell r="CI118">
            <v>9.9218911099585583E-2</v>
          </cell>
          <cell r="CJ118">
            <v>0.10000000000000009</v>
          </cell>
          <cell r="CK118">
            <v>9.9224935579228735E-2</v>
          </cell>
          <cell r="CM118">
            <v>0.03</v>
          </cell>
          <cell r="CN118">
            <v>0.02</v>
          </cell>
          <cell r="CO118">
            <v>2.9579931420607108E-2</v>
          </cell>
          <cell r="CQ118">
            <v>0</v>
          </cell>
          <cell r="CR118">
            <v>0</v>
          </cell>
          <cell r="CS118">
            <v>0</v>
          </cell>
          <cell r="CU118">
            <v>2.8066599212461352E-2</v>
          </cell>
          <cell r="CV118">
            <v>6.7482269127607797E-3</v>
          </cell>
          <cell r="CW118">
            <v>2.575565239576072E-2</v>
          </cell>
          <cell r="CY118">
            <v>0</v>
          </cell>
          <cell r="CZ118">
            <v>0.05</v>
          </cell>
          <cell r="DA118">
            <v>4.7201740517398116E-2</v>
          </cell>
          <cell r="DC118" t="str">
            <v>2002E/01E</v>
          </cell>
          <cell r="DD118">
            <v>2.2117647058823531</v>
          </cell>
          <cell r="DE118">
            <v>0.88571428571428568</v>
          </cell>
          <cell r="DF118">
            <v>1.825</v>
          </cell>
          <cell r="DH118">
            <v>0.17891196463058034</v>
          </cell>
          <cell r="DI118">
            <v>0.17891196463058034</v>
          </cell>
          <cell r="DJ118">
            <v>0.17891196463058034</v>
          </cell>
          <cell r="DL118">
            <v>0.17342020137930003</v>
          </cell>
          <cell r="DM118">
            <v>0.10861692003956191</v>
          </cell>
          <cell r="DN118">
            <v>0.14903871079673925</v>
          </cell>
          <cell r="DP118">
            <v>0.1</v>
          </cell>
          <cell r="DQ118">
            <v>0.03</v>
          </cell>
          <cell r="DR118">
            <v>6.6172941142438435E-2</v>
          </cell>
          <cell r="DT118">
            <v>0.03</v>
          </cell>
          <cell r="DU118">
            <v>0.03</v>
          </cell>
          <cell r="DV118">
            <v>3.0000000000000027E-2</v>
          </cell>
          <cell r="DX118">
            <v>0.16544545122300525</v>
          </cell>
          <cell r="DY118">
            <v>9.8778505340809231E-2</v>
          </cell>
          <cell r="DZ118">
            <v>0.13966565697895916</v>
          </cell>
        </row>
        <row r="119">
          <cell r="A119" t="str">
            <v>2003E/02E</v>
          </cell>
          <cell r="B119">
            <v>-0.3</v>
          </cell>
          <cell r="C119" t="str">
            <v>NM</v>
          </cell>
          <cell r="D119">
            <v>-0.29999999999999993</v>
          </cell>
          <cell r="F119">
            <v>0.08</v>
          </cell>
          <cell r="G119">
            <v>0.1</v>
          </cell>
          <cell r="H119">
            <v>9.1328324210383061E-2</v>
          </cell>
          <cell r="J119">
            <v>-0.2</v>
          </cell>
          <cell r="K119">
            <v>0.03</v>
          </cell>
          <cell r="L119">
            <v>-1.3903392212905707E-2</v>
          </cell>
          <cell r="M119">
            <v>0</v>
          </cell>
          <cell r="N119">
            <v>0.15</v>
          </cell>
          <cell r="O119">
            <v>0.15000000000000013</v>
          </cell>
          <cell r="Q119">
            <v>0</v>
          </cell>
          <cell r="R119">
            <v>0</v>
          </cell>
          <cell r="S119">
            <v>0</v>
          </cell>
          <cell r="U119">
            <v>2.0482663949080715E-2</v>
          </cell>
          <cell r="V119">
            <v>9.4615840901998816E-2</v>
          </cell>
          <cell r="W119">
            <v>6.5213627628823323E-2</v>
          </cell>
          <cell r="Y119">
            <v>0.06</v>
          </cell>
          <cell r="Z119">
            <v>7.0000000000000007E-2</v>
          </cell>
          <cell r="AA119">
            <v>6.203941022461068E-2</v>
          </cell>
          <cell r="AC119" t="str">
            <v xml:space="preserve">  NM</v>
          </cell>
          <cell r="AD119" t="str">
            <v xml:space="preserve">  NM</v>
          </cell>
          <cell r="AE119" t="str">
            <v xml:space="preserve">  NM</v>
          </cell>
          <cell r="AG119">
            <v>0</v>
          </cell>
          <cell r="AH119">
            <v>0</v>
          </cell>
          <cell r="AI119">
            <v>0</v>
          </cell>
          <cell r="AK119">
            <v>5.9122588023724276E-2</v>
          </cell>
          <cell r="AL119">
            <v>4.9129442989227501E-2</v>
          </cell>
          <cell r="AM119">
            <v>5.6479066609405493E-2</v>
          </cell>
          <cell r="AO119" t="str">
            <v>2003E/02E</v>
          </cell>
          <cell r="AP119">
            <v>0.02</v>
          </cell>
          <cell r="AQ119">
            <v>0.02</v>
          </cell>
          <cell r="AR119">
            <v>1.9999999999999796E-2</v>
          </cell>
          <cell r="AT119">
            <v>0.12</v>
          </cell>
          <cell r="AU119">
            <v>0.06</v>
          </cell>
          <cell r="AV119">
            <v>0.10782782860208306</v>
          </cell>
          <cell r="AX119">
            <v>0.03</v>
          </cell>
          <cell r="AY119">
            <v>0</v>
          </cell>
          <cell r="AZ119">
            <v>2.1956595866377659E-2</v>
          </cell>
          <cell r="BB119">
            <v>-0.05</v>
          </cell>
          <cell r="BC119">
            <v>-0.05</v>
          </cell>
          <cell r="BD119">
            <v>-4.9999999999999933E-2</v>
          </cell>
          <cell r="BF119">
            <v>8.5146424485448069E-2</v>
          </cell>
          <cell r="BG119">
            <v>7.103551296316013E-3</v>
          </cell>
          <cell r="BH119">
            <v>5.4138159291942323E-2</v>
          </cell>
          <cell r="BJ119">
            <v>-0.05</v>
          </cell>
          <cell r="BK119">
            <v>-0.1</v>
          </cell>
          <cell r="BL119">
            <v>-9.7716096305168643E-2</v>
          </cell>
          <cell r="BN119" t="str">
            <v xml:space="preserve">  NM</v>
          </cell>
          <cell r="BO119">
            <v>0</v>
          </cell>
          <cell r="BP119">
            <v>0</v>
          </cell>
          <cell r="BR119">
            <v>-4.9999999999999933E-2</v>
          </cell>
          <cell r="BS119">
            <v>-9.2613821018110998E-2</v>
          </cell>
          <cell r="BT119">
            <v>-9.080497419807132E-2</v>
          </cell>
          <cell r="BV119" t="str">
            <v>2003E/02E</v>
          </cell>
          <cell r="BW119">
            <v>0.1</v>
          </cell>
          <cell r="BX119">
            <v>0.1</v>
          </cell>
          <cell r="BY119">
            <v>0.10000000000000009</v>
          </cell>
          <cell r="CA119">
            <v>0.1</v>
          </cell>
          <cell r="CB119">
            <v>0.1</v>
          </cell>
          <cell r="CC119">
            <v>0.10000000000000009</v>
          </cell>
          <cell r="CE119">
            <v>0</v>
          </cell>
          <cell r="CF119" t="str">
            <v xml:space="preserve">  NM</v>
          </cell>
          <cell r="CG119">
            <v>0</v>
          </cell>
          <cell r="CI119">
            <v>9.928941460838514E-2</v>
          </cell>
          <cell r="CJ119">
            <v>0.10000000000000009</v>
          </cell>
          <cell r="CK119">
            <v>9.9294899164234618E-2</v>
          </cell>
          <cell r="CM119">
            <v>0.03</v>
          </cell>
          <cell r="CN119">
            <v>0.01</v>
          </cell>
          <cell r="CO119">
            <v>2.9167680064646317E-2</v>
          </cell>
          <cell r="CQ119">
            <v>0</v>
          </cell>
          <cell r="CR119">
            <v>0</v>
          </cell>
          <cell r="CS119">
            <v>0</v>
          </cell>
          <cell r="CU119">
            <v>2.8119381770578267E-2</v>
          </cell>
          <cell r="CV119">
            <v>3.4185267314170709E-3</v>
          </cell>
          <cell r="CW119">
            <v>2.5491384861611399E-2</v>
          </cell>
          <cell r="CY119">
            <v>0</v>
          </cell>
          <cell r="CZ119">
            <v>0.05</v>
          </cell>
          <cell r="DA119">
            <v>4.7327869717615823E-2</v>
          </cell>
          <cell r="DC119" t="str">
            <v>2003E/02E</v>
          </cell>
          <cell r="DD119">
            <v>0.87820512820512819</v>
          </cell>
          <cell r="DE119">
            <v>0.51515151515151514</v>
          </cell>
          <cell r="DF119">
            <v>0.80752212389380529</v>
          </cell>
          <cell r="DH119">
            <v>0.17661022906047585</v>
          </cell>
          <cell r="DI119">
            <v>0.17661022906047563</v>
          </cell>
          <cell r="DJ119">
            <v>0.17661022906047585</v>
          </cell>
          <cell r="DL119">
            <v>0.1752926682780811</v>
          </cell>
          <cell r="DM119">
            <v>9.760968259004299E-2</v>
          </cell>
          <cell r="DN119">
            <v>0.14709351894622347</v>
          </cell>
          <cell r="DP119">
            <v>0.08</v>
          </cell>
          <cell r="DQ119">
            <v>0.03</v>
          </cell>
          <cell r="DR119">
            <v>5.6657585758518099E-2</v>
          </cell>
          <cell r="DT119">
            <v>0.03</v>
          </cell>
          <cell r="DU119">
            <v>0.03</v>
          </cell>
          <cell r="DV119">
            <v>2.9999999999999787E-2</v>
          </cell>
          <cell r="DX119">
            <v>0.16667006818420305</v>
          </cell>
          <cell r="DY119">
            <v>8.9678370017685083E-2</v>
          </cell>
          <cell r="DZ119">
            <v>0.13796586606812045</v>
          </cell>
        </row>
        <row r="120">
          <cell r="A120" t="str">
            <v>2004E/03E</v>
          </cell>
          <cell r="B120">
            <v>-0.3</v>
          </cell>
          <cell r="C120" t="str">
            <v>NM</v>
          </cell>
          <cell r="D120">
            <v>-0.29999999999999993</v>
          </cell>
          <cell r="F120">
            <v>7.0000000000000007E-2</v>
          </cell>
          <cell r="G120">
            <v>0.08</v>
          </cell>
          <cell r="H120">
            <v>7.5709169438279433E-2</v>
          </cell>
          <cell r="J120">
            <v>-0.1</v>
          </cell>
          <cell r="K120">
            <v>0.03</v>
          </cell>
          <cell r="L120">
            <v>9.8681300635017344E-3</v>
          </cell>
          <cell r="M120">
            <v>0</v>
          </cell>
          <cell r="N120">
            <v>0.1</v>
          </cell>
          <cell r="O120">
            <v>0.10000000000000009</v>
          </cell>
          <cell r="Q120">
            <v>0</v>
          </cell>
          <cell r="R120">
            <v>0</v>
          </cell>
          <cell r="S120">
            <v>0</v>
          </cell>
          <cell r="U120">
            <v>3.302688738151538E-2</v>
          </cell>
          <cell r="V120">
            <v>7.4682692535815942E-2</v>
          </cell>
          <cell r="W120">
            <v>5.8855209304623735E-2</v>
          </cell>
          <cell r="Y120">
            <v>0.05</v>
          </cell>
          <cell r="Z120">
            <v>0.06</v>
          </cell>
          <cell r="AA120">
            <v>5.205469676485186E-2</v>
          </cell>
          <cell r="AC120" t="str">
            <v xml:space="preserve">  NM</v>
          </cell>
          <cell r="AD120" t="str">
            <v xml:space="preserve">  NM</v>
          </cell>
          <cell r="AE120" t="str">
            <v xml:space="preserve">  NM</v>
          </cell>
          <cell r="AG120">
            <v>0</v>
          </cell>
          <cell r="AH120">
            <v>0</v>
          </cell>
          <cell r="AI120">
            <v>0</v>
          </cell>
          <cell r="AK120">
            <v>4.9309639266347238E-2</v>
          </cell>
          <cell r="AL120">
            <v>4.2948673315843733E-2</v>
          </cell>
          <cell r="AM120">
            <v>4.7638656802356349E-2</v>
          </cell>
          <cell r="AO120" t="str">
            <v>2004E/03E</v>
          </cell>
          <cell r="AP120">
            <v>-0.3</v>
          </cell>
          <cell r="AQ120">
            <v>0</v>
          </cell>
          <cell r="AR120">
            <v>-0.14458676960870331</v>
          </cell>
          <cell r="AT120">
            <v>0.12</v>
          </cell>
          <cell r="AU120">
            <v>0.04</v>
          </cell>
          <cell r="AV120">
            <v>0.10447111082465677</v>
          </cell>
          <cell r="AX120">
            <v>0.02</v>
          </cell>
          <cell r="AY120">
            <v>0</v>
          </cell>
          <cell r="AZ120">
            <v>1.4752938193163923E-2</v>
          </cell>
          <cell r="BB120">
            <v>-0.05</v>
          </cell>
          <cell r="BC120">
            <v>-0.05</v>
          </cell>
          <cell r="BD120">
            <v>-4.9999999999999933E-2</v>
          </cell>
          <cell r="BF120">
            <v>1.536400950985084E-2</v>
          </cell>
          <cell r="BG120">
            <v>-4.5682206604708009E-3</v>
          </cell>
          <cell r="BH120">
            <v>7.79782886540481E-3</v>
          </cell>
          <cell r="BJ120">
            <v>-0.05</v>
          </cell>
          <cell r="BK120">
            <v>-0.1</v>
          </cell>
          <cell r="BL120">
            <v>-9.7595315065241772E-2</v>
          </cell>
          <cell r="BN120" t="str">
            <v xml:space="preserve">  NM</v>
          </cell>
          <cell r="BO120">
            <v>0</v>
          </cell>
          <cell r="BP120">
            <v>0</v>
          </cell>
          <cell r="BR120">
            <v>-4.9999999999999933E-2</v>
          </cell>
          <cell r="BS120">
            <v>-9.1859938851860612E-2</v>
          </cell>
          <cell r="BT120">
            <v>-9.0003346927349126E-2</v>
          </cell>
          <cell r="BV120" t="str">
            <v>2004E/03E</v>
          </cell>
          <cell r="BW120">
            <v>0.1</v>
          </cell>
          <cell r="BX120">
            <v>0.08</v>
          </cell>
          <cell r="BY120">
            <v>9.1647772055922783E-2</v>
          </cell>
          <cell r="CA120">
            <v>0.1</v>
          </cell>
          <cell r="CB120">
            <v>0.1</v>
          </cell>
          <cell r="CC120">
            <v>0.10000000000000009</v>
          </cell>
          <cell r="CE120">
            <v>0</v>
          </cell>
          <cell r="CF120" t="str">
            <v xml:space="preserve">  NM</v>
          </cell>
          <cell r="CG120">
            <v>0</v>
          </cell>
          <cell r="CI120">
            <v>9.9353595711764386E-2</v>
          </cell>
          <cell r="CJ120">
            <v>0.10000000000000009</v>
          </cell>
          <cell r="CK120">
            <v>9.9358588094694555E-2</v>
          </cell>
          <cell r="CM120">
            <v>0</v>
          </cell>
          <cell r="CN120">
            <v>0</v>
          </cell>
          <cell r="CO120">
            <v>0</v>
          </cell>
          <cell r="CQ120">
            <v>0</v>
          </cell>
          <cell r="CR120">
            <v>0</v>
          </cell>
          <cell r="CS120">
            <v>0</v>
          </cell>
          <cell r="CU120">
            <v>0</v>
          </cell>
          <cell r="CV120">
            <v>0</v>
          </cell>
          <cell r="CW120">
            <v>0</v>
          </cell>
          <cell r="CY120">
            <v>0</v>
          </cell>
          <cell r="CZ120">
            <v>0.05</v>
          </cell>
          <cell r="DA120">
            <v>4.7448621048244988E-2</v>
          </cell>
          <cell r="DC120" t="str">
            <v>2004E/03E</v>
          </cell>
          <cell r="DD120">
            <v>0.53488542174549003</v>
          </cell>
          <cell r="DE120">
            <v>0.6</v>
          </cell>
          <cell r="DF120">
            <v>0.54551203590371278</v>
          </cell>
          <cell r="DH120">
            <v>-2.6458629046233084E-2</v>
          </cell>
          <cell r="DI120">
            <v>-2.6458629046232862E-2</v>
          </cell>
          <cell r="DJ120">
            <v>-2.6458629046232973E-2</v>
          </cell>
          <cell r="DL120">
            <v>0.1026062119048472</v>
          </cell>
          <cell r="DM120">
            <v>7.2689154902678688E-2</v>
          </cell>
          <cell r="DN120">
            <v>9.221471599966824E-2</v>
          </cell>
          <cell r="DP120">
            <v>7.0000000000000007E-2</v>
          </cell>
          <cell r="DQ120">
            <v>0.03</v>
          </cell>
          <cell r="DR120">
            <v>5.1797178580633492E-2</v>
          </cell>
          <cell r="DT120">
            <v>0.03</v>
          </cell>
          <cell r="DU120">
            <v>0.03</v>
          </cell>
          <cell r="DV120">
            <v>3.0000000000000044E-2</v>
          </cell>
          <cell r="DX120">
            <v>9.9487542864871159E-2</v>
          </cell>
          <cell r="DY120">
            <v>6.7955543303482635E-2</v>
          </cell>
          <cell r="DZ120">
            <v>8.8230555271552991E-2</v>
          </cell>
        </row>
        <row r="121">
          <cell r="A121" t="str">
            <v>2005E/04E</v>
          </cell>
          <cell r="B121">
            <v>-0.3</v>
          </cell>
          <cell r="C121" t="str">
            <v>NM</v>
          </cell>
          <cell r="D121">
            <v>-0.30000000000000004</v>
          </cell>
          <cell r="F121">
            <v>0.06</v>
          </cell>
          <cell r="G121">
            <v>0.06</v>
          </cell>
          <cell r="H121">
            <v>6.0000000000000053E-2</v>
          </cell>
          <cell r="J121">
            <v>-0.1</v>
          </cell>
          <cell r="K121">
            <v>0.03</v>
          </cell>
          <cell r="L121">
            <v>1.2058367420992422E-2</v>
          </cell>
          <cell r="M121">
            <v>0</v>
          </cell>
          <cell r="N121">
            <v>0.08</v>
          </cell>
          <cell r="O121">
            <v>8.0000000000000071E-2</v>
          </cell>
          <cell r="Q121">
            <v>0</v>
          </cell>
          <cell r="R121">
            <v>0</v>
          </cell>
          <cell r="S121">
            <v>0</v>
          </cell>
          <cell r="U121">
            <v>3.449164456979914E-2</v>
          </cell>
          <cell r="V121">
            <v>5.7999889775107283E-2</v>
          </cell>
          <cell r="W121">
            <v>4.9285608201385056E-2</v>
          </cell>
          <cell r="Y121">
            <v>0.05</v>
          </cell>
          <cell r="Z121">
            <v>0.05</v>
          </cell>
          <cell r="AA121">
            <v>4.9999999999999822E-2</v>
          </cell>
          <cell r="AC121" t="str">
            <v xml:space="preserve">  NM</v>
          </cell>
          <cell r="AD121" t="str">
            <v xml:space="preserve">  NM</v>
          </cell>
          <cell r="AE121" t="str">
            <v xml:space="preserve">  NM</v>
          </cell>
          <cell r="AG121">
            <v>0</v>
          </cell>
          <cell r="AH121">
            <v>0</v>
          </cell>
          <cell r="AI121">
            <v>0</v>
          </cell>
          <cell r="AK121">
            <v>4.9342081014203121E-2</v>
          </cell>
          <cell r="AL121">
            <v>3.6375706430223698E-2</v>
          </cell>
          <cell r="AM121">
            <v>4.5951151159111969E-2</v>
          </cell>
          <cell r="AO121" t="str">
            <v>2005E/04E</v>
          </cell>
          <cell r="AP121">
            <v>-0.25</v>
          </cell>
          <cell r="AQ121">
            <v>0</v>
          </cell>
          <cell r="AR121">
            <v>-9.8598290598290617E-2</v>
          </cell>
          <cell r="AT121">
            <v>0.1</v>
          </cell>
          <cell r="AU121">
            <v>0.04</v>
          </cell>
          <cell r="AV121">
            <v>8.9033182092265184E-2</v>
          </cell>
          <cell r="AX121">
            <v>0.02</v>
          </cell>
          <cell r="AY121">
            <v>0</v>
          </cell>
          <cell r="AZ121">
            <v>1.4829222356153915E-2</v>
          </cell>
          <cell r="BB121">
            <v>-0.05</v>
          </cell>
          <cell r="BC121">
            <v>-0.05</v>
          </cell>
          <cell r="BD121">
            <v>-4.9999999999999933E-2</v>
          </cell>
          <cell r="BF121">
            <v>3.7494117697708829E-2</v>
          </cell>
          <cell r="BG121">
            <v>-3.3447138376391239E-3</v>
          </cell>
          <cell r="BH121">
            <v>2.2182107726498979E-2</v>
          </cell>
          <cell r="BJ121">
            <v>-0.05</v>
          </cell>
          <cell r="BK121">
            <v>-0.1</v>
          </cell>
          <cell r="BL121">
            <v>-9.7468485341268618E-2</v>
          </cell>
          <cell r="BN121" t="str">
            <v xml:space="preserve">  NM</v>
          </cell>
          <cell r="BO121">
            <v>0</v>
          </cell>
          <cell r="BP121">
            <v>0</v>
          </cell>
          <cell r="BR121">
            <v>-5.0000000000000044E-2</v>
          </cell>
          <cell r="BS121">
            <v>-9.1036557579182165E-2</v>
          </cell>
          <cell r="BT121">
            <v>-8.9136474458674897E-2</v>
          </cell>
          <cell r="BV121" t="str">
            <v>2005E/04E</v>
          </cell>
          <cell r="BW121">
            <v>0.08</v>
          </cell>
          <cell r="BX121">
            <v>7.0000000000000007E-2</v>
          </cell>
          <cell r="BY121">
            <v>7.5868444744491725E-2</v>
          </cell>
          <cell r="CA121">
            <v>0.08</v>
          </cell>
          <cell r="CB121">
            <v>0.08</v>
          </cell>
          <cell r="CC121">
            <v>8.0000000000000071E-2</v>
          </cell>
          <cell r="CE121">
            <v>0</v>
          </cell>
          <cell r="CF121" t="str">
            <v xml:space="preserve">  NM</v>
          </cell>
          <cell r="CG121">
            <v>0</v>
          </cell>
          <cell r="CI121">
            <v>7.9529611371077058E-2</v>
          </cell>
          <cell r="CJ121">
            <v>8.0000000000000071E-2</v>
          </cell>
          <cell r="CK121">
            <v>7.9533246449519757E-2</v>
          </cell>
          <cell r="CM121">
            <v>0</v>
          </cell>
          <cell r="CN121">
            <v>0</v>
          </cell>
          <cell r="CO121">
            <v>0</v>
          </cell>
          <cell r="CQ121">
            <v>0</v>
          </cell>
          <cell r="CR121">
            <v>0</v>
          </cell>
          <cell r="CS121">
            <v>0</v>
          </cell>
          <cell r="CU121">
            <v>0</v>
          </cell>
          <cell r="CV121">
            <v>0</v>
          </cell>
          <cell r="CW121">
            <v>0</v>
          </cell>
          <cell r="CY121">
            <v>0</v>
          </cell>
          <cell r="CZ121">
            <v>0.05</v>
          </cell>
          <cell r="DA121">
            <v>4.7564196562498884E-2</v>
          </cell>
          <cell r="DC121" t="str">
            <v>2005E/04E</v>
          </cell>
          <cell r="DD121">
            <v>0.36048267975413362</v>
          </cell>
          <cell r="DE121">
            <v>0.25</v>
          </cell>
          <cell r="DF121">
            <v>0.34181636990008057</v>
          </cell>
          <cell r="DH121">
            <v>0.10570604507868819</v>
          </cell>
          <cell r="DI121">
            <v>0.10570604507868797</v>
          </cell>
          <cell r="DJ121">
            <v>0.10570604507868797</v>
          </cell>
          <cell r="DL121">
            <v>0.13072326607649076</v>
          </cell>
          <cell r="DM121">
            <v>6.7686532523902887E-2</v>
          </cell>
          <cell r="DN121">
            <v>0.10921928997423525</v>
          </cell>
          <cell r="DP121">
            <v>0.06</v>
          </cell>
          <cell r="DQ121">
            <v>0.03</v>
          </cell>
          <cell r="DR121">
            <v>4.6630806934245393E-2</v>
          </cell>
          <cell r="DT121">
            <v>0.03</v>
          </cell>
          <cell r="DU121">
            <v>0.03</v>
          </cell>
          <cell r="DV121">
            <v>3.000000000000011E-2</v>
          </cell>
          <cell r="DX121">
            <v>0.1252547275801561</v>
          </cell>
          <cell r="DY121">
            <v>6.3656159029472859E-2</v>
          </cell>
          <cell r="DZ121">
            <v>0.10367362872603003</v>
          </cell>
        </row>
        <row r="123">
          <cell r="A123" t="str">
            <v>2001E</v>
          </cell>
          <cell r="B123">
            <v>317.37600000000003</v>
          </cell>
          <cell r="C123">
            <v>0</v>
          </cell>
          <cell r="D123">
            <v>317.37600000000003</v>
          </cell>
          <cell r="F123">
            <v>1651.5135</v>
          </cell>
          <cell r="G123">
            <v>2080.4175</v>
          </cell>
          <cell r="H123">
            <v>3731.931</v>
          </cell>
          <cell r="J123">
            <v>160.19999999999999</v>
          </cell>
          <cell r="K123">
            <v>461.49150000000003</v>
          </cell>
          <cell r="L123">
            <v>621.69150000000002</v>
          </cell>
          <cell r="M123">
            <v>0</v>
          </cell>
          <cell r="N123">
            <v>362.88000000000005</v>
          </cell>
          <cell r="O123">
            <v>362.88000000000005</v>
          </cell>
          <cell r="Q123">
            <v>3</v>
          </cell>
          <cell r="R123">
            <v>52.250000000000007</v>
          </cell>
          <cell r="S123">
            <v>55.250000000000007</v>
          </cell>
          <cell r="U123">
            <v>2132.0895</v>
          </cell>
          <cell r="V123">
            <v>2957.0390000000002</v>
          </cell>
          <cell r="W123">
            <v>5089.1285000000007</v>
          </cell>
          <cell r="Y123">
            <v>1907.0640000000003</v>
          </cell>
          <cell r="Z123">
            <v>479.52000000000004</v>
          </cell>
          <cell r="AA123">
            <v>2386.5840000000003</v>
          </cell>
          <cell r="AC123">
            <v>0</v>
          </cell>
          <cell r="AD123">
            <v>0</v>
          </cell>
          <cell r="AE123">
            <v>0</v>
          </cell>
          <cell r="AG123">
            <v>30</v>
          </cell>
          <cell r="AH123">
            <v>220</v>
          </cell>
          <cell r="AI123">
            <v>250</v>
          </cell>
          <cell r="AK123">
            <v>1937.0640000000003</v>
          </cell>
          <cell r="AL123">
            <v>699.52</v>
          </cell>
          <cell r="AM123">
            <v>2636.5840000000003</v>
          </cell>
          <cell r="AO123" t="str">
            <v>2001E</v>
          </cell>
          <cell r="AP123">
            <v>519.12</v>
          </cell>
          <cell r="AQ123">
            <v>557.9910000000001</v>
          </cell>
          <cell r="AR123">
            <v>1077.1110000000001</v>
          </cell>
          <cell r="AT123">
            <v>1333.0224000000001</v>
          </cell>
          <cell r="AU123">
            <v>351.59040000000005</v>
          </cell>
          <cell r="AV123">
            <v>1684.6128000000001</v>
          </cell>
          <cell r="AX123">
            <v>23.256000000000004</v>
          </cell>
          <cell r="AY123">
            <v>8.7749999999999986</v>
          </cell>
          <cell r="AZ123">
            <v>32.031000000000006</v>
          </cell>
          <cell r="BB123">
            <v>133.57</v>
          </cell>
          <cell r="BC123">
            <v>511.26624999999996</v>
          </cell>
          <cell r="BD123">
            <v>644.83624999999995</v>
          </cell>
          <cell r="BF123">
            <v>2008.9684000000002</v>
          </cell>
          <cell r="BG123">
            <v>1429.62265</v>
          </cell>
          <cell r="BH123">
            <v>3438.59105</v>
          </cell>
          <cell r="BJ123">
            <v>6.317499999999999</v>
          </cell>
          <cell r="BK123">
            <v>139.32000000000002</v>
          </cell>
          <cell r="BL123">
            <v>145.63750000000002</v>
          </cell>
          <cell r="BN123">
            <v>0</v>
          </cell>
          <cell r="BO123">
            <v>10</v>
          </cell>
          <cell r="BP123">
            <v>10</v>
          </cell>
          <cell r="BR123">
            <v>6.317499999999999</v>
          </cell>
          <cell r="BS123">
            <v>149.32000000000002</v>
          </cell>
          <cell r="BT123">
            <v>155.63750000000002</v>
          </cell>
          <cell r="BV123" t="str">
            <v>2001E</v>
          </cell>
          <cell r="BW123">
            <v>949.93920000000003</v>
          </cell>
          <cell r="BX123">
            <v>663.4</v>
          </cell>
          <cell r="BY123">
            <v>1613.3391999999999</v>
          </cell>
          <cell r="CA123">
            <v>762.15839999999992</v>
          </cell>
          <cell r="CB123">
            <v>5.9708000000000006</v>
          </cell>
          <cell r="CC123">
            <v>768.12919999999997</v>
          </cell>
          <cell r="CE123">
            <v>6</v>
          </cell>
          <cell r="CF123">
            <v>0</v>
          </cell>
          <cell r="CG123">
            <v>6</v>
          </cell>
          <cell r="CI123">
            <v>768.15839999999992</v>
          </cell>
          <cell r="CJ123">
            <v>5.9708000000000006</v>
          </cell>
          <cell r="CK123">
            <v>774.12919999999997</v>
          </cell>
          <cell r="CM123">
            <v>290.33400000000006</v>
          </cell>
          <cell r="CN123">
            <v>12.730799999999999</v>
          </cell>
          <cell r="CO123">
            <v>303.06480000000005</v>
          </cell>
          <cell r="CQ123">
            <v>20</v>
          </cell>
          <cell r="CR123">
            <v>25</v>
          </cell>
          <cell r="CS123">
            <v>45</v>
          </cell>
          <cell r="CU123">
            <v>310.33400000000006</v>
          </cell>
          <cell r="CV123">
            <v>37.730800000000002</v>
          </cell>
          <cell r="CW123">
            <v>348.06480000000005</v>
          </cell>
          <cell r="CY123">
            <v>12</v>
          </cell>
          <cell r="CZ123">
            <v>202.41900000000001</v>
          </cell>
          <cell r="DA123">
            <v>214.41900000000001</v>
          </cell>
          <cell r="DC123" t="str">
            <v>2001E</v>
          </cell>
          <cell r="DD123">
            <v>425</v>
          </cell>
          <cell r="DE123">
            <v>175</v>
          </cell>
          <cell r="DF123">
            <v>600</v>
          </cell>
          <cell r="DH123">
            <v>3292.7904499199999</v>
          </cell>
          <cell r="DI123">
            <v>823.19761247999998</v>
          </cell>
          <cell r="DJ123">
            <v>4115.9880623999998</v>
          </cell>
          <cell r="DL123">
            <v>11842.66144992</v>
          </cell>
          <cell r="DM123">
            <v>7143.2198624800003</v>
          </cell>
          <cell r="DN123">
            <v>18985.881312400001</v>
          </cell>
          <cell r="DP123">
            <v>793.16160000000002</v>
          </cell>
          <cell r="DQ123">
            <v>741.72360000000003</v>
          </cell>
          <cell r="DR123">
            <v>1534.8852000000002</v>
          </cell>
          <cell r="DT123">
            <v>314.02639999999997</v>
          </cell>
          <cell r="DU123">
            <v>280.07760000000002</v>
          </cell>
          <cell r="DV123">
            <v>594.10400000000004</v>
          </cell>
          <cell r="DX123">
            <v>12949.849449920001</v>
          </cell>
          <cell r="DY123">
            <v>8165.0210624800002</v>
          </cell>
          <cell r="DZ123">
            <v>21114.870512400001</v>
          </cell>
        </row>
        <row r="124">
          <cell r="A124" t="str">
            <v>2002E</v>
          </cell>
          <cell r="B124">
            <v>253.90080000000003</v>
          </cell>
          <cell r="C124">
            <v>0</v>
          </cell>
          <cell r="D124">
            <v>253.90080000000003</v>
          </cell>
          <cell r="F124">
            <v>1783.6345799999999</v>
          </cell>
          <cell r="G124">
            <v>2330.0675999999999</v>
          </cell>
          <cell r="H124">
            <v>4113.7021800000002</v>
          </cell>
          <cell r="J124">
            <v>112.13999999999999</v>
          </cell>
          <cell r="K124">
            <v>475.33624500000002</v>
          </cell>
          <cell r="L124">
            <v>587.47624500000006</v>
          </cell>
          <cell r="M124">
            <v>0</v>
          </cell>
          <cell r="N124">
            <v>417.31200000000007</v>
          </cell>
          <cell r="O124">
            <v>417.31200000000007</v>
          </cell>
          <cell r="Q124">
            <v>3</v>
          </cell>
          <cell r="R124">
            <v>52.250000000000007</v>
          </cell>
          <cell r="S124">
            <v>55.250000000000007</v>
          </cell>
          <cell r="U124">
            <v>2152.6753800000001</v>
          </cell>
          <cell r="V124">
            <v>3274.9658449999997</v>
          </cell>
          <cell r="W124">
            <v>5427.6412249999994</v>
          </cell>
          <cell r="Y124">
            <v>2021.4878400000002</v>
          </cell>
          <cell r="Z124">
            <v>517.88160000000005</v>
          </cell>
          <cell r="AA124">
            <v>2539.3694400000004</v>
          </cell>
          <cell r="AC124">
            <v>0</v>
          </cell>
          <cell r="AD124">
            <v>0</v>
          </cell>
          <cell r="AE124">
            <v>0</v>
          </cell>
          <cell r="AG124">
            <v>30</v>
          </cell>
          <cell r="AH124">
            <v>220</v>
          </cell>
          <cell r="AI124">
            <v>250</v>
          </cell>
          <cell r="AK124">
            <v>2051.4878400000002</v>
          </cell>
          <cell r="AL124">
            <v>737.88160000000005</v>
          </cell>
          <cell r="AM124">
            <v>2789.3694400000004</v>
          </cell>
          <cell r="AO124" t="str">
            <v>2002E</v>
          </cell>
          <cell r="AP124">
            <v>529.50239999999997</v>
          </cell>
          <cell r="AQ124">
            <v>569.15082000000007</v>
          </cell>
          <cell r="AR124">
            <v>1098.6532200000001</v>
          </cell>
          <cell r="AT124">
            <v>1519.645536</v>
          </cell>
          <cell r="AU124">
            <v>386.74944000000005</v>
          </cell>
          <cell r="AV124">
            <v>1906.394976</v>
          </cell>
          <cell r="AX124">
            <v>23.953680000000006</v>
          </cell>
          <cell r="AY124">
            <v>8.7749999999999986</v>
          </cell>
          <cell r="AZ124">
            <v>32.728680000000004</v>
          </cell>
          <cell r="BB124">
            <v>126.89149999999999</v>
          </cell>
          <cell r="BC124">
            <v>485.70293749999996</v>
          </cell>
          <cell r="BD124">
            <v>612.59443749999991</v>
          </cell>
          <cell r="BF124">
            <v>2199.9931160000001</v>
          </cell>
          <cell r="BG124">
            <v>1450.3781975000002</v>
          </cell>
          <cell r="BH124">
            <v>3650.3713135000003</v>
          </cell>
          <cell r="BJ124">
            <v>6.0016249999999989</v>
          </cell>
          <cell r="BK124">
            <v>125.38800000000002</v>
          </cell>
          <cell r="BL124">
            <v>131.38962500000002</v>
          </cell>
          <cell r="BN124">
            <v>0</v>
          </cell>
          <cell r="BO124">
            <v>10</v>
          </cell>
          <cell r="BP124">
            <v>10</v>
          </cell>
          <cell r="BR124">
            <v>6.0016249999999989</v>
          </cell>
          <cell r="BS124">
            <v>135.38800000000003</v>
          </cell>
          <cell r="BT124">
            <v>141.38962500000002</v>
          </cell>
          <cell r="BV124" t="str">
            <v>2002E</v>
          </cell>
          <cell r="BW124">
            <v>1063.931904</v>
          </cell>
          <cell r="BX124">
            <v>762.91</v>
          </cell>
          <cell r="BY124">
            <v>1826.8419039999999</v>
          </cell>
          <cell r="CA124">
            <v>838.37423999999987</v>
          </cell>
          <cell r="CB124">
            <v>6.5678800000000006</v>
          </cell>
          <cell r="CC124">
            <v>844.94211999999982</v>
          </cell>
          <cell r="CE124">
            <v>6</v>
          </cell>
          <cell r="CF124">
            <v>0</v>
          </cell>
          <cell r="CG124">
            <v>6</v>
          </cell>
          <cell r="CI124">
            <v>844.37423999999987</v>
          </cell>
          <cell r="CJ124">
            <v>6.5678800000000006</v>
          </cell>
          <cell r="CK124">
            <v>850.94211999999982</v>
          </cell>
          <cell r="CM124">
            <v>299.04402000000005</v>
          </cell>
          <cell r="CN124">
            <v>12.985415999999999</v>
          </cell>
          <cell r="CO124">
            <v>312.02943600000003</v>
          </cell>
          <cell r="CQ124">
            <v>20</v>
          </cell>
          <cell r="CR124">
            <v>25</v>
          </cell>
          <cell r="CS124">
            <v>45</v>
          </cell>
          <cell r="CU124">
            <v>319.04402000000005</v>
          </cell>
          <cell r="CV124">
            <v>37.985416000000001</v>
          </cell>
          <cell r="CW124">
            <v>357.02943600000003</v>
          </cell>
          <cell r="CY124">
            <v>12</v>
          </cell>
          <cell r="CZ124">
            <v>212.53995</v>
          </cell>
          <cell r="DA124">
            <v>224.53995</v>
          </cell>
          <cell r="DC124" t="str">
            <v>2002E</v>
          </cell>
          <cell r="DD124">
            <v>1365</v>
          </cell>
          <cell r="DE124">
            <v>330</v>
          </cell>
          <cell r="DF124">
            <v>1695</v>
          </cell>
          <cell r="DH124">
            <v>3881.9100584319995</v>
          </cell>
          <cell r="DI124">
            <v>970.47751460799998</v>
          </cell>
          <cell r="DJ124">
            <v>4852.3875730399996</v>
          </cell>
          <cell r="DL124">
            <v>13896.418183432001</v>
          </cell>
          <cell r="DM124">
            <v>7919.0944031080007</v>
          </cell>
          <cell r="DN124">
            <v>21815.51258654</v>
          </cell>
          <cell r="DP124">
            <v>872.47775999999999</v>
          </cell>
          <cell r="DQ124">
            <v>763.97530800000004</v>
          </cell>
          <cell r="DR124">
            <v>1636.453068</v>
          </cell>
          <cell r="DT124">
            <v>323.44719199999997</v>
          </cell>
          <cell r="DU124">
            <v>288.47992800000003</v>
          </cell>
          <cell r="DV124">
            <v>611.92712000000006</v>
          </cell>
          <cell r="DX124">
            <v>15092.343135432</v>
          </cell>
          <cell r="DY124">
            <v>8971.5496391080014</v>
          </cell>
          <cell r="DZ124">
            <v>24063.89277454</v>
          </cell>
        </row>
        <row r="125">
          <cell r="A125" t="str">
            <v>2003E</v>
          </cell>
          <cell r="B125">
            <v>177.73056000000003</v>
          </cell>
          <cell r="C125">
            <v>0</v>
          </cell>
          <cell r="D125">
            <v>177.73056000000003</v>
          </cell>
          <cell r="F125">
            <v>1926.3253463999999</v>
          </cell>
          <cell r="G125">
            <v>2563.0743599999996</v>
          </cell>
          <cell r="H125">
            <v>4489.3997063999996</v>
          </cell>
          <cell r="J125">
            <v>89.711999999999989</v>
          </cell>
          <cell r="K125">
            <v>489.59633235000001</v>
          </cell>
          <cell r="L125">
            <v>579.30833235</v>
          </cell>
          <cell r="M125">
            <v>0</v>
          </cell>
          <cell r="N125">
            <v>479.9088000000001</v>
          </cell>
          <cell r="O125">
            <v>479.9088000000001</v>
          </cell>
          <cell r="Q125">
            <v>3</v>
          </cell>
          <cell r="R125">
            <v>52.250000000000007</v>
          </cell>
          <cell r="S125">
            <v>55.250000000000007</v>
          </cell>
          <cell r="U125">
            <v>2196.7679063999999</v>
          </cell>
          <cell r="V125">
            <v>3584.8294923499998</v>
          </cell>
          <cell r="W125">
            <v>5781.5973987500001</v>
          </cell>
          <cell r="Y125">
            <v>2142.7771104000003</v>
          </cell>
          <cell r="Z125">
            <v>554.13331200000005</v>
          </cell>
          <cell r="AA125">
            <v>2696.9104224000002</v>
          </cell>
          <cell r="AC125">
            <v>0</v>
          </cell>
          <cell r="AD125">
            <v>0</v>
          </cell>
          <cell r="AE125">
            <v>0</v>
          </cell>
          <cell r="AG125">
            <v>30</v>
          </cell>
          <cell r="AH125">
            <v>220</v>
          </cell>
          <cell r="AI125">
            <v>250</v>
          </cell>
          <cell r="AK125">
            <v>2172.7771104000003</v>
          </cell>
          <cell r="AL125">
            <v>774.13331200000005</v>
          </cell>
          <cell r="AM125">
            <v>2946.9104224000002</v>
          </cell>
          <cell r="AO125" t="str">
            <v>2003E</v>
          </cell>
          <cell r="AP125">
            <v>540.09244799999999</v>
          </cell>
          <cell r="AQ125">
            <v>580.53383640000004</v>
          </cell>
          <cell r="AR125">
            <v>1120.6262844</v>
          </cell>
          <cell r="AT125">
            <v>1702.00300032</v>
          </cell>
          <cell r="AU125">
            <v>409.95440640000004</v>
          </cell>
          <cell r="AV125">
            <v>2111.9574067200001</v>
          </cell>
          <cell r="AX125">
            <v>24.672290400000005</v>
          </cell>
          <cell r="AY125">
            <v>8.7749999999999986</v>
          </cell>
          <cell r="AZ125">
            <v>33.4472904</v>
          </cell>
          <cell r="BB125">
            <v>120.54692499999999</v>
          </cell>
          <cell r="BC125">
            <v>461.41779062499995</v>
          </cell>
          <cell r="BD125">
            <v>581.96471562499994</v>
          </cell>
          <cell r="BF125">
            <v>2387.3146637199998</v>
          </cell>
          <cell r="BG125">
            <v>1460.6810334249999</v>
          </cell>
          <cell r="BH125">
            <v>3847.9956971449997</v>
          </cell>
          <cell r="BJ125">
            <v>5.701543749999999</v>
          </cell>
          <cell r="BK125">
            <v>112.84920000000002</v>
          </cell>
          <cell r="BL125">
            <v>118.55074375000002</v>
          </cell>
          <cell r="BN125">
            <v>0</v>
          </cell>
          <cell r="BO125">
            <v>10</v>
          </cell>
          <cell r="BP125">
            <v>10</v>
          </cell>
          <cell r="BR125">
            <v>5.701543749999999</v>
          </cell>
          <cell r="BS125">
            <v>122.84920000000002</v>
          </cell>
          <cell r="BT125">
            <v>128.55074375000004</v>
          </cell>
          <cell r="BV125" t="str">
            <v>2003E</v>
          </cell>
          <cell r="BW125">
            <v>1170.3250944000001</v>
          </cell>
          <cell r="BX125">
            <v>839.20100000000002</v>
          </cell>
          <cell r="BY125">
            <v>2009.5260944000001</v>
          </cell>
          <cell r="CA125">
            <v>922.21166399999993</v>
          </cell>
          <cell r="CB125">
            <v>7.2246680000000012</v>
          </cell>
          <cell r="CC125">
            <v>929.43633199999988</v>
          </cell>
          <cell r="CE125">
            <v>6</v>
          </cell>
          <cell r="CF125">
            <v>0</v>
          </cell>
          <cell r="CG125">
            <v>6</v>
          </cell>
          <cell r="CI125">
            <v>928.21166399999993</v>
          </cell>
          <cell r="CJ125">
            <v>7.2246680000000012</v>
          </cell>
          <cell r="CK125">
            <v>935.43633199999988</v>
          </cell>
          <cell r="CM125">
            <v>308.01534060000006</v>
          </cell>
          <cell r="CN125">
            <v>13.11527016</v>
          </cell>
          <cell r="CO125">
            <v>321.13061076000008</v>
          </cell>
          <cell r="CQ125">
            <v>20</v>
          </cell>
          <cell r="CR125">
            <v>25</v>
          </cell>
          <cell r="CS125">
            <v>45</v>
          </cell>
          <cell r="CU125">
            <v>328.01534060000006</v>
          </cell>
          <cell r="CV125">
            <v>38.115270160000001</v>
          </cell>
          <cell r="CW125">
            <v>366.13061076000008</v>
          </cell>
          <cell r="CY125">
            <v>12</v>
          </cell>
          <cell r="CZ125">
            <v>223.16694749999999</v>
          </cell>
          <cell r="DA125">
            <v>235.16694749999999</v>
          </cell>
          <cell r="DC125" t="str">
            <v>2003E</v>
          </cell>
          <cell r="DD125">
            <v>2563.75</v>
          </cell>
          <cell r="DE125">
            <v>500</v>
          </cell>
          <cell r="DF125">
            <v>3063.75</v>
          </cell>
          <cell r="DH125">
            <v>4567.4950830438402</v>
          </cell>
          <cell r="DI125">
            <v>1141.87377076096</v>
          </cell>
          <cell r="DJ125">
            <v>5709.3688538048</v>
          </cell>
          <cell r="DL125">
            <v>16332.358406313841</v>
          </cell>
          <cell r="DM125">
            <v>8692.0746941959587</v>
          </cell>
          <cell r="DN125">
            <v>25024.433100509799</v>
          </cell>
          <cell r="DP125">
            <v>942.27598079999996</v>
          </cell>
          <cell r="DQ125">
            <v>786.89456724000001</v>
          </cell>
          <cell r="DR125">
            <v>1729.1705480400001</v>
          </cell>
          <cell r="DT125">
            <v>333.15060775999996</v>
          </cell>
          <cell r="DU125">
            <v>297.13432584000003</v>
          </cell>
          <cell r="DV125">
            <v>630.28493359999993</v>
          </cell>
          <cell r="DX125">
            <v>17607.78499487384</v>
          </cell>
          <cell r="DY125">
            <v>9776.1035872759585</v>
          </cell>
          <cell r="DZ125">
            <v>27383.888582149797</v>
          </cell>
        </row>
        <row r="126">
          <cell r="A126" t="str">
            <v>2004E</v>
          </cell>
          <cell r="B126">
            <v>124.41139200000002</v>
          </cell>
          <cell r="C126">
            <v>0</v>
          </cell>
          <cell r="D126">
            <v>124.41139200000002</v>
          </cell>
          <cell r="F126">
            <v>2061.1681206479998</v>
          </cell>
          <cell r="G126">
            <v>2768.1203087999997</v>
          </cell>
          <cell r="H126">
            <v>4829.2884294479991</v>
          </cell>
          <cell r="J126">
            <v>80.740799999999993</v>
          </cell>
          <cell r="K126">
            <v>504.28422232050002</v>
          </cell>
          <cell r="L126">
            <v>585.02502232050006</v>
          </cell>
          <cell r="M126">
            <v>0</v>
          </cell>
          <cell r="N126">
            <v>527.8996800000001</v>
          </cell>
          <cell r="O126">
            <v>527.8996800000001</v>
          </cell>
          <cell r="Q126">
            <v>3</v>
          </cell>
          <cell r="R126">
            <v>52.250000000000007</v>
          </cell>
          <cell r="S126">
            <v>55.250000000000007</v>
          </cell>
          <cell r="U126">
            <v>2269.3203126479998</v>
          </cell>
          <cell r="V126">
            <v>3852.5542111205</v>
          </cell>
          <cell r="W126">
            <v>6121.8745237684998</v>
          </cell>
          <cell r="Y126">
            <v>2249.9159659200004</v>
          </cell>
          <cell r="Z126">
            <v>587.3813107200001</v>
          </cell>
          <cell r="AA126">
            <v>2837.2972766400007</v>
          </cell>
          <cell r="AC126">
            <v>0</v>
          </cell>
          <cell r="AD126">
            <v>0</v>
          </cell>
          <cell r="AE126">
            <v>0</v>
          </cell>
          <cell r="AG126">
            <v>30</v>
          </cell>
          <cell r="AH126">
            <v>220</v>
          </cell>
          <cell r="AI126">
            <v>250</v>
          </cell>
          <cell r="AK126">
            <v>2279.9159659200004</v>
          </cell>
          <cell r="AL126">
            <v>807.3813107200001</v>
          </cell>
          <cell r="AM126">
            <v>3087.2972766400007</v>
          </cell>
          <cell r="AO126" t="str">
            <v>2004E</v>
          </cell>
          <cell r="AP126">
            <v>378.0647136</v>
          </cell>
          <cell r="AQ126">
            <v>580.53383640000004</v>
          </cell>
          <cell r="AR126">
            <v>958.59855000000005</v>
          </cell>
          <cell r="AT126">
            <v>1906.2433603584</v>
          </cell>
          <cell r="AU126">
            <v>426.35258265600004</v>
          </cell>
          <cell r="AV126">
            <v>2332.5959430143998</v>
          </cell>
          <cell r="AX126">
            <v>25.165736208000006</v>
          </cell>
          <cell r="AY126">
            <v>8.7749999999999986</v>
          </cell>
          <cell r="AZ126">
            <v>33.940736208000004</v>
          </cell>
          <cell r="BB126">
            <v>114.51957874999999</v>
          </cell>
          <cell r="BC126">
            <v>438.34690109374998</v>
          </cell>
          <cell r="BD126">
            <v>552.86647984374997</v>
          </cell>
          <cell r="BF126">
            <v>2423.9933889164004</v>
          </cell>
          <cell r="BG126">
            <v>1454.00832014975</v>
          </cell>
          <cell r="BH126">
            <v>3878.0017090661504</v>
          </cell>
          <cell r="BJ126">
            <v>5.4164665624999992</v>
          </cell>
          <cell r="BK126">
            <v>101.56428000000002</v>
          </cell>
          <cell r="BL126">
            <v>106.98074656250003</v>
          </cell>
          <cell r="BN126">
            <v>0</v>
          </cell>
          <cell r="BO126">
            <v>10</v>
          </cell>
          <cell r="BP126">
            <v>10</v>
          </cell>
          <cell r="BR126">
            <v>5.4164665624999992</v>
          </cell>
          <cell r="BS126">
            <v>111.56428000000002</v>
          </cell>
          <cell r="BT126">
            <v>116.98074656250003</v>
          </cell>
          <cell r="BV126" t="str">
            <v>2004E</v>
          </cell>
          <cell r="BW126">
            <v>1287.3576038400001</v>
          </cell>
          <cell r="BX126">
            <v>906.33708000000001</v>
          </cell>
          <cell r="BY126">
            <v>2193.6946838399999</v>
          </cell>
          <cell r="CA126">
            <v>1014.4328303999999</v>
          </cell>
          <cell r="CB126">
            <v>7.9471348000000015</v>
          </cell>
          <cell r="CC126">
            <v>1022.3799651999999</v>
          </cell>
          <cell r="CE126">
            <v>6</v>
          </cell>
          <cell r="CF126">
            <v>0</v>
          </cell>
          <cell r="CG126">
            <v>6</v>
          </cell>
          <cell r="CI126">
            <v>1020.4328303999999</v>
          </cell>
          <cell r="CJ126">
            <v>7.9471348000000015</v>
          </cell>
          <cell r="CK126">
            <v>1028.3799651999998</v>
          </cell>
          <cell r="CM126">
            <v>308.01534060000006</v>
          </cell>
          <cell r="CN126">
            <v>13.11527016</v>
          </cell>
          <cell r="CO126">
            <v>321.13061076000008</v>
          </cell>
          <cell r="CQ126">
            <v>20</v>
          </cell>
          <cell r="CR126">
            <v>25</v>
          </cell>
          <cell r="CS126">
            <v>45</v>
          </cell>
          <cell r="CU126">
            <v>328.01534060000006</v>
          </cell>
          <cell r="CV126">
            <v>38.115270160000001</v>
          </cell>
          <cell r="CW126">
            <v>366.13061076000008</v>
          </cell>
          <cell r="CY126">
            <v>12</v>
          </cell>
          <cell r="CZ126">
            <v>234.325294875</v>
          </cell>
          <cell r="DA126">
            <v>246.325294875</v>
          </cell>
          <cell r="DC126" t="str">
            <v>2004E</v>
          </cell>
          <cell r="DD126">
            <v>3935.0625</v>
          </cell>
          <cell r="DE126">
            <v>800</v>
          </cell>
          <cell r="DF126">
            <v>4735.0625</v>
          </cell>
          <cell r="DH126">
            <v>4446.6454249710896</v>
          </cell>
          <cell r="DI126">
            <v>1111.6613562427726</v>
          </cell>
          <cell r="DJ126">
            <v>5558.3067812138625</v>
          </cell>
          <cell r="DL126">
            <v>18008.15983385799</v>
          </cell>
          <cell r="DM126">
            <v>9323.8942580680214</v>
          </cell>
          <cell r="DN126">
            <v>27332.054091926009</v>
          </cell>
          <cell r="DP126">
            <v>1008.235299456</v>
          </cell>
          <cell r="DQ126">
            <v>810.50140425719997</v>
          </cell>
          <cell r="DR126">
            <v>1818.7367037131999</v>
          </cell>
          <cell r="DT126">
            <v>343.14512599279993</v>
          </cell>
          <cell r="DU126">
            <v>306.04835561520002</v>
          </cell>
          <cell r="DV126">
            <v>649.19348160799996</v>
          </cell>
          <cell r="DX126">
            <v>19359.540259306788</v>
          </cell>
          <cell r="DY126">
            <v>10440.444017940421</v>
          </cell>
          <cell r="DZ126">
            <v>29799.984277247211</v>
          </cell>
        </row>
        <row r="127">
          <cell r="A127" t="str">
            <v>2005E</v>
          </cell>
          <cell r="B127">
            <v>87.087974400000007</v>
          </cell>
          <cell r="C127">
            <v>0</v>
          </cell>
          <cell r="D127">
            <v>87.087974400000007</v>
          </cell>
          <cell r="F127">
            <v>2184.8382078868799</v>
          </cell>
          <cell r="G127">
            <v>2934.2075273279997</v>
          </cell>
          <cell r="H127">
            <v>5119.0457352148796</v>
          </cell>
          <cell r="J127">
            <v>72.666719999999998</v>
          </cell>
          <cell r="K127">
            <v>519.41274899011501</v>
          </cell>
          <cell r="L127">
            <v>592.07946899011495</v>
          </cell>
          <cell r="M127">
            <v>0</v>
          </cell>
          <cell r="N127">
            <v>570.13165440000012</v>
          </cell>
          <cell r="O127">
            <v>570.13165440000012</v>
          </cell>
          <cell r="Q127">
            <v>3</v>
          </cell>
          <cell r="R127">
            <v>52.250000000000007</v>
          </cell>
          <cell r="S127">
            <v>55.250000000000007</v>
          </cell>
          <cell r="U127">
            <v>2347.59290228688</v>
          </cell>
          <cell r="V127">
            <v>4076.0019307181146</v>
          </cell>
          <cell r="W127">
            <v>6423.5948330049941</v>
          </cell>
          <cell r="Y127">
            <v>2362.4117642160004</v>
          </cell>
          <cell r="Z127">
            <v>616.7503762560001</v>
          </cell>
          <cell r="AA127">
            <v>2979.1621404720004</v>
          </cell>
          <cell r="AC127">
            <v>0</v>
          </cell>
          <cell r="AD127">
            <v>0</v>
          </cell>
          <cell r="AE127">
            <v>0</v>
          </cell>
          <cell r="AG127">
            <v>30</v>
          </cell>
          <cell r="AH127">
            <v>220</v>
          </cell>
          <cell r="AI127">
            <v>250</v>
          </cell>
          <cell r="AK127">
            <v>2392.4117642160004</v>
          </cell>
          <cell r="AL127">
            <v>836.7503762560001</v>
          </cell>
          <cell r="AM127">
            <v>3229.1621404720004</v>
          </cell>
          <cell r="AO127" t="str">
            <v>2005E</v>
          </cell>
          <cell r="AP127">
            <v>283.5485352</v>
          </cell>
          <cell r="AQ127">
            <v>580.53383640000004</v>
          </cell>
          <cell r="AR127">
            <v>864.08237159999999</v>
          </cell>
          <cell r="AT127">
            <v>2096.8676963942398</v>
          </cell>
          <cell r="AU127">
            <v>443.40668596224003</v>
          </cell>
          <cell r="AV127">
            <v>2540.2743823564797</v>
          </cell>
          <cell r="AX127">
            <v>25.669050932160005</v>
          </cell>
          <cell r="AY127">
            <v>8.7749999999999986</v>
          </cell>
          <cell r="AZ127">
            <v>34.444050932160003</v>
          </cell>
          <cell r="BB127">
            <v>108.79359981249999</v>
          </cell>
          <cell r="BC127">
            <v>416.4295560390625</v>
          </cell>
          <cell r="BD127">
            <v>525.22315585156252</v>
          </cell>
          <cell r="BF127">
            <v>2514.8788823389</v>
          </cell>
          <cell r="BG127">
            <v>1449.1450784013027</v>
          </cell>
          <cell r="BH127">
            <v>3964.0239607402027</v>
          </cell>
          <cell r="BJ127">
            <v>5.1456432343749992</v>
          </cell>
          <cell r="BK127">
            <v>91.40785200000002</v>
          </cell>
          <cell r="BL127">
            <v>96.553495234375021</v>
          </cell>
          <cell r="BN127">
            <v>0</v>
          </cell>
          <cell r="BO127">
            <v>10</v>
          </cell>
          <cell r="BP127">
            <v>10</v>
          </cell>
          <cell r="BR127">
            <v>5.1456432343749992</v>
          </cell>
          <cell r="BS127">
            <v>101.40785200000002</v>
          </cell>
          <cell r="BT127">
            <v>106.55349523437502</v>
          </cell>
          <cell r="BV127" t="str">
            <v>2005E</v>
          </cell>
          <cell r="BW127">
            <v>1390.3462121472</v>
          </cell>
          <cell r="BX127">
            <v>969.7806756</v>
          </cell>
          <cell r="BY127">
            <v>2360.1268877472003</v>
          </cell>
          <cell r="CA127">
            <v>1095.587456832</v>
          </cell>
          <cell r="CB127">
            <v>8.5829055840000024</v>
          </cell>
          <cell r="CC127">
            <v>1104.170362416</v>
          </cell>
          <cell r="CE127">
            <v>6</v>
          </cell>
          <cell r="CF127">
            <v>0</v>
          </cell>
          <cell r="CG127">
            <v>6</v>
          </cell>
          <cell r="CI127">
            <v>1101.587456832</v>
          </cell>
          <cell r="CJ127">
            <v>8.5829055840000024</v>
          </cell>
          <cell r="CK127">
            <v>1110.170362416</v>
          </cell>
          <cell r="CM127">
            <v>308.01534060000006</v>
          </cell>
          <cell r="CN127">
            <v>13.11527016</v>
          </cell>
          <cell r="CO127">
            <v>321.13061076000008</v>
          </cell>
          <cell r="CQ127">
            <v>20</v>
          </cell>
          <cell r="CR127">
            <v>25</v>
          </cell>
          <cell r="CS127">
            <v>45</v>
          </cell>
          <cell r="CU127">
            <v>328.01534060000006</v>
          </cell>
          <cell r="CV127">
            <v>38.115270160000001</v>
          </cell>
          <cell r="CW127">
            <v>366.13061076000008</v>
          </cell>
          <cell r="CY127">
            <v>12</v>
          </cell>
          <cell r="CZ127">
            <v>246.04155961875</v>
          </cell>
          <cell r="DA127">
            <v>258.04155961875</v>
          </cell>
          <cell r="DC127" t="str">
            <v>2005E</v>
          </cell>
          <cell r="DD127">
            <v>5353.5843750000004</v>
          </cell>
          <cell r="DE127">
            <v>1000</v>
          </cell>
          <cell r="DF127">
            <v>6353.5843750000004</v>
          </cell>
          <cell r="DH127">
            <v>4916.6827267120261</v>
          </cell>
          <cell r="DI127">
            <v>1229.1706816780065</v>
          </cell>
          <cell r="DJ127">
            <v>6145.8534083900322</v>
          </cell>
          <cell r="DL127">
            <v>20362.245303367381</v>
          </cell>
          <cell r="DM127">
            <v>9954.9963300161744</v>
          </cell>
          <cell r="DN127">
            <v>30317.241633383557</v>
          </cell>
          <cell r="DP127">
            <v>1068.72941742336</v>
          </cell>
          <cell r="DQ127">
            <v>834.81644638491593</v>
          </cell>
          <cell r="DR127">
            <v>1903.545863808276</v>
          </cell>
          <cell r="DT127">
            <v>353.43947977258392</v>
          </cell>
          <cell r="DU127">
            <v>315.22980628365605</v>
          </cell>
          <cell r="DV127">
            <v>668.66928605624003</v>
          </cell>
          <cell r="DX127">
            <v>21784.414200563326</v>
          </cell>
          <cell r="DY127">
            <v>11105.042582684746</v>
          </cell>
          <cell r="DZ127">
            <v>32889.456783248068</v>
          </cell>
        </row>
        <row r="129">
          <cell r="A129" t="str">
            <v>Notes:</v>
          </cell>
          <cell r="AO129" t="str">
            <v>Notes:</v>
          </cell>
          <cell r="BV129" t="str">
            <v>Notes:</v>
          </cell>
        </row>
        <row r="130">
          <cell r="A130" t="str">
            <v>(a) Other Cardio includes Minipress/-zide/XL.</v>
          </cell>
          <cell r="AO130" t="str">
            <v>(c) Other Anti-Infectives include Unasyn and Sulperazon.</v>
          </cell>
          <cell r="BV130" t="str">
            <v xml:space="preserve">(d) International sales are in Canada only.  OTC version in Canada included in Consumer Health segment. </v>
          </cell>
        </row>
        <row r="131">
          <cell r="A131" t="str">
            <v>(b) Other CNS include Navane, Sinequan, and Atarax/Vistaril.</v>
          </cell>
          <cell r="BV131" t="str">
            <v>(e) Other Diabetes includes Diabinese.</v>
          </cell>
        </row>
        <row r="132">
          <cell r="A132" t="str">
            <v>(c) Includes revenues from Lipitor, Aricept and Celebrex</v>
          </cell>
        </row>
        <row r="133">
          <cell r="A133" t="str">
            <v xml:space="preserve">E = Morgan Stanley Dean Witter Research Estimates       A = Actual </v>
          </cell>
          <cell r="AO133" t="str">
            <v xml:space="preserve">E = Morgan Stanley Dean Witter Research Estimates       A = Actual </v>
          </cell>
          <cell r="BV133" t="str">
            <v xml:space="preserve">E = Morgan Stanley Dean Witter Research Estimates       A = Actual </v>
          </cell>
          <cell r="DC133" t="str">
            <v xml:space="preserve">E = Morgan Stanley Dean Witter Research Estimates       A = Actual </v>
          </cell>
        </row>
      </sheetData>
      <sheetData sheetId="5" refreshError="1">
        <row r="1">
          <cell r="A1" t="str">
            <v>Table 3</v>
          </cell>
        </row>
        <row r="2">
          <cell r="A2" t="str">
            <v>Pfizer</v>
          </cell>
        </row>
        <row r="3">
          <cell r="A3" t="str">
            <v>Quarterly Income Statement Analysis 1998-2005E</v>
          </cell>
        </row>
        <row r="4">
          <cell r="A4" t="str">
            <v>($ Millions Except EPS)</v>
          </cell>
        </row>
        <row r="5">
          <cell r="C5" t="str">
            <v>Alliance</v>
          </cell>
          <cell r="F5" t="str">
            <v xml:space="preserve">  Gross</v>
          </cell>
          <cell r="I5" t="str">
            <v>Oper.</v>
          </cell>
          <cell r="J5" t="str">
            <v>Non-Operating Items</v>
          </cell>
          <cell r="U5" t="str">
            <v xml:space="preserve">   Avg.</v>
          </cell>
        </row>
        <row r="6">
          <cell r="C6" t="str">
            <v xml:space="preserve">   Rev.</v>
          </cell>
          <cell r="D6" t="str">
            <v xml:space="preserve">   Total</v>
          </cell>
          <cell r="E6" t="str">
            <v xml:space="preserve"> Cost of</v>
          </cell>
          <cell r="F6" t="str">
            <v xml:space="preserve">  Profit</v>
          </cell>
          <cell r="I6" t="str">
            <v>Income</v>
          </cell>
          <cell r="J6" t="str">
            <v>Interest</v>
          </cell>
          <cell r="P6" t="str">
            <v xml:space="preserve">  Pretax</v>
          </cell>
          <cell r="Q6" t="str">
            <v xml:space="preserve">    Tax</v>
          </cell>
          <cell r="S6" t="str">
            <v>Min.</v>
          </cell>
          <cell r="T6" t="str">
            <v xml:space="preserve">   Net  </v>
          </cell>
          <cell r="U6" t="str">
            <v xml:space="preserve">     Shs</v>
          </cell>
          <cell r="V6" t="str">
            <v>Oper</v>
          </cell>
        </row>
        <row r="7">
          <cell r="B7" t="str">
            <v>Sales</v>
          </cell>
          <cell r="C7" t="str">
            <v xml:space="preserve"> (b)</v>
          </cell>
          <cell r="D7" t="str">
            <v xml:space="preserve">   Sales</v>
          </cell>
          <cell r="E7" t="str">
            <v xml:space="preserve">   Goods</v>
          </cell>
          <cell r="F7" t="str">
            <v xml:space="preserve"> (c)  </v>
          </cell>
          <cell r="G7" t="str">
            <v xml:space="preserve">   SG&amp;A</v>
          </cell>
          <cell r="H7" t="str">
            <v xml:space="preserve">    R&amp;D</v>
          </cell>
          <cell r="I7" t="str">
            <v xml:space="preserve">(d)  </v>
          </cell>
          <cell r="J7" t="str">
            <v>Income</v>
          </cell>
          <cell r="K7" t="str">
            <v>Exp.</v>
          </cell>
          <cell r="L7" t="str">
            <v>Amort</v>
          </cell>
          <cell r="M7" t="str">
            <v>FX</v>
          </cell>
          <cell r="N7" t="str">
            <v xml:space="preserve">  Other</v>
          </cell>
          <cell r="O7" t="str">
            <v xml:space="preserve">  Total</v>
          </cell>
          <cell r="P7" t="str">
            <v>Income</v>
          </cell>
          <cell r="Q7" t="str">
            <v xml:space="preserve">   Rate</v>
          </cell>
          <cell r="R7" t="str">
            <v xml:space="preserve">   Taxes</v>
          </cell>
          <cell r="S7" t="str">
            <v>Int.</v>
          </cell>
          <cell r="T7" t="str">
            <v xml:space="preserve"> Income</v>
          </cell>
          <cell r="U7" t="str">
            <v xml:space="preserve"> (Mil.)</v>
          </cell>
          <cell r="V7" t="str">
            <v xml:space="preserve">   EPS</v>
          </cell>
        </row>
        <row r="9">
          <cell r="A9" t="str">
            <v>1989</v>
          </cell>
          <cell r="E9">
            <v>2062.3000000000002</v>
          </cell>
          <cell r="F9">
            <v>3609</v>
          </cell>
          <cell r="G9">
            <v>2109.8000000000002</v>
          </cell>
          <cell r="H9">
            <v>531.20000000000005</v>
          </cell>
          <cell r="I9">
            <v>986.2</v>
          </cell>
          <cell r="J9">
            <v>78.8</v>
          </cell>
          <cell r="K9">
            <v>-130.5</v>
          </cell>
          <cell r="L9">
            <v>-51.7</v>
          </cell>
          <cell r="M9">
            <v>916.5</v>
          </cell>
          <cell r="N9">
            <v>0.25237315875613747</v>
          </cell>
          <cell r="O9">
            <v>231.3</v>
          </cell>
          <cell r="P9">
            <v>4.0999999999999996</v>
          </cell>
          <cell r="Q9">
            <v>681.1</v>
          </cell>
          <cell r="R9">
            <v>678.8</v>
          </cell>
          <cell r="S9">
            <v>1.01</v>
          </cell>
        </row>
        <row r="10">
          <cell r="A10" t="str">
            <v>1990</v>
          </cell>
          <cell r="E10">
            <v>2259.4</v>
          </cell>
          <cell r="F10">
            <v>4146.6000000000004</v>
          </cell>
          <cell r="G10">
            <v>2452.6999999999998</v>
          </cell>
          <cell r="H10">
            <v>640.1</v>
          </cell>
          <cell r="I10">
            <v>1053.8</v>
          </cell>
          <cell r="J10">
            <v>61.2</v>
          </cell>
          <cell r="K10">
            <v>-11.7</v>
          </cell>
          <cell r="L10">
            <v>49.5</v>
          </cell>
          <cell r="M10">
            <v>1103.3</v>
          </cell>
          <cell r="N10">
            <v>0.27000815734614336</v>
          </cell>
          <cell r="O10">
            <v>297.89999999999998</v>
          </cell>
          <cell r="P10">
            <v>4.2</v>
          </cell>
          <cell r="Q10">
            <v>801.2</v>
          </cell>
          <cell r="R10">
            <v>674.8</v>
          </cell>
          <cell r="S10">
            <v>1.19</v>
          </cell>
        </row>
        <row r="11">
          <cell r="A11" t="str">
            <v>1991</v>
          </cell>
          <cell r="E11">
            <v>2200.6</v>
          </cell>
          <cell r="F11">
            <v>4749.7</v>
          </cell>
          <cell r="G11">
            <v>2739.1</v>
          </cell>
          <cell r="H11">
            <v>756.8</v>
          </cell>
          <cell r="I11">
            <v>1253.8</v>
          </cell>
          <cell r="J11">
            <v>63.7</v>
          </cell>
          <cell r="K11">
            <v>-73.5</v>
          </cell>
          <cell r="L11">
            <v>-9.7999999999999936</v>
          </cell>
          <cell r="M11">
            <v>1244</v>
          </cell>
          <cell r="N11">
            <v>0.25998392282958199</v>
          </cell>
          <cell r="O11">
            <v>323.42</v>
          </cell>
          <cell r="P11">
            <v>3.15</v>
          </cell>
          <cell r="Q11">
            <v>917.43</v>
          </cell>
          <cell r="R11">
            <v>676.4</v>
          </cell>
          <cell r="S11">
            <v>1.36</v>
          </cell>
        </row>
        <row r="13">
          <cell r="A13" t="str">
            <v xml:space="preserve">1990/89 </v>
          </cell>
          <cell r="E13">
            <v>9.5572904039179507E-2</v>
          </cell>
          <cell r="F13">
            <v>0.14896093100581889</v>
          </cell>
          <cell r="G13">
            <v>0.16252725376812949</v>
          </cell>
          <cell r="H13">
            <v>0.20500753012048187</v>
          </cell>
          <cell r="I13">
            <v>6.8545933887649471E-2</v>
          </cell>
          <cell r="J13">
            <v>-0.22335025380710655</v>
          </cell>
          <cell r="K13">
            <v>-0.91034482758620683</v>
          </cell>
          <cell r="L13">
            <v>-1.9574468085106382</v>
          </cell>
          <cell r="M13">
            <v>0.20381887615930164</v>
          </cell>
          <cell r="N13" t="str">
            <v xml:space="preserve">--  </v>
          </cell>
          <cell r="O13" t="str">
            <v xml:space="preserve">--  </v>
          </cell>
          <cell r="P13" t="str">
            <v xml:space="preserve">--  </v>
          </cell>
          <cell r="Q13">
            <v>0.17633240346498313</v>
          </cell>
          <cell r="R13">
            <v>-5.8927519151443725E-3</v>
          </cell>
          <cell r="S13">
            <v>0.17821782178217815</v>
          </cell>
        </row>
        <row r="14">
          <cell r="A14" t="str">
            <v>1991/90</v>
          </cell>
          <cell r="E14">
            <v>-2.6024608303089395E-2</v>
          </cell>
          <cell r="F14">
            <v>0.14544446052187321</v>
          </cell>
          <cell r="G14">
            <v>0.11676927467688675</v>
          </cell>
          <cell r="H14">
            <v>0.18231526324011862</v>
          </cell>
          <cell r="I14">
            <v>0.18978933383943825</v>
          </cell>
          <cell r="J14">
            <v>4.084967320261438E-2</v>
          </cell>
          <cell r="K14">
            <v>5.2820512820512819</v>
          </cell>
          <cell r="L14" t="str">
            <v xml:space="preserve">--  </v>
          </cell>
          <cell r="M14">
            <v>0.12752651137496607</v>
          </cell>
          <cell r="N14" t="str">
            <v xml:space="preserve">--  </v>
          </cell>
          <cell r="O14" t="str">
            <v xml:space="preserve">--  </v>
          </cell>
          <cell r="P14" t="str">
            <v xml:space="preserve">--  </v>
          </cell>
          <cell r="Q14">
            <v>0.14506989515726398</v>
          </cell>
          <cell r="R14">
            <v>2.3710729104920313E-3</v>
          </cell>
          <cell r="S14">
            <v>0.14285714285714299</v>
          </cell>
        </row>
        <row r="15">
          <cell r="A15" t="str">
            <v>1992/91</v>
          </cell>
          <cell r="E15">
            <v>-8.0114514223393607E-2</v>
          </cell>
          <cell r="F15">
            <v>0.15289386698107246</v>
          </cell>
          <cell r="G15">
            <v>5.8486364134204764E-2</v>
          </cell>
          <cell r="H15">
            <v>0.14059196617336164</v>
          </cell>
          <cell r="I15">
            <v>0.36656564045302292</v>
          </cell>
          <cell r="J15">
            <v>0.27472527472527469</v>
          </cell>
          <cell r="K15">
            <v>0.364625850340136</v>
          </cell>
          <cell r="L15" t="str">
            <v xml:space="preserve">--  </v>
          </cell>
          <cell r="M15">
            <v>0.36197749196141493</v>
          </cell>
          <cell r="N15" t="str">
            <v xml:space="preserve">--  </v>
          </cell>
          <cell r="O15" t="str">
            <v xml:space="preserve">--  </v>
          </cell>
          <cell r="P15" t="str">
            <v xml:space="preserve">--  </v>
          </cell>
          <cell r="Q15">
            <v>0.36368115278549856</v>
          </cell>
          <cell r="R15">
            <v>-4.4352454169130692E-3</v>
          </cell>
          <cell r="S15">
            <v>0.36836181478241348</v>
          </cell>
        </row>
        <row r="17">
          <cell r="A17" t="str">
            <v>1992 (a)</v>
          </cell>
        </row>
        <row r="18">
          <cell r="A18" t="str">
            <v xml:space="preserve"> 1Q</v>
          </cell>
          <cell r="E18">
            <v>491.2</v>
          </cell>
          <cell r="F18">
            <v>1319.1</v>
          </cell>
          <cell r="G18">
            <v>685.9</v>
          </cell>
          <cell r="H18">
            <v>189.3</v>
          </cell>
          <cell r="I18">
            <v>443.9</v>
          </cell>
          <cell r="J18">
            <v>16</v>
          </cell>
          <cell r="K18">
            <v>-25.7</v>
          </cell>
          <cell r="L18">
            <v>-9.6999999999999993</v>
          </cell>
          <cell r="M18">
            <v>434.2</v>
          </cell>
          <cell r="N18">
            <v>0.26</v>
          </cell>
          <cell r="O18">
            <v>112.89200000000002</v>
          </cell>
          <cell r="P18">
            <v>0.2</v>
          </cell>
          <cell r="Q18">
            <v>321.10800000000012</v>
          </cell>
          <cell r="R18">
            <v>676.8</v>
          </cell>
          <cell r="S18">
            <v>0.47474586288416093</v>
          </cell>
        </row>
        <row r="19">
          <cell r="A19" t="str">
            <v xml:space="preserve"> 2Q </v>
          </cell>
          <cell r="E19">
            <v>494.4</v>
          </cell>
          <cell r="F19">
            <v>1199.8</v>
          </cell>
          <cell r="G19">
            <v>711.4</v>
          </cell>
          <cell r="H19">
            <v>214</v>
          </cell>
          <cell r="I19">
            <v>274.39999999999998</v>
          </cell>
          <cell r="J19">
            <v>20.6</v>
          </cell>
          <cell r="K19">
            <v>-23.3</v>
          </cell>
          <cell r="L19">
            <v>-2.7</v>
          </cell>
          <cell r="M19">
            <v>271.7</v>
          </cell>
          <cell r="N19">
            <v>0.26</v>
          </cell>
          <cell r="O19">
            <v>70.642000000000024</v>
          </cell>
          <cell r="P19">
            <v>0.3</v>
          </cell>
          <cell r="Q19">
            <v>200.75800000000007</v>
          </cell>
          <cell r="R19">
            <v>674</v>
          </cell>
          <cell r="S19">
            <v>0.29815727002967368</v>
          </cell>
        </row>
        <row r="20">
          <cell r="A20" t="str">
            <v xml:space="preserve"> 3Q </v>
          </cell>
          <cell r="E20">
            <v>521.5</v>
          </cell>
          <cell r="F20">
            <v>1306.0999999999999</v>
          </cell>
          <cell r="G20">
            <v>690.3</v>
          </cell>
          <cell r="H20">
            <v>212.8</v>
          </cell>
          <cell r="I20">
            <v>403</v>
          </cell>
          <cell r="J20">
            <v>22.7</v>
          </cell>
          <cell r="K20">
            <v>-23.3</v>
          </cell>
          <cell r="L20">
            <v>-0.60000000000000142</v>
          </cell>
          <cell r="M20">
            <v>402.4</v>
          </cell>
          <cell r="N20">
            <v>0.26</v>
          </cell>
          <cell r="O20">
            <v>104.624</v>
          </cell>
          <cell r="P20">
            <v>0.3</v>
          </cell>
          <cell r="Q20">
            <v>297.47599999999994</v>
          </cell>
          <cell r="R20">
            <v>675.2</v>
          </cell>
          <cell r="S20">
            <v>0.44087085308056861</v>
          </cell>
        </row>
        <row r="21">
          <cell r="A21" t="str">
            <v xml:space="preserve"> 4Q</v>
          </cell>
          <cell r="E21">
            <v>517.20000000000005</v>
          </cell>
          <cell r="F21">
            <v>1650.9</v>
          </cell>
          <cell r="G21">
            <v>811.7</v>
          </cell>
          <cell r="H21">
            <v>247.1</v>
          </cell>
          <cell r="I21">
            <v>592.1</v>
          </cell>
          <cell r="J21">
            <v>21.9</v>
          </cell>
          <cell r="K21">
            <v>-28</v>
          </cell>
          <cell r="L21">
            <v>-6.1</v>
          </cell>
          <cell r="M21">
            <v>586</v>
          </cell>
          <cell r="N21">
            <v>0.26</v>
          </cell>
          <cell r="O21">
            <v>152.36000000000001</v>
          </cell>
          <cell r="P21">
            <v>1.9</v>
          </cell>
          <cell r="Q21">
            <v>431.74</v>
          </cell>
          <cell r="R21">
            <v>667.4</v>
          </cell>
          <cell r="S21">
            <v>0.64719808210967922</v>
          </cell>
        </row>
        <row r="23">
          <cell r="A23" t="str">
            <v>1993</v>
          </cell>
        </row>
        <row r="24">
          <cell r="A24" t="str">
            <v xml:space="preserve"> 1Q (b)</v>
          </cell>
          <cell r="E24">
            <v>423.4</v>
          </cell>
          <cell r="F24">
            <v>1443.9</v>
          </cell>
          <cell r="G24">
            <v>740.7</v>
          </cell>
          <cell r="H24">
            <v>215.4</v>
          </cell>
          <cell r="I24">
            <v>487.8</v>
          </cell>
          <cell r="J24">
            <v>15.1</v>
          </cell>
          <cell r="K24">
            <v>-29.8</v>
          </cell>
          <cell r="L24">
            <v>-14.7</v>
          </cell>
          <cell r="M24">
            <v>473.1</v>
          </cell>
          <cell r="N24">
            <v>0.25998731769181987</v>
          </cell>
          <cell r="O24">
            <v>123</v>
          </cell>
          <cell r="P24">
            <v>0.2</v>
          </cell>
          <cell r="Q24">
            <v>349.9</v>
          </cell>
          <cell r="R24">
            <v>652.79999999999995</v>
          </cell>
          <cell r="S24">
            <v>0.53599877450980404</v>
          </cell>
        </row>
        <row r="25">
          <cell r="A25" t="str">
            <v xml:space="preserve"> 2Q</v>
          </cell>
          <cell r="E25">
            <v>437.1</v>
          </cell>
          <cell r="F25">
            <v>1311.6</v>
          </cell>
          <cell r="G25">
            <v>757.9</v>
          </cell>
          <cell r="H25">
            <v>230.8</v>
          </cell>
          <cell r="I25">
            <v>322.89999999999998</v>
          </cell>
          <cell r="J25">
            <v>15.2</v>
          </cell>
          <cell r="K25">
            <v>-21</v>
          </cell>
          <cell r="L25">
            <v>-5.8</v>
          </cell>
          <cell r="M25">
            <v>317.10000000000002</v>
          </cell>
          <cell r="N25">
            <v>0.26</v>
          </cell>
          <cell r="O25">
            <v>82.445999999999984</v>
          </cell>
          <cell r="P25">
            <v>0.5</v>
          </cell>
          <cell r="Q25">
            <v>234.15399999999994</v>
          </cell>
          <cell r="R25">
            <v>642.79999999999995</v>
          </cell>
          <cell r="S25">
            <v>0.36427193528313623</v>
          </cell>
        </row>
        <row r="26">
          <cell r="A26" t="str">
            <v xml:space="preserve"> 3Q</v>
          </cell>
          <cell r="E26">
            <v>436.4</v>
          </cell>
          <cell r="F26">
            <v>1436.1</v>
          </cell>
          <cell r="G26">
            <v>745.3</v>
          </cell>
          <cell r="H26">
            <v>242.6</v>
          </cell>
          <cell r="I26">
            <v>448.2</v>
          </cell>
          <cell r="J26">
            <v>9.5</v>
          </cell>
          <cell r="K26">
            <v>-36</v>
          </cell>
          <cell r="L26">
            <v>-26.5</v>
          </cell>
          <cell r="M26">
            <v>421.7</v>
          </cell>
          <cell r="N26">
            <v>0.2596632677258715</v>
          </cell>
          <cell r="O26">
            <v>109.5</v>
          </cell>
          <cell r="P26">
            <v>1.4</v>
          </cell>
          <cell r="Q26">
            <v>310.8</v>
          </cell>
          <cell r="R26">
            <v>635</v>
          </cell>
          <cell r="S26">
            <v>0.48944881889763775</v>
          </cell>
        </row>
        <row r="27">
          <cell r="A27" t="str">
            <v xml:space="preserve"> 4Q</v>
          </cell>
          <cell r="E27">
            <v>472.6</v>
          </cell>
          <cell r="F27">
            <v>1514.1</v>
          </cell>
          <cell r="G27">
            <v>822.1</v>
          </cell>
          <cell r="H27">
            <v>285.60000000000002</v>
          </cell>
          <cell r="I27">
            <v>406.4</v>
          </cell>
          <cell r="J27">
            <v>17.2</v>
          </cell>
          <cell r="K27">
            <v>-32.1</v>
          </cell>
          <cell r="L27">
            <v>-14.9</v>
          </cell>
          <cell r="M27">
            <v>391.5</v>
          </cell>
          <cell r="N27">
            <v>0.25977011494252883</v>
          </cell>
          <cell r="O27">
            <v>101.7</v>
          </cell>
          <cell r="P27">
            <v>1</v>
          </cell>
          <cell r="Q27">
            <v>288.8</v>
          </cell>
          <cell r="R27">
            <v>632.4</v>
          </cell>
          <cell r="S27">
            <v>0.46</v>
          </cell>
        </row>
        <row r="29">
          <cell r="A29" t="str">
            <v>1992 (a)</v>
          </cell>
          <cell r="E29">
            <v>2024.3</v>
          </cell>
          <cell r="F29">
            <v>5475.9</v>
          </cell>
          <cell r="G29">
            <v>2899.3</v>
          </cell>
          <cell r="H29">
            <v>863.2</v>
          </cell>
          <cell r="I29">
            <v>1713.4</v>
          </cell>
          <cell r="J29">
            <v>81.2</v>
          </cell>
          <cell r="K29">
            <v>-100.3</v>
          </cell>
          <cell r="L29">
            <v>-19.100000000000001</v>
          </cell>
          <cell r="M29">
            <v>1694.3</v>
          </cell>
          <cell r="N29">
            <v>0.26</v>
          </cell>
          <cell r="O29">
            <v>440.51800000000003</v>
          </cell>
          <cell r="P29">
            <v>2.7</v>
          </cell>
          <cell r="Q29">
            <v>1251.0819999999999</v>
          </cell>
          <cell r="R29">
            <v>673.4</v>
          </cell>
          <cell r="S29">
            <v>1.8609720681040824</v>
          </cell>
        </row>
        <row r="30">
          <cell r="A30" t="str">
            <v>1993</v>
          </cell>
          <cell r="E30">
            <v>1769.5</v>
          </cell>
          <cell r="F30">
            <v>5705.7</v>
          </cell>
          <cell r="G30">
            <v>3066</v>
          </cell>
          <cell r="H30">
            <v>974.4</v>
          </cell>
          <cell r="I30">
            <v>1665.3</v>
          </cell>
          <cell r="J30">
            <v>57</v>
          </cell>
          <cell r="K30">
            <v>-118.9</v>
          </cell>
          <cell r="L30">
            <v>-61.9</v>
          </cell>
          <cell r="M30">
            <v>1603.4</v>
          </cell>
          <cell r="N30">
            <v>0.25985156542347509</v>
          </cell>
          <cell r="O30">
            <v>416.64599999999996</v>
          </cell>
          <cell r="P30">
            <v>3.1</v>
          </cell>
          <cell r="Q30">
            <v>1183.654</v>
          </cell>
          <cell r="R30">
            <v>640.75</v>
          </cell>
          <cell r="S30">
            <v>1.8497195286905781</v>
          </cell>
        </row>
        <row r="31">
          <cell r="A31" t="str">
            <v>1994 (a)</v>
          </cell>
        </row>
        <row r="32">
          <cell r="A32" t="str">
            <v xml:space="preserve"> 1Q</v>
          </cell>
          <cell r="B32">
            <v>1911.1</v>
          </cell>
          <cell r="C32">
            <v>0</v>
          </cell>
          <cell r="D32">
            <v>1911.1</v>
          </cell>
          <cell r="E32">
            <v>383.5</v>
          </cell>
          <cell r="F32">
            <v>1527.6</v>
          </cell>
          <cell r="G32">
            <v>715.8</v>
          </cell>
          <cell r="H32">
            <v>251.5</v>
          </cell>
          <cell r="I32">
            <v>560.29999999999995</v>
          </cell>
          <cell r="J32">
            <v>23</v>
          </cell>
          <cell r="K32">
            <v>-34</v>
          </cell>
          <cell r="L32">
            <v>-3</v>
          </cell>
          <cell r="M32">
            <v>-2</v>
          </cell>
          <cell r="N32">
            <v>-20.100000000000001</v>
          </cell>
          <cell r="O32">
            <v>-36.1</v>
          </cell>
          <cell r="P32">
            <v>524.19999999999993</v>
          </cell>
          <cell r="Q32">
            <v>0.30026707363601685</v>
          </cell>
          <cell r="R32">
            <v>157.4</v>
          </cell>
          <cell r="S32">
            <v>0.3</v>
          </cell>
          <cell r="T32">
            <v>366.49999999999994</v>
          </cell>
          <cell r="U32">
            <v>3762</v>
          </cell>
          <cell r="V32">
            <v>9.7421584263689506E-2</v>
          </cell>
        </row>
        <row r="33">
          <cell r="A33" t="str">
            <v xml:space="preserve"> 2Q</v>
          </cell>
          <cell r="B33">
            <v>1846.2</v>
          </cell>
          <cell r="C33">
            <v>0</v>
          </cell>
          <cell r="D33">
            <v>1846.2</v>
          </cell>
          <cell r="E33">
            <v>415</v>
          </cell>
          <cell r="F33">
            <v>1431.2</v>
          </cell>
          <cell r="G33">
            <v>783.4</v>
          </cell>
          <cell r="H33">
            <v>258.8</v>
          </cell>
          <cell r="I33">
            <v>389.00000000000006</v>
          </cell>
          <cell r="J33">
            <v>28</v>
          </cell>
          <cell r="K33">
            <v>-30</v>
          </cell>
          <cell r="L33">
            <v>-3</v>
          </cell>
          <cell r="M33">
            <v>-4</v>
          </cell>
          <cell r="N33">
            <v>-21.3</v>
          </cell>
          <cell r="O33">
            <v>-30.3</v>
          </cell>
          <cell r="P33">
            <v>358.70000000000005</v>
          </cell>
          <cell r="Q33">
            <v>0.30052969054920542</v>
          </cell>
          <cell r="R33">
            <v>107.8</v>
          </cell>
          <cell r="S33">
            <v>1.7</v>
          </cell>
          <cell r="T33">
            <v>249.20000000000005</v>
          </cell>
          <cell r="U33">
            <v>3691.2000000000003</v>
          </cell>
          <cell r="V33">
            <v>6.7511920242739498E-2</v>
          </cell>
        </row>
        <row r="34">
          <cell r="A34" t="str">
            <v xml:space="preserve"> 3Q</v>
          </cell>
          <cell r="B34">
            <v>2006.7</v>
          </cell>
          <cell r="C34">
            <v>0</v>
          </cell>
          <cell r="D34">
            <v>2006.7</v>
          </cell>
          <cell r="E34">
            <v>430.5</v>
          </cell>
          <cell r="F34">
            <v>1576.2</v>
          </cell>
          <cell r="G34">
            <v>780.2</v>
          </cell>
          <cell r="H34">
            <v>292.7</v>
          </cell>
          <cell r="I34">
            <v>503.3</v>
          </cell>
          <cell r="J34">
            <v>34</v>
          </cell>
          <cell r="K34">
            <v>-32</v>
          </cell>
          <cell r="L34">
            <v>-4</v>
          </cell>
          <cell r="M34">
            <v>1</v>
          </cell>
          <cell r="N34">
            <v>-22.2</v>
          </cell>
          <cell r="O34">
            <v>-23.2</v>
          </cell>
          <cell r="P34">
            <v>480.1</v>
          </cell>
          <cell r="Q34">
            <v>0.29931264319933343</v>
          </cell>
          <cell r="R34">
            <v>143.69999999999999</v>
          </cell>
          <cell r="S34">
            <v>1.4</v>
          </cell>
          <cell r="T34">
            <v>335.00000000000006</v>
          </cell>
          <cell r="U34">
            <v>3719.3999999999996</v>
          </cell>
          <cell r="V34">
            <v>9.00682905845029E-2</v>
          </cell>
        </row>
        <row r="35">
          <cell r="A35" t="str">
            <v xml:space="preserve"> 4Q </v>
          </cell>
          <cell r="B35">
            <v>2213.3000000000002</v>
          </cell>
          <cell r="C35">
            <v>0</v>
          </cell>
          <cell r="D35">
            <v>2213.3000000000002</v>
          </cell>
          <cell r="E35">
            <v>493.2</v>
          </cell>
          <cell r="F35">
            <v>1720.1000000000001</v>
          </cell>
          <cell r="G35">
            <v>904.7</v>
          </cell>
          <cell r="H35">
            <v>323.10000000000002</v>
          </cell>
          <cell r="I35">
            <v>492.30000000000007</v>
          </cell>
          <cell r="J35">
            <v>38</v>
          </cell>
          <cell r="K35">
            <v>-31</v>
          </cell>
          <cell r="L35">
            <v>-4</v>
          </cell>
          <cell r="M35">
            <v>0</v>
          </cell>
          <cell r="N35">
            <v>-27.8</v>
          </cell>
          <cell r="O35">
            <v>-24.8</v>
          </cell>
          <cell r="P35">
            <v>467.50000000000006</v>
          </cell>
          <cell r="Q35">
            <v>0.30010695187165776</v>
          </cell>
          <cell r="R35">
            <v>140.30000000000001</v>
          </cell>
          <cell r="S35">
            <v>1.2</v>
          </cell>
          <cell r="T35">
            <v>326.00000000000006</v>
          </cell>
          <cell r="U35">
            <v>3726</v>
          </cell>
          <cell r="V35">
            <v>8.749329039184113E-2</v>
          </cell>
        </row>
        <row r="37">
          <cell r="A37" t="str">
            <v>1994 (a)</v>
          </cell>
          <cell r="B37">
            <v>7977.3</v>
          </cell>
          <cell r="C37">
            <v>0</v>
          </cell>
          <cell r="D37">
            <v>7977.3</v>
          </cell>
          <cell r="E37">
            <v>1722.2</v>
          </cell>
          <cell r="F37">
            <v>6255.1</v>
          </cell>
          <cell r="G37">
            <v>3184.0999999999995</v>
          </cell>
          <cell r="H37">
            <v>1126.0999999999999</v>
          </cell>
          <cell r="I37">
            <v>1944.9</v>
          </cell>
          <cell r="J37">
            <v>123</v>
          </cell>
          <cell r="K37">
            <v>-127</v>
          </cell>
          <cell r="L37">
            <v>-14</v>
          </cell>
          <cell r="M37">
            <v>-5</v>
          </cell>
          <cell r="N37">
            <v>-91.4</v>
          </cell>
          <cell r="O37">
            <v>-114.4</v>
          </cell>
          <cell r="P37">
            <v>1830.5</v>
          </cell>
          <cell r="Q37">
            <v>0.30002731494127288</v>
          </cell>
          <cell r="R37">
            <v>549.20000000000005</v>
          </cell>
          <cell r="S37">
            <v>4.5999999999999996</v>
          </cell>
          <cell r="T37">
            <v>1276.7</v>
          </cell>
          <cell r="U37">
            <v>3729</v>
          </cell>
          <cell r="V37">
            <v>0.34237060874229019</v>
          </cell>
        </row>
        <row r="39">
          <cell r="A39" t="str">
            <v xml:space="preserve">1995/94 </v>
          </cell>
        </row>
        <row r="40">
          <cell r="A40" t="str">
            <v xml:space="preserve"> 1Q</v>
          </cell>
          <cell r="B40">
            <v>0.22337920569305642</v>
          </cell>
          <cell r="C40" t="str">
            <v>NM</v>
          </cell>
          <cell r="D40">
            <v>0.22337920569305642</v>
          </cell>
          <cell r="E40">
            <v>0.32724902216427643</v>
          </cell>
          <cell r="F40">
            <v>0.19730295888976179</v>
          </cell>
          <cell r="G40">
            <v>0.18608549874266561</v>
          </cell>
          <cell r="H40">
            <v>0.24453280318091453</v>
          </cell>
          <cell r="I40">
            <v>0.19043369623416037</v>
          </cell>
          <cell r="J40">
            <v>1.0869565217391304</v>
          </cell>
          <cell r="K40">
            <v>0.47058823529411764</v>
          </cell>
          <cell r="L40" t="str">
            <v>NM</v>
          </cell>
          <cell r="M40" t="str">
            <v>NM</v>
          </cell>
          <cell r="N40">
            <v>0.49253731343283569</v>
          </cell>
          <cell r="O40">
            <v>8.0332409972299124E-2</v>
          </cell>
          <cell r="P40">
            <v>0.19801602441816116</v>
          </cell>
          <cell r="Q40">
            <v>9.7748848728137702E-2</v>
          </cell>
          <cell r="R40">
            <v>0.315120711562897</v>
          </cell>
          <cell r="S40" t="str">
            <v xml:space="preserve">NM </v>
          </cell>
          <cell r="T40">
            <v>0.14324693042291969</v>
          </cell>
          <cell r="U40">
            <v>-7.0175438596490258E-3</v>
          </cell>
          <cell r="V40">
            <v>0.15132641403014871</v>
          </cell>
        </row>
        <row r="41">
          <cell r="A41" t="str">
            <v xml:space="preserve"> 2Q</v>
          </cell>
          <cell r="B41">
            <v>0.30050915393781819</v>
          </cell>
          <cell r="C41" t="str">
            <v>NM</v>
          </cell>
          <cell r="D41">
            <v>0.30050915393781819</v>
          </cell>
          <cell r="E41">
            <v>0.33012048192771082</v>
          </cell>
          <cell r="F41">
            <v>0.29192286193404132</v>
          </cell>
          <cell r="G41">
            <v>0.23436303293336741</v>
          </cell>
          <cell r="H41">
            <v>0.36785162287480672</v>
          </cell>
          <cell r="I41">
            <v>0.35732647814910007</v>
          </cell>
          <cell r="J41">
            <v>0.35714285714285715</v>
          </cell>
          <cell r="K41">
            <v>0.8666666666666667</v>
          </cell>
          <cell r="L41" t="str">
            <v>NM</v>
          </cell>
          <cell r="M41" t="str">
            <v>NM</v>
          </cell>
          <cell r="N41">
            <v>0.54929577464788726</v>
          </cell>
          <cell r="O41">
            <v>0.98019801980198018</v>
          </cell>
          <cell r="P41">
            <v>0.30471145804293265</v>
          </cell>
          <cell r="Q41">
            <v>0.10204279847137003</v>
          </cell>
          <cell r="R41">
            <v>0.43784786641929502</v>
          </cell>
          <cell r="S41" t="str">
            <v xml:space="preserve">NM </v>
          </cell>
          <cell r="T41">
            <v>0.24799357945425338</v>
          </cell>
          <cell r="U41">
            <v>1.2028608582574795E-2</v>
          </cell>
          <cell r="V41">
            <v>0.23316037597214362</v>
          </cell>
        </row>
        <row r="42">
          <cell r="A42" t="str">
            <v xml:space="preserve"> 3Q</v>
          </cell>
          <cell r="B42">
            <v>0.26476304380325905</v>
          </cell>
          <cell r="C42" t="str">
            <v>NM</v>
          </cell>
          <cell r="D42">
            <v>0.26476304380325905</v>
          </cell>
          <cell r="E42">
            <v>0.24506387921022069</v>
          </cell>
          <cell r="F42">
            <v>0.27014338281943912</v>
          </cell>
          <cell r="G42">
            <v>0.23045372981286844</v>
          </cell>
          <cell r="H42">
            <v>0.19918004783054327</v>
          </cell>
          <cell r="I42">
            <v>0.3729386052056427</v>
          </cell>
          <cell r="J42">
            <v>5.8823529411764705E-2</v>
          </cell>
          <cell r="K42">
            <v>0.4375</v>
          </cell>
          <cell r="L42" t="str">
            <v>NM</v>
          </cell>
          <cell r="M42" t="str">
            <v>NM</v>
          </cell>
          <cell r="N42">
            <v>0.35135135135135137</v>
          </cell>
          <cell r="O42">
            <v>1.8017241379310345</v>
          </cell>
          <cell r="P42">
            <v>0.30389502187044359</v>
          </cell>
          <cell r="Q42">
            <v>9.9430611786625211E-2</v>
          </cell>
          <cell r="R42">
            <v>0.43354210160055684</v>
          </cell>
          <cell r="S42" t="str">
            <v xml:space="preserve">NM </v>
          </cell>
          <cell r="T42">
            <v>0.25074626865671623</v>
          </cell>
          <cell r="U42">
            <v>2.2745604129698439E-2</v>
          </cell>
          <cell r="V42">
            <v>0.22292998728753671</v>
          </cell>
        </row>
        <row r="43">
          <cell r="A43" t="str">
            <v xml:space="preserve"> 4Q</v>
          </cell>
          <cell r="B43">
            <v>0.23977770749559471</v>
          </cell>
          <cell r="C43" t="str">
            <v>NM</v>
          </cell>
          <cell r="D43">
            <v>0.23977770749559471</v>
          </cell>
          <cell r="E43">
            <v>0.1496350364963504</v>
          </cell>
          <cell r="F43">
            <v>0.26562409162257999</v>
          </cell>
          <cell r="G43">
            <v>0.19266055045871552</v>
          </cell>
          <cell r="H43">
            <v>0.31228721757969657</v>
          </cell>
          <cell r="I43">
            <v>0.36908389193581131</v>
          </cell>
          <cell r="J43">
            <v>-5.2631578947368418E-2</v>
          </cell>
          <cell r="K43">
            <v>0.32258064516129031</v>
          </cell>
          <cell r="L43" t="str">
            <v>NM</v>
          </cell>
          <cell r="M43" t="str">
            <v>NM</v>
          </cell>
          <cell r="N43">
            <v>2.0215827338129495</v>
          </cell>
          <cell r="O43">
            <v>2.911290322580645</v>
          </cell>
          <cell r="P43">
            <v>0.23422459893048114</v>
          </cell>
          <cell r="Q43">
            <v>-1.8258720172544318E-2</v>
          </cell>
          <cell r="R43">
            <v>0.21168923734853876</v>
          </cell>
          <cell r="S43" t="str">
            <v xml:space="preserve">NM </v>
          </cell>
          <cell r="T43">
            <v>0.24233128834355808</v>
          </cell>
          <cell r="U43">
            <v>2.6570048309178744E-2</v>
          </cell>
          <cell r="V43">
            <v>0.21017683146878363</v>
          </cell>
        </row>
        <row r="45">
          <cell r="A45" t="str">
            <v xml:space="preserve">1995/94 </v>
          </cell>
          <cell r="B45">
            <v>0.25618943752898848</v>
          </cell>
          <cell r="C45" t="str">
            <v>NM</v>
          </cell>
          <cell r="D45">
            <v>0.25618943752898848</v>
          </cell>
          <cell r="E45">
            <v>0.25653234235280453</v>
          </cell>
          <cell r="F45">
            <v>0.25609502645840987</v>
          </cell>
          <cell r="G45">
            <v>0.21070318143274416</v>
          </cell>
          <cell r="H45">
            <v>0.28052570819643025</v>
          </cell>
          <cell r="I45">
            <v>0.3162630469432875</v>
          </cell>
          <cell r="J45">
            <v>0.28455284552845528</v>
          </cell>
          <cell r="K45">
            <v>0.51968503937007871</v>
          </cell>
          <cell r="L45" t="str">
            <v>NM</v>
          </cell>
          <cell r="M45" t="str">
            <v>NM</v>
          </cell>
          <cell r="N45">
            <v>0.93654266958424492</v>
          </cell>
          <cell r="O45">
            <v>1.2814685314685315</v>
          </cell>
          <cell r="P45">
            <v>0.25594099972685058</v>
          </cell>
          <cell r="Q45">
            <v>6.9933030827868753E-2</v>
          </cell>
          <cell r="R45">
            <v>0.34377276037873261</v>
          </cell>
          <cell r="S45" t="str">
            <v>NM</v>
          </cell>
          <cell r="T45">
            <v>0.21720059528471838</v>
          </cell>
          <cell r="U45">
            <v>1.2872083668543845E-2</v>
          </cell>
          <cell r="V45">
            <v>0.20173180296974166</v>
          </cell>
        </row>
        <row r="47">
          <cell r="A47" t="str">
            <v>1995 (a)</v>
          </cell>
        </row>
        <row r="48">
          <cell r="A48" t="str">
            <v xml:space="preserve"> 1Q</v>
          </cell>
          <cell r="B48">
            <v>2338</v>
          </cell>
          <cell r="C48">
            <v>0</v>
          </cell>
          <cell r="D48">
            <v>2338</v>
          </cell>
          <cell r="E48">
            <v>509</v>
          </cell>
          <cell r="F48">
            <v>1829</v>
          </cell>
          <cell r="G48">
            <v>849</v>
          </cell>
          <cell r="H48">
            <v>313</v>
          </cell>
          <cell r="I48">
            <v>667</v>
          </cell>
          <cell r="J48">
            <v>48</v>
          </cell>
          <cell r="K48">
            <v>-50</v>
          </cell>
          <cell r="L48">
            <v>-9</v>
          </cell>
          <cell r="M48">
            <v>2</v>
          </cell>
          <cell r="N48">
            <v>-30</v>
          </cell>
          <cell r="O48">
            <v>-39</v>
          </cell>
          <cell r="P48">
            <v>628</v>
          </cell>
          <cell r="Q48">
            <v>0.32961783439490444</v>
          </cell>
          <cell r="R48">
            <v>207</v>
          </cell>
          <cell r="S48">
            <v>2</v>
          </cell>
          <cell r="T48">
            <v>419</v>
          </cell>
          <cell r="U48">
            <v>3735.6000000000004</v>
          </cell>
          <cell r="V48">
            <v>0.11216404325944961</v>
          </cell>
        </row>
        <row r="49">
          <cell r="A49" t="str">
            <v xml:space="preserve"> 2Q</v>
          </cell>
          <cell r="B49">
            <v>2401</v>
          </cell>
          <cell r="C49">
            <v>0</v>
          </cell>
          <cell r="D49">
            <v>2401</v>
          </cell>
          <cell r="E49">
            <v>552</v>
          </cell>
          <cell r="F49">
            <v>1849</v>
          </cell>
          <cell r="G49">
            <v>967</v>
          </cell>
          <cell r="H49">
            <v>354</v>
          </cell>
          <cell r="I49">
            <v>528</v>
          </cell>
          <cell r="J49">
            <v>38</v>
          </cell>
          <cell r="K49">
            <v>-56</v>
          </cell>
          <cell r="L49">
            <v>-13</v>
          </cell>
          <cell r="M49">
            <v>4</v>
          </cell>
          <cell r="N49">
            <v>-33</v>
          </cell>
          <cell r="O49">
            <v>-60</v>
          </cell>
          <cell r="P49">
            <v>468</v>
          </cell>
          <cell r="Q49">
            <v>0.33119658119658119</v>
          </cell>
          <cell r="R49">
            <v>155</v>
          </cell>
          <cell r="S49">
            <v>2</v>
          </cell>
          <cell r="T49">
            <v>311</v>
          </cell>
          <cell r="U49">
            <v>3735.6000000000004</v>
          </cell>
          <cell r="V49">
            <v>8.3253024949138013E-2</v>
          </cell>
        </row>
        <row r="50">
          <cell r="A50" t="str">
            <v xml:space="preserve"> 3Q</v>
          </cell>
          <cell r="B50">
            <v>2538</v>
          </cell>
          <cell r="C50">
            <v>0</v>
          </cell>
          <cell r="D50">
            <v>2538</v>
          </cell>
          <cell r="E50">
            <v>536</v>
          </cell>
          <cell r="F50">
            <v>2002</v>
          </cell>
          <cell r="G50">
            <v>960</v>
          </cell>
          <cell r="H50">
            <v>351</v>
          </cell>
          <cell r="I50">
            <v>691</v>
          </cell>
          <cell r="J50">
            <v>36</v>
          </cell>
          <cell r="K50">
            <v>-46</v>
          </cell>
          <cell r="L50">
            <v>-16</v>
          </cell>
          <cell r="M50">
            <v>-9</v>
          </cell>
          <cell r="N50">
            <v>-30</v>
          </cell>
          <cell r="O50">
            <v>-65</v>
          </cell>
          <cell r="P50">
            <v>626</v>
          </cell>
          <cell r="Q50">
            <v>0.32907348242811502</v>
          </cell>
          <cell r="R50">
            <v>206</v>
          </cell>
          <cell r="S50">
            <v>1</v>
          </cell>
          <cell r="T50">
            <v>419</v>
          </cell>
          <cell r="U50">
            <v>3804</v>
          </cell>
          <cell r="V50">
            <v>0.11014721345951629</v>
          </cell>
        </row>
        <row r="51">
          <cell r="A51" t="str">
            <v xml:space="preserve"> 4Q </v>
          </cell>
          <cell r="B51">
            <v>2744</v>
          </cell>
          <cell r="C51">
            <v>0</v>
          </cell>
          <cell r="D51">
            <v>2744</v>
          </cell>
          <cell r="E51">
            <v>567</v>
          </cell>
          <cell r="F51">
            <v>2177</v>
          </cell>
          <cell r="G51">
            <v>1079</v>
          </cell>
          <cell r="H51">
            <v>424</v>
          </cell>
          <cell r="I51">
            <v>674</v>
          </cell>
          <cell r="J51">
            <v>36</v>
          </cell>
          <cell r="K51">
            <v>-41</v>
          </cell>
          <cell r="L51">
            <v>-8</v>
          </cell>
          <cell r="M51">
            <v>0</v>
          </cell>
          <cell r="N51">
            <v>-84</v>
          </cell>
          <cell r="O51">
            <v>-97</v>
          </cell>
          <cell r="P51">
            <v>577</v>
          </cell>
          <cell r="Q51">
            <v>0.29462738301559793</v>
          </cell>
          <cell r="R51">
            <v>170</v>
          </cell>
          <cell r="S51">
            <v>2</v>
          </cell>
          <cell r="T51">
            <v>405</v>
          </cell>
          <cell r="U51">
            <v>3825</v>
          </cell>
          <cell r="V51">
            <v>0.10588235294117647</v>
          </cell>
        </row>
        <row r="53">
          <cell r="A53" t="str">
            <v>1995 (a)</v>
          </cell>
          <cell r="B53">
            <v>10021</v>
          </cell>
          <cell r="C53">
            <v>0</v>
          </cell>
          <cell r="D53">
            <v>10021</v>
          </cell>
          <cell r="E53">
            <v>2164</v>
          </cell>
          <cell r="F53">
            <v>7857</v>
          </cell>
          <cell r="G53">
            <v>3855</v>
          </cell>
          <cell r="H53">
            <v>1442</v>
          </cell>
          <cell r="I53">
            <v>2560</v>
          </cell>
          <cell r="J53">
            <v>158</v>
          </cell>
          <cell r="K53">
            <v>-193</v>
          </cell>
          <cell r="L53">
            <v>-46</v>
          </cell>
          <cell r="M53">
            <v>-3</v>
          </cell>
          <cell r="N53">
            <v>-177</v>
          </cell>
          <cell r="O53">
            <v>-261</v>
          </cell>
          <cell r="P53">
            <v>2299</v>
          </cell>
          <cell r="Q53">
            <v>0.32100913440626361</v>
          </cell>
          <cell r="R53">
            <v>738</v>
          </cell>
          <cell r="S53">
            <v>7</v>
          </cell>
          <cell r="T53">
            <v>1554</v>
          </cell>
          <cell r="U53">
            <v>3777</v>
          </cell>
          <cell r="V53">
            <v>0.41143764892772039</v>
          </cell>
        </row>
        <row r="55">
          <cell r="A55" t="str">
            <v xml:space="preserve">1996/95 </v>
          </cell>
        </row>
        <row r="56">
          <cell r="A56" t="str">
            <v xml:space="preserve"> 1Q</v>
          </cell>
          <cell r="B56">
            <v>0.14713430282292558</v>
          </cell>
          <cell r="C56" t="str">
            <v>NM</v>
          </cell>
          <cell r="D56">
            <v>0.14713430282292558</v>
          </cell>
          <cell r="E56">
            <v>7.8585461689587421E-3</v>
          </cell>
          <cell r="F56">
            <v>0.1858939311098961</v>
          </cell>
          <cell r="G56">
            <v>0.17078916372202591</v>
          </cell>
          <cell r="H56">
            <v>0.16932907348242812</v>
          </cell>
          <cell r="I56">
            <v>0.21289355322338829</v>
          </cell>
          <cell r="J56">
            <v>-0.39583333333333331</v>
          </cell>
          <cell r="K56">
            <v>-0.24</v>
          </cell>
          <cell r="L56">
            <v>0.55555555555555558</v>
          </cell>
          <cell r="M56" t="str">
            <v>NM</v>
          </cell>
          <cell r="N56">
            <v>0</v>
          </cell>
          <cell r="O56">
            <v>0.46153846153846156</v>
          </cell>
          <cell r="P56">
            <v>0.19745222929936307</v>
          </cell>
          <cell r="Q56">
            <v>-6.0001027854866898E-2</v>
          </cell>
          <cell r="R56">
            <v>0.12560386473429952</v>
          </cell>
          <cell r="S56" t="str">
            <v xml:space="preserve">     NM </v>
          </cell>
          <cell r="T56">
            <v>0.23389021479713604</v>
          </cell>
          <cell r="U56">
            <v>2.9071635078702189E-2</v>
          </cell>
          <cell r="V56">
            <v>0.19903238291352721</v>
          </cell>
        </row>
        <row r="57">
          <cell r="A57" t="str">
            <v xml:space="preserve"> 2Q</v>
          </cell>
          <cell r="B57">
            <v>0.10828821324448147</v>
          </cell>
          <cell r="C57" t="str">
            <v>NM</v>
          </cell>
          <cell r="D57">
            <v>0.10828821324448147</v>
          </cell>
          <cell r="E57">
            <v>-5.6159420289855072E-2</v>
          </cell>
          <cell r="F57">
            <v>0.15738236884802595</v>
          </cell>
          <cell r="G57">
            <v>0.11995863495346432</v>
          </cell>
          <cell r="H57">
            <v>0.19209039548022599</v>
          </cell>
          <cell r="I57">
            <v>0.20265151515151514</v>
          </cell>
          <cell r="J57">
            <v>-0.18421052631578946</v>
          </cell>
          <cell r="K57">
            <v>-0.25</v>
          </cell>
          <cell r="L57">
            <v>7.6923076923076927E-2</v>
          </cell>
          <cell r="M57" t="str">
            <v>NM</v>
          </cell>
          <cell r="N57">
            <v>-3.0303030303030304E-2</v>
          </cell>
          <cell r="O57">
            <v>1.6666666666666666E-2</v>
          </cell>
          <cell r="P57">
            <v>0.2264957264957265</v>
          </cell>
          <cell r="Q57">
            <v>-6.3684387995953648E-2</v>
          </cell>
          <cell r="R57">
            <v>0.14838709677419354</v>
          </cell>
          <cell r="S57" t="str">
            <v xml:space="preserve">     NM </v>
          </cell>
          <cell r="T57">
            <v>0.26688102893890675</v>
          </cell>
          <cell r="U57">
            <v>3.2605203983295659E-2</v>
          </cell>
          <cell r="V57">
            <v>0.22687840817757585</v>
          </cell>
        </row>
        <row r="58">
          <cell r="A58" t="str">
            <v xml:space="preserve"> 3Q</v>
          </cell>
          <cell r="B58">
            <v>0.10441292356185973</v>
          </cell>
          <cell r="C58" t="str">
            <v>NM</v>
          </cell>
          <cell r="D58">
            <v>0.10441292356185973</v>
          </cell>
          <cell r="E58">
            <v>-2.6119402985074626E-2</v>
          </cell>
          <cell r="F58">
            <v>0.13936063936063936</v>
          </cell>
          <cell r="G58">
            <v>8.3333333333333329E-2</v>
          </cell>
          <cell r="H58">
            <v>0.15669515669515668</v>
          </cell>
          <cell r="I58">
            <v>0.20839363241678727</v>
          </cell>
          <cell r="J58">
            <v>-8.3333333333333329E-2</v>
          </cell>
          <cell r="K58">
            <v>-0.15217391304347827</v>
          </cell>
          <cell r="L58">
            <v>0.25</v>
          </cell>
          <cell r="M58" t="str">
            <v>NM</v>
          </cell>
          <cell r="N58">
            <v>0.83333333333333337</v>
          </cell>
          <cell r="O58">
            <v>0.32307692307692309</v>
          </cell>
          <cell r="P58">
            <v>0.19648562300319489</v>
          </cell>
          <cell r="Q58">
            <v>-5.8732031057591366E-2</v>
          </cell>
          <cell r="R58">
            <v>0.12621359223300971</v>
          </cell>
          <cell r="S58" t="str">
            <v xml:space="preserve">     NM </v>
          </cell>
          <cell r="T58">
            <v>0.22673031026252982</v>
          </cell>
          <cell r="U58">
            <v>1.7350157728706624E-2</v>
          </cell>
          <cell r="V58">
            <v>0.20580932822704481</v>
          </cell>
        </row>
        <row r="59">
          <cell r="A59" t="str">
            <v xml:space="preserve"> 4Q</v>
          </cell>
          <cell r="B59">
            <v>0.15160349854227406</v>
          </cell>
          <cell r="C59" t="str">
            <v>NM</v>
          </cell>
          <cell r="D59">
            <v>0.15160349854227406</v>
          </cell>
          <cell r="E59">
            <v>9.3474426807760136E-2</v>
          </cell>
          <cell r="F59">
            <v>0.16674322462103813</v>
          </cell>
          <cell r="G59">
            <v>0.15755329008341057</v>
          </cell>
          <cell r="H59">
            <v>0.15566037735849056</v>
          </cell>
          <cell r="I59">
            <v>0.18842729970326411</v>
          </cell>
          <cell r="J59">
            <v>0.16666666666666666</v>
          </cell>
          <cell r="K59">
            <v>0.12195121951219512</v>
          </cell>
          <cell r="L59">
            <v>1.25</v>
          </cell>
          <cell r="M59" t="str">
            <v>NM</v>
          </cell>
          <cell r="N59">
            <v>-0.42857142857142855</v>
          </cell>
          <cell r="O59">
            <v>-0.25773195876288657</v>
          </cell>
          <cell r="P59">
            <v>0.2634315424610052</v>
          </cell>
          <cell r="Q59">
            <v>5.2223029129347155E-2</v>
          </cell>
          <cell r="R59">
            <v>0.32941176470588235</v>
          </cell>
          <cell r="S59" t="str">
            <v xml:space="preserve">     NM </v>
          </cell>
          <cell r="T59">
            <v>0.24444444444444444</v>
          </cell>
          <cell r="U59">
            <v>1.7254901960784313E-2</v>
          </cell>
          <cell r="V59">
            <v>0.22333590336674369</v>
          </cell>
        </row>
        <row r="61">
          <cell r="A61" t="str">
            <v xml:space="preserve">1996/95 </v>
          </cell>
          <cell r="B61">
            <v>0.12823071549745535</v>
          </cell>
          <cell r="C61" t="str">
            <v>NM</v>
          </cell>
          <cell r="D61">
            <v>0.12823071549745535</v>
          </cell>
          <cell r="E61">
            <v>5.5452865064695009E-3</v>
          </cell>
          <cell r="F61">
            <v>0.16202112765686649</v>
          </cell>
          <cell r="G61">
            <v>0.13255512321660182</v>
          </cell>
          <cell r="H61">
            <v>0.16782246879334259</v>
          </cell>
          <cell r="I61">
            <v>0.203125</v>
          </cell>
          <cell r="J61">
            <v>-0.14556962025316456</v>
          </cell>
          <cell r="K61">
            <v>-0.14507772020725387</v>
          </cell>
          <cell r="L61">
            <v>0.43478260869565216</v>
          </cell>
          <cell r="M61" t="str">
            <v>NM</v>
          </cell>
          <cell r="N61">
            <v>-6.7796610169491525E-2</v>
          </cell>
          <cell r="O61">
            <v>5.7471264367816091E-2</v>
          </cell>
          <cell r="P61">
            <v>0.21966072205306655</v>
          </cell>
          <cell r="Q61">
            <v>-3.4562027146662434E-2</v>
          </cell>
          <cell r="R61">
            <v>0.17750677506775067</v>
          </cell>
          <cell r="S61" t="str">
            <v>NM</v>
          </cell>
          <cell r="T61">
            <v>0.2413127413127413</v>
          </cell>
          <cell r="U61">
            <v>2.3034154090548053E-2</v>
          </cell>
          <cell r="V61">
            <v>0.21276183996814779</v>
          </cell>
        </row>
        <row r="63">
          <cell r="A63" t="str">
            <v>1996</v>
          </cell>
        </row>
        <row r="64">
          <cell r="A64" t="str">
            <v xml:space="preserve"> 1Q</v>
          </cell>
          <cell r="B64">
            <v>2682</v>
          </cell>
          <cell r="C64">
            <v>0</v>
          </cell>
          <cell r="D64">
            <v>2682</v>
          </cell>
          <cell r="E64">
            <v>513</v>
          </cell>
          <cell r="F64">
            <v>2169</v>
          </cell>
          <cell r="G64">
            <v>994</v>
          </cell>
          <cell r="H64">
            <v>366</v>
          </cell>
          <cell r="I64">
            <v>809</v>
          </cell>
          <cell r="J64">
            <v>29</v>
          </cell>
          <cell r="K64">
            <v>-38</v>
          </cell>
          <cell r="L64">
            <v>-14</v>
          </cell>
          <cell r="M64">
            <v>-4</v>
          </cell>
          <cell r="N64">
            <v>-30</v>
          </cell>
          <cell r="O64">
            <v>-57</v>
          </cell>
          <cell r="P64">
            <v>752</v>
          </cell>
          <cell r="Q64">
            <v>0.30984042553191488</v>
          </cell>
          <cell r="R64">
            <v>233</v>
          </cell>
          <cell r="S64">
            <v>2</v>
          </cell>
          <cell r="T64">
            <v>517</v>
          </cell>
          <cell r="U64">
            <v>3844.2000000000003</v>
          </cell>
          <cell r="V64">
            <v>0.13448832006659381</v>
          </cell>
        </row>
        <row r="65">
          <cell r="A65" t="str">
            <v xml:space="preserve"> 2Q</v>
          </cell>
          <cell r="B65">
            <v>2661</v>
          </cell>
          <cell r="C65">
            <v>0</v>
          </cell>
          <cell r="D65">
            <v>2661</v>
          </cell>
          <cell r="E65">
            <v>521</v>
          </cell>
          <cell r="F65">
            <v>2140</v>
          </cell>
          <cell r="G65">
            <v>1083</v>
          </cell>
          <cell r="H65">
            <v>422</v>
          </cell>
          <cell r="I65">
            <v>635</v>
          </cell>
          <cell r="J65">
            <v>31</v>
          </cell>
          <cell r="K65">
            <v>-42</v>
          </cell>
          <cell r="L65">
            <v>-14</v>
          </cell>
          <cell r="M65">
            <v>-4</v>
          </cell>
          <cell r="N65">
            <v>-32</v>
          </cell>
          <cell r="O65">
            <v>-61</v>
          </cell>
          <cell r="P65">
            <v>574</v>
          </cell>
          <cell r="Q65">
            <v>0.31010452961672474</v>
          </cell>
          <cell r="R65">
            <v>178</v>
          </cell>
          <cell r="S65">
            <v>2</v>
          </cell>
          <cell r="T65">
            <v>394</v>
          </cell>
          <cell r="U65">
            <v>3857.3999999999996</v>
          </cell>
          <cell r="V65">
            <v>0.10214133872556645</v>
          </cell>
        </row>
        <row r="66">
          <cell r="A66" t="str">
            <v xml:space="preserve"> 3Q</v>
          </cell>
          <cell r="B66">
            <v>2803</v>
          </cell>
          <cell r="C66">
            <v>0</v>
          </cell>
          <cell r="D66">
            <v>2803</v>
          </cell>
          <cell r="E66">
            <v>522</v>
          </cell>
          <cell r="F66">
            <v>2281</v>
          </cell>
          <cell r="G66">
            <v>1040</v>
          </cell>
          <cell r="H66">
            <v>406</v>
          </cell>
          <cell r="I66">
            <v>835</v>
          </cell>
          <cell r="J66">
            <v>33</v>
          </cell>
          <cell r="K66">
            <v>-39</v>
          </cell>
          <cell r="L66">
            <v>-20</v>
          </cell>
          <cell r="M66">
            <v>-5</v>
          </cell>
          <cell r="N66">
            <v>-55</v>
          </cell>
          <cell r="O66">
            <v>-86</v>
          </cell>
          <cell r="P66">
            <v>749</v>
          </cell>
          <cell r="Q66">
            <v>0.30974632843791722</v>
          </cell>
          <cell r="R66">
            <v>232</v>
          </cell>
          <cell r="S66">
            <v>3</v>
          </cell>
          <cell r="T66">
            <v>514</v>
          </cell>
          <cell r="U66">
            <v>3870</v>
          </cell>
          <cell r="V66">
            <v>0.13281653746770025</v>
          </cell>
        </row>
        <row r="67">
          <cell r="A67" t="str">
            <v xml:space="preserve"> 4Q</v>
          </cell>
          <cell r="B67">
            <v>3160</v>
          </cell>
          <cell r="C67">
            <v>0</v>
          </cell>
          <cell r="D67">
            <v>3160</v>
          </cell>
          <cell r="E67">
            <v>620</v>
          </cell>
          <cell r="F67">
            <v>2540</v>
          </cell>
          <cell r="G67">
            <v>1249</v>
          </cell>
          <cell r="H67">
            <v>490</v>
          </cell>
          <cell r="I67">
            <v>801</v>
          </cell>
          <cell r="J67">
            <v>42</v>
          </cell>
          <cell r="K67">
            <v>-46</v>
          </cell>
          <cell r="L67">
            <v>-18</v>
          </cell>
          <cell r="M67">
            <v>-2</v>
          </cell>
          <cell r="N67">
            <v>-48</v>
          </cell>
          <cell r="O67">
            <v>-72</v>
          </cell>
          <cell r="P67">
            <v>729</v>
          </cell>
          <cell r="Q67">
            <v>0.31001371742112482</v>
          </cell>
          <cell r="R67">
            <v>226</v>
          </cell>
          <cell r="S67">
            <v>-1</v>
          </cell>
          <cell r="T67">
            <v>504</v>
          </cell>
          <cell r="U67">
            <v>3891</v>
          </cell>
          <cell r="V67">
            <v>0.12952968388589051</v>
          </cell>
        </row>
        <row r="69">
          <cell r="A69" t="str">
            <v>1996 (a)</v>
          </cell>
          <cell r="B69">
            <v>11306</v>
          </cell>
          <cell r="C69">
            <v>0</v>
          </cell>
          <cell r="D69">
            <v>11306</v>
          </cell>
          <cell r="E69">
            <v>2176</v>
          </cell>
          <cell r="F69">
            <v>9130</v>
          </cell>
          <cell r="G69">
            <v>4366</v>
          </cell>
          <cell r="H69">
            <v>1684</v>
          </cell>
          <cell r="I69">
            <v>3080</v>
          </cell>
          <cell r="J69">
            <v>135</v>
          </cell>
          <cell r="K69">
            <v>-165</v>
          </cell>
          <cell r="L69">
            <v>-66</v>
          </cell>
          <cell r="M69">
            <v>-15</v>
          </cell>
          <cell r="N69">
            <v>-165</v>
          </cell>
          <cell r="O69">
            <v>-276</v>
          </cell>
          <cell r="P69">
            <v>2804</v>
          </cell>
          <cell r="Q69">
            <v>0.30991440798858771</v>
          </cell>
          <cell r="R69">
            <v>869</v>
          </cell>
          <cell r="S69">
            <v>6</v>
          </cell>
          <cell r="T69">
            <v>1929</v>
          </cell>
          <cell r="U69">
            <v>3864</v>
          </cell>
          <cell r="V69">
            <v>0.49897588014575101</v>
          </cell>
        </row>
        <row r="71">
          <cell r="A71" t="str">
            <v xml:space="preserve">1997/96 </v>
          </cell>
        </row>
        <row r="72">
          <cell r="A72" t="str">
            <v xml:space="preserve"> 1Q</v>
          </cell>
          <cell r="B72">
            <v>1.4914243102162564E-3</v>
          </cell>
          <cell r="C72" t="str">
            <v>NM</v>
          </cell>
          <cell r="D72">
            <v>1.1185682326621924E-3</v>
          </cell>
          <cell r="E72">
            <v>-0.15594541910331383</v>
          </cell>
          <cell r="F72">
            <v>3.8727524204702629E-2</v>
          </cell>
          <cell r="G72">
            <v>-9.0543259557344068E-3</v>
          </cell>
          <cell r="H72">
            <v>6.0109289617486336E-2</v>
          </cell>
          <cell r="I72">
            <v>8.6526576019777507E-2</v>
          </cell>
          <cell r="J72">
            <v>0.17241379310344829</v>
          </cell>
          <cell r="K72">
            <v>-2.6315789473684209E-2</v>
          </cell>
          <cell r="L72">
            <v>0.2857142857142857</v>
          </cell>
          <cell r="M72" t="str">
            <v xml:space="preserve">   NM </v>
          </cell>
          <cell r="N72">
            <v>0.16666666666666666</v>
          </cell>
          <cell r="O72">
            <v>8.771929824561403E-2</v>
          </cell>
          <cell r="P72">
            <v>8.6436170212765964E-2</v>
          </cell>
          <cell r="Q72">
            <v>-4.4005862545374225E-2</v>
          </cell>
          <cell r="R72">
            <v>3.8626609442060089E-2</v>
          </cell>
          <cell r="S72" t="str">
            <v xml:space="preserve">   NM </v>
          </cell>
          <cell r="T72">
            <v>0.1102514506769826</v>
          </cell>
          <cell r="U72">
            <v>1.404713594506009E-2</v>
          </cell>
          <cell r="V72">
            <v>9.4871639908792965E-2</v>
          </cell>
        </row>
        <row r="73">
          <cell r="A73" t="str">
            <v xml:space="preserve"> 2Q</v>
          </cell>
          <cell r="B73">
            <v>-6.3509958662157084E-2</v>
          </cell>
          <cell r="C73" t="str">
            <v>NM</v>
          </cell>
          <cell r="D73">
            <v>-4.1337842916196917E-2</v>
          </cell>
          <cell r="E73">
            <v>-0.25335892514395392</v>
          </cell>
          <cell r="F73">
            <v>-1.7289719626168223E-2</v>
          </cell>
          <cell r="G73">
            <v>1.7543859649122806E-2</v>
          </cell>
          <cell r="H73">
            <v>1.8957345971563982E-2</v>
          </cell>
          <cell r="I73">
            <v>-7.874015748031496E-3</v>
          </cell>
          <cell r="J73">
            <v>0.22580645161290322</v>
          </cell>
          <cell r="K73">
            <v>-0.11904761904761904</v>
          </cell>
          <cell r="L73">
            <v>0.14285714285714285</v>
          </cell>
          <cell r="M73" t="str">
            <v xml:space="preserve">   NM </v>
          </cell>
          <cell r="N73">
            <v>6.25E-2</v>
          </cell>
          <cell r="O73">
            <v>-0.14754098360655737</v>
          </cell>
          <cell r="P73">
            <v>6.9686411149825784E-3</v>
          </cell>
          <cell r="Q73">
            <v>-0.15197698378756666</v>
          </cell>
          <cell r="R73">
            <v>-0.14606741573033707</v>
          </cell>
          <cell r="S73" t="str">
            <v xml:space="preserve">   NM </v>
          </cell>
          <cell r="T73">
            <v>7.1065989847715741E-2</v>
          </cell>
          <cell r="U73">
            <v>1.1821434126613876E-2</v>
          </cell>
          <cell r="V73">
            <v>5.8552382587388777E-2</v>
          </cell>
        </row>
        <row r="74">
          <cell r="A74" t="str">
            <v xml:space="preserve"> 3Q</v>
          </cell>
          <cell r="B74">
            <v>-5.3870852657866571E-2</v>
          </cell>
          <cell r="C74" t="str">
            <v>NM</v>
          </cell>
          <cell r="D74">
            <v>-1.9978594363182306E-2</v>
          </cell>
          <cell r="E74">
            <v>-0.18965517241379309</v>
          </cell>
          <cell r="F74">
            <v>-2.2797018851380975E-2</v>
          </cell>
          <cell r="G74">
            <v>1.0576923076923078E-2</v>
          </cell>
          <cell r="H74">
            <v>0.10098522167487685</v>
          </cell>
          <cell r="I74">
            <v>-1.0778443113772455E-2</v>
          </cell>
          <cell r="J74">
            <v>0.18181818181818182</v>
          </cell>
          <cell r="K74">
            <v>0</v>
          </cell>
          <cell r="L74">
            <v>-0.1</v>
          </cell>
          <cell r="M74" t="str">
            <v xml:space="preserve">   NM </v>
          </cell>
          <cell r="N74">
            <v>-0.6</v>
          </cell>
          <cell r="O74">
            <v>-0.39534883720930231</v>
          </cell>
          <cell r="P74">
            <v>3.3377837116154871E-2</v>
          </cell>
          <cell r="Q74">
            <v>-0.19914461373964182</v>
          </cell>
          <cell r="R74">
            <v>-0.17241379310344829</v>
          </cell>
          <cell r="S74" t="str">
            <v xml:space="preserve">   NM </v>
          </cell>
          <cell r="T74">
            <v>0.12645914396887159</v>
          </cell>
          <cell r="U74">
            <v>8.5271317829457363E-3</v>
          </cell>
          <cell r="V74">
            <v>0.11693489294376982</v>
          </cell>
        </row>
        <row r="75">
          <cell r="A75" t="str">
            <v xml:space="preserve"> 4Q</v>
          </cell>
          <cell r="B75">
            <v>-7.9430379746835436E-2</v>
          </cell>
          <cell r="C75" t="str">
            <v>NM</v>
          </cell>
          <cell r="D75">
            <v>-2.7848101265822784E-2</v>
          </cell>
          <cell r="E75">
            <v>-0.1435483870967742</v>
          </cell>
          <cell r="F75">
            <v>-6.3779527559055124E-2</v>
          </cell>
          <cell r="G75">
            <v>1.120896717373899E-2</v>
          </cell>
          <cell r="H75">
            <v>0.10204081632653061</v>
          </cell>
          <cell r="I75">
            <v>-7.8651685393258425E-2</v>
          </cell>
          <cell r="J75">
            <v>7.1428571428571425E-2</v>
          </cell>
          <cell r="K75">
            <v>-0.2608695652173913</v>
          </cell>
          <cell r="L75">
            <v>-0.1111111111111111</v>
          </cell>
          <cell r="M75" t="str">
            <v xml:space="preserve">   NM </v>
          </cell>
          <cell r="N75">
            <v>-0.20833333333333334</v>
          </cell>
          <cell r="O75">
            <v>-0.30555555555555558</v>
          </cell>
          <cell r="P75">
            <v>-5.6241426611796985E-2</v>
          </cell>
          <cell r="Q75">
            <v>-0.12794556493105583</v>
          </cell>
          <cell r="R75">
            <v>-0.17699115044247787</v>
          </cell>
          <cell r="S75" t="str">
            <v xml:space="preserve">   NM </v>
          </cell>
          <cell r="T75">
            <v>-7.9365079365079361E-3</v>
          </cell>
          <cell r="U75">
            <v>4.6260601387818042E-3</v>
          </cell>
          <cell r="V75">
            <v>-1.2504720486301475E-2</v>
          </cell>
        </row>
        <row r="77">
          <cell r="A77" t="str">
            <v>Year</v>
          </cell>
          <cell r="B77">
            <v>-5.0150362639306563E-2</v>
          </cell>
          <cell r="C77" t="str">
            <v>NM</v>
          </cell>
          <cell r="D77">
            <v>-2.2200601450557227E-2</v>
          </cell>
          <cell r="E77">
            <v>-0.18382352941176472</v>
          </cell>
          <cell r="F77">
            <v>-1.8291347207009857E-2</v>
          </cell>
          <cell r="G77">
            <v>8.0164910673385242E-3</v>
          </cell>
          <cell r="H77">
            <v>7.1852731591448935E-2</v>
          </cell>
          <cell r="I77">
            <v>-2.2727272727272726E-3</v>
          </cell>
          <cell r="J77">
            <v>0.15555555555555556</v>
          </cell>
          <cell r="K77">
            <v>-0.10909090909090909</v>
          </cell>
          <cell r="L77">
            <v>3.0303030303030304E-2</v>
          </cell>
          <cell r="M77" t="str">
            <v xml:space="preserve">   NM </v>
          </cell>
          <cell r="N77">
            <v>-0.21818181818181817</v>
          </cell>
          <cell r="O77">
            <v>-0.21739130434782608</v>
          </cell>
          <cell r="P77">
            <v>1.8901569186875893E-2</v>
          </cell>
          <cell r="Q77">
            <v>-0.12810278028285757</v>
          </cell>
          <cell r="R77">
            <v>-0.11162255466052934</v>
          </cell>
          <cell r="S77" t="str">
            <v xml:space="preserve">   NM </v>
          </cell>
          <cell r="T77">
            <v>7.5686884396060139E-2</v>
          </cell>
          <cell r="U77">
            <v>1.1645962732919254E-2</v>
          </cell>
          <cell r="V77">
            <v>6.543583089643977E-2</v>
          </cell>
        </row>
        <row r="79">
          <cell r="A79">
            <v>1997</v>
          </cell>
        </row>
        <row r="80">
          <cell r="A80" t="str">
            <v xml:space="preserve"> 1Q</v>
          </cell>
          <cell r="B80">
            <v>2686</v>
          </cell>
          <cell r="C80">
            <v>-1</v>
          </cell>
          <cell r="D80">
            <v>2685</v>
          </cell>
          <cell r="E80">
            <v>433</v>
          </cell>
          <cell r="F80">
            <v>2253</v>
          </cell>
          <cell r="G80">
            <v>985</v>
          </cell>
          <cell r="H80">
            <v>388</v>
          </cell>
          <cell r="I80">
            <v>879</v>
          </cell>
          <cell r="J80">
            <v>34</v>
          </cell>
          <cell r="K80">
            <v>-37</v>
          </cell>
          <cell r="L80">
            <v>-18</v>
          </cell>
          <cell r="M80">
            <v>-6</v>
          </cell>
          <cell r="N80">
            <v>-35</v>
          </cell>
          <cell r="O80">
            <v>-62</v>
          </cell>
          <cell r="P80">
            <v>817</v>
          </cell>
          <cell r="Q80">
            <v>0.29620563035495717</v>
          </cell>
          <cell r="R80">
            <v>242</v>
          </cell>
          <cell r="S80">
            <v>1</v>
          </cell>
          <cell r="T80">
            <v>574</v>
          </cell>
          <cell r="U80">
            <v>3898.2000000000003</v>
          </cell>
          <cell r="V80">
            <v>0.14724744753989019</v>
          </cell>
        </row>
        <row r="81">
          <cell r="A81" t="str">
            <v xml:space="preserve"> 2Q</v>
          </cell>
          <cell r="B81">
            <v>2492</v>
          </cell>
          <cell r="C81">
            <v>59</v>
          </cell>
          <cell r="D81">
            <v>2551</v>
          </cell>
          <cell r="E81">
            <v>389</v>
          </cell>
          <cell r="F81">
            <v>2103</v>
          </cell>
          <cell r="G81">
            <v>1102</v>
          </cell>
          <cell r="H81">
            <v>430</v>
          </cell>
          <cell r="I81">
            <v>630</v>
          </cell>
          <cell r="J81">
            <v>38</v>
          </cell>
          <cell r="K81">
            <v>-37</v>
          </cell>
          <cell r="L81">
            <v>-16</v>
          </cell>
          <cell r="M81">
            <v>-3</v>
          </cell>
          <cell r="N81">
            <v>-34</v>
          </cell>
          <cell r="O81">
            <v>-52</v>
          </cell>
          <cell r="P81">
            <v>578</v>
          </cell>
          <cell r="Q81">
            <v>0.26297577854671278</v>
          </cell>
          <cell r="R81">
            <v>152</v>
          </cell>
          <cell r="S81">
            <v>4</v>
          </cell>
          <cell r="T81">
            <v>422</v>
          </cell>
          <cell r="U81">
            <v>3903</v>
          </cell>
          <cell r="V81">
            <v>0.10812195746861389</v>
          </cell>
        </row>
        <row r="82">
          <cell r="A82" t="str">
            <v xml:space="preserve"> 3Q</v>
          </cell>
          <cell r="B82">
            <v>2652</v>
          </cell>
          <cell r="C82">
            <v>95</v>
          </cell>
          <cell r="D82">
            <v>2747</v>
          </cell>
          <cell r="E82">
            <v>423</v>
          </cell>
          <cell r="F82">
            <v>2229</v>
          </cell>
          <cell r="G82">
            <v>1051</v>
          </cell>
          <cell r="H82">
            <v>447</v>
          </cell>
          <cell r="I82">
            <v>826</v>
          </cell>
          <cell r="J82">
            <v>39</v>
          </cell>
          <cell r="K82">
            <v>-39</v>
          </cell>
          <cell r="L82">
            <v>-18</v>
          </cell>
          <cell r="M82">
            <v>-12</v>
          </cell>
          <cell r="N82">
            <v>-22</v>
          </cell>
          <cell r="O82">
            <v>-52</v>
          </cell>
          <cell r="P82">
            <v>774</v>
          </cell>
          <cell r="Q82">
            <v>0.24806201550387597</v>
          </cell>
          <cell r="R82">
            <v>192</v>
          </cell>
          <cell r="S82">
            <v>3</v>
          </cell>
          <cell r="T82">
            <v>579</v>
          </cell>
          <cell r="U82">
            <v>3903</v>
          </cell>
          <cell r="V82">
            <v>0.14834742505764797</v>
          </cell>
        </row>
        <row r="83">
          <cell r="A83" t="str">
            <v xml:space="preserve"> 4Q</v>
          </cell>
          <cell r="B83">
            <v>2909</v>
          </cell>
          <cell r="C83">
            <v>163</v>
          </cell>
          <cell r="D83">
            <v>3072</v>
          </cell>
          <cell r="E83">
            <v>531</v>
          </cell>
          <cell r="F83">
            <v>2378</v>
          </cell>
          <cell r="G83">
            <v>1263</v>
          </cell>
          <cell r="H83">
            <v>540</v>
          </cell>
          <cell r="I83">
            <v>738</v>
          </cell>
          <cell r="J83">
            <v>45</v>
          </cell>
          <cell r="K83">
            <v>-34</v>
          </cell>
          <cell r="L83">
            <v>-16</v>
          </cell>
          <cell r="M83">
            <v>-7</v>
          </cell>
          <cell r="N83">
            <v>-38</v>
          </cell>
          <cell r="O83">
            <v>-50</v>
          </cell>
          <cell r="P83">
            <v>688</v>
          </cell>
          <cell r="Q83">
            <v>0.27034883720930231</v>
          </cell>
          <cell r="R83">
            <v>186</v>
          </cell>
          <cell r="S83">
            <v>2</v>
          </cell>
          <cell r="T83">
            <v>500</v>
          </cell>
          <cell r="U83">
            <v>3909</v>
          </cell>
          <cell r="V83">
            <v>0.12790995139421846</v>
          </cell>
        </row>
        <row r="85">
          <cell r="A85" t="str">
            <v>Year</v>
          </cell>
          <cell r="B85">
            <v>10739</v>
          </cell>
          <cell r="C85">
            <v>316</v>
          </cell>
          <cell r="D85">
            <v>11055</v>
          </cell>
          <cell r="E85">
            <v>1776</v>
          </cell>
          <cell r="F85">
            <v>8963</v>
          </cell>
          <cell r="G85">
            <v>4401</v>
          </cell>
          <cell r="H85">
            <v>1805</v>
          </cell>
          <cell r="I85">
            <v>3073</v>
          </cell>
          <cell r="J85">
            <v>156</v>
          </cell>
          <cell r="K85">
            <v>-147</v>
          </cell>
          <cell r="L85">
            <v>-68</v>
          </cell>
          <cell r="M85">
            <v>-28</v>
          </cell>
          <cell r="N85">
            <v>-129</v>
          </cell>
          <cell r="O85">
            <v>-216</v>
          </cell>
          <cell r="P85">
            <v>2857</v>
          </cell>
          <cell r="Q85">
            <v>0.27021351067553379</v>
          </cell>
          <cell r="R85">
            <v>772</v>
          </cell>
          <cell r="S85">
            <v>10</v>
          </cell>
          <cell r="T85">
            <v>2075</v>
          </cell>
          <cell r="U85">
            <v>3909</v>
          </cell>
          <cell r="V85">
            <v>0.53162678146037057</v>
          </cell>
        </row>
        <row r="87">
          <cell r="A87" t="str">
            <v xml:space="preserve">1998/97 </v>
          </cell>
        </row>
        <row r="88">
          <cell r="A88" t="str">
            <v xml:space="preserve"> 1Q</v>
          </cell>
          <cell r="B88">
            <v>7.4460163812360383E-2</v>
          </cell>
          <cell r="C88" t="str">
            <v>NM</v>
          </cell>
          <cell r="D88">
            <v>0.13072625698324022</v>
          </cell>
          <cell r="E88">
            <v>-1.1547344110854504E-2</v>
          </cell>
          <cell r="F88">
            <v>9.0989791389258765E-2</v>
          </cell>
          <cell r="G88">
            <v>0.21725888324873097</v>
          </cell>
          <cell r="H88">
            <v>0.23969072164948454</v>
          </cell>
          <cell r="I88">
            <v>5.5745164960182024E-2</v>
          </cell>
          <cell r="J88">
            <v>5.8823529411764705E-2</v>
          </cell>
          <cell r="K88">
            <v>-0.27027027027027029</v>
          </cell>
          <cell r="L88">
            <v>-0.33333333333333331</v>
          </cell>
          <cell r="M88" t="str">
            <v xml:space="preserve">   NM </v>
          </cell>
          <cell r="N88" t="str">
            <v xml:space="preserve">   NM </v>
          </cell>
          <cell r="O88" t="str">
            <v xml:space="preserve">   NM </v>
          </cell>
          <cell r="P88">
            <v>9.7919216646266835E-2</v>
          </cell>
          <cell r="Q88">
            <v>-4.0258160811520609E-2</v>
          </cell>
          <cell r="R88">
            <v>5.3719008264462811E-2</v>
          </cell>
          <cell r="S88" t="str">
            <v xml:space="preserve">   NM </v>
          </cell>
          <cell r="T88">
            <v>0.11672473867595819</v>
          </cell>
          <cell r="U88">
            <v>1.1928582422656609E-2</v>
          </cell>
          <cell r="V88">
            <v>0.10356082244698472</v>
          </cell>
        </row>
        <row r="89">
          <cell r="A89" t="str">
            <v xml:space="preserve"> 2Q</v>
          </cell>
          <cell r="B89">
            <v>0.24959871589085073</v>
          </cell>
          <cell r="C89" t="str">
            <v>NM</v>
          </cell>
          <cell r="D89">
            <v>0.29831438651509212</v>
          </cell>
          <cell r="E89">
            <v>0.21593830334190231</v>
          </cell>
          <cell r="F89">
            <v>0.25582501188777934</v>
          </cell>
          <cell r="G89">
            <v>0.24047186932849365</v>
          </cell>
          <cell r="H89">
            <v>0.27906976744186046</v>
          </cell>
          <cell r="I89">
            <v>0.46349206349206351</v>
          </cell>
          <cell r="J89">
            <v>5.2631578947368418E-2</v>
          </cell>
          <cell r="K89">
            <v>-8.1081081081081086E-2</v>
          </cell>
          <cell r="L89">
            <v>-0.25</v>
          </cell>
          <cell r="M89" t="str">
            <v xml:space="preserve">   NM </v>
          </cell>
          <cell r="N89" t="str">
            <v xml:space="preserve">   NM </v>
          </cell>
          <cell r="O89" t="str">
            <v xml:space="preserve">   NM </v>
          </cell>
          <cell r="P89">
            <v>0.5017301038062284</v>
          </cell>
          <cell r="Q89">
            <v>0.13465619694397299</v>
          </cell>
          <cell r="R89">
            <v>0.70394736842105265</v>
          </cell>
          <cell r="S89" t="str">
            <v xml:space="preserve">   NM </v>
          </cell>
          <cell r="T89">
            <v>0.44075829383886256</v>
          </cell>
          <cell r="U89">
            <v>1.2605687932359793E-2</v>
          </cell>
          <cell r="V89">
            <v>0.42282263571000461</v>
          </cell>
        </row>
        <row r="90">
          <cell r="A90" t="str">
            <v xml:space="preserve"> 3Q</v>
          </cell>
          <cell r="B90">
            <v>0.1726998491704374</v>
          </cell>
          <cell r="C90" t="str">
            <v>NM</v>
          </cell>
          <cell r="D90">
            <v>0.21223152530032763</v>
          </cell>
          <cell r="E90">
            <v>0.12056737588652482</v>
          </cell>
          <cell r="F90">
            <v>0.18259309107222971</v>
          </cell>
          <cell r="G90">
            <v>0.25880114176974311</v>
          </cell>
          <cell r="H90">
            <v>0.23042505592841164</v>
          </cell>
          <cell r="I90">
            <v>0.19007263922518161</v>
          </cell>
          <cell r="J90">
            <v>7.6923076923076927E-2</v>
          </cell>
          <cell r="K90">
            <v>-0.10256410256410256</v>
          </cell>
          <cell r="L90">
            <v>-0.33333333333333331</v>
          </cell>
          <cell r="M90" t="str">
            <v xml:space="preserve">   NM </v>
          </cell>
          <cell r="N90" t="str">
            <v xml:space="preserve">   NM </v>
          </cell>
          <cell r="O90" t="str">
            <v xml:space="preserve">   NM </v>
          </cell>
          <cell r="P90">
            <v>0.18604651162790697</v>
          </cell>
          <cell r="Q90">
            <v>0.18566176470588241</v>
          </cell>
          <cell r="R90">
            <v>0.40625</v>
          </cell>
          <cell r="S90" t="str">
            <v xml:space="preserve">   NM </v>
          </cell>
          <cell r="T90">
            <v>0.11744386873920552</v>
          </cell>
          <cell r="U90">
            <v>1.1324622085575269E-2</v>
          </cell>
          <cell r="V90">
            <v>0.10493094337482727</v>
          </cell>
        </row>
        <row r="91">
          <cell r="A91" t="str">
            <v xml:space="preserve"> 4Q</v>
          </cell>
          <cell r="B91">
            <v>0.22619456858026812</v>
          </cell>
          <cell r="C91" t="str">
            <v>NM</v>
          </cell>
          <cell r="D91">
            <v>0.25846354166666669</v>
          </cell>
          <cell r="E91">
            <v>0.14500941619585686</v>
          </cell>
          <cell r="F91">
            <v>0.24432296047098401</v>
          </cell>
          <cell r="G91">
            <v>0.30562153602533648</v>
          </cell>
          <cell r="H91">
            <v>0.27962962962962962</v>
          </cell>
          <cell r="I91">
            <v>0.24390243902439024</v>
          </cell>
          <cell r="J91">
            <v>0.22222222222222221</v>
          </cell>
          <cell r="K91">
            <v>2.9411764705882353E-2</v>
          </cell>
          <cell r="L91">
            <v>-0.25</v>
          </cell>
          <cell r="M91" t="str">
            <v xml:space="preserve">   NM </v>
          </cell>
          <cell r="N91" t="str">
            <v xml:space="preserve">   NM </v>
          </cell>
          <cell r="O91" t="str">
            <v xml:space="preserve">   NM </v>
          </cell>
          <cell r="P91">
            <v>0.37645348837209303</v>
          </cell>
          <cell r="Q91">
            <v>-7.4292332322785051E-2</v>
          </cell>
          <cell r="R91">
            <v>0.27419354838709675</v>
          </cell>
          <cell r="S91" t="str">
            <v xml:space="preserve">   NM </v>
          </cell>
          <cell r="T91">
            <v>0.42199999999999999</v>
          </cell>
          <cell r="U91">
            <v>9.2862624712201913E-3</v>
          </cell>
          <cell r="V91">
            <v>0.40891643221047852</v>
          </cell>
        </row>
        <row r="93">
          <cell r="A93" t="str">
            <v>Year</v>
          </cell>
          <cell r="B93">
            <v>0.18046373032870844</v>
          </cell>
          <cell r="C93" t="str">
            <v>NM</v>
          </cell>
          <cell r="D93">
            <v>0.22514699231117141</v>
          </cell>
          <cell r="E93">
            <v>0.11655405405405406</v>
          </cell>
          <cell r="F93">
            <v>0.19312730112685486</v>
          </cell>
          <cell r="G93">
            <v>0.25835037491479207</v>
          </cell>
          <cell r="H93">
            <v>0.25872576177285317</v>
          </cell>
          <cell r="I93">
            <v>0.22063130491376506</v>
          </cell>
          <cell r="J93">
            <v>0.10897435897435898</v>
          </cell>
          <cell r="K93">
            <v>-0.10884353741496598</v>
          </cell>
          <cell r="L93">
            <v>-0.29411764705882354</v>
          </cell>
          <cell r="M93" t="str">
            <v xml:space="preserve">   NM </v>
          </cell>
          <cell r="N93" t="str">
            <v xml:space="preserve">   NM </v>
          </cell>
          <cell r="O93" t="str">
            <v xml:space="preserve">   NM </v>
          </cell>
          <cell r="P93">
            <v>0.27056352817640883</v>
          </cell>
          <cell r="Q93">
            <v>4.0907306698639678E-2</v>
          </cell>
          <cell r="R93">
            <v>0.32253886010362692</v>
          </cell>
          <cell r="S93" t="str">
            <v xml:space="preserve">   NM </v>
          </cell>
          <cell r="T93">
            <v>0.25638554216867471</v>
          </cell>
          <cell r="U93">
            <v>9.8106932719365329E-3</v>
          </cell>
          <cell r="V93">
            <v>0.24234331024183653</v>
          </cell>
        </row>
        <row r="95">
          <cell r="A95">
            <v>1998</v>
          </cell>
        </row>
        <row r="96">
          <cell r="A96" t="str">
            <v xml:space="preserve"> 1Q</v>
          </cell>
          <cell r="B96">
            <v>2886</v>
          </cell>
          <cell r="C96">
            <v>150</v>
          </cell>
          <cell r="D96">
            <v>3036</v>
          </cell>
          <cell r="E96">
            <v>428</v>
          </cell>
          <cell r="F96">
            <v>2458</v>
          </cell>
          <cell r="G96">
            <v>1199</v>
          </cell>
          <cell r="H96">
            <v>481</v>
          </cell>
          <cell r="I96">
            <v>928</v>
          </cell>
          <cell r="J96">
            <v>36</v>
          </cell>
          <cell r="K96">
            <v>-27</v>
          </cell>
          <cell r="L96">
            <v>-12</v>
          </cell>
          <cell r="M96">
            <v>5</v>
          </cell>
          <cell r="N96">
            <v>-33</v>
          </cell>
          <cell r="O96">
            <v>-31</v>
          </cell>
          <cell r="P96">
            <v>897</v>
          </cell>
          <cell r="Q96">
            <v>0.28428093645484948</v>
          </cell>
          <cell r="R96">
            <v>255</v>
          </cell>
          <cell r="S96">
            <v>1</v>
          </cell>
          <cell r="T96">
            <v>641</v>
          </cell>
          <cell r="U96">
            <v>3944.7000000000003</v>
          </cell>
          <cell r="V96">
            <v>0.16249651431034046</v>
          </cell>
        </row>
        <row r="97">
          <cell r="A97" t="str">
            <v xml:space="preserve"> 2Q</v>
          </cell>
          <cell r="B97">
            <v>3114</v>
          </cell>
          <cell r="C97">
            <v>198</v>
          </cell>
          <cell r="D97">
            <v>3312</v>
          </cell>
          <cell r="E97">
            <v>473</v>
          </cell>
          <cell r="F97">
            <v>2641</v>
          </cell>
          <cell r="G97">
            <v>1367</v>
          </cell>
          <cell r="H97">
            <v>550</v>
          </cell>
          <cell r="I97">
            <v>922</v>
          </cell>
          <cell r="J97">
            <v>40</v>
          </cell>
          <cell r="K97">
            <v>-34</v>
          </cell>
          <cell r="L97">
            <v>-12</v>
          </cell>
          <cell r="M97">
            <v>-4</v>
          </cell>
          <cell r="N97">
            <v>-44</v>
          </cell>
          <cell r="O97">
            <v>-54</v>
          </cell>
          <cell r="P97">
            <v>868</v>
          </cell>
          <cell r="Q97">
            <v>0.29838709677419356</v>
          </cell>
          <cell r="R97">
            <v>259</v>
          </cell>
          <cell r="S97">
            <v>1</v>
          </cell>
          <cell r="T97">
            <v>608</v>
          </cell>
          <cell r="U97">
            <v>3952.2000000000003</v>
          </cell>
          <cell r="V97">
            <v>0.15383836850361823</v>
          </cell>
        </row>
        <row r="98">
          <cell r="A98" t="str">
            <v xml:space="preserve"> 3Q</v>
          </cell>
          <cell r="B98">
            <v>3110</v>
          </cell>
          <cell r="C98">
            <v>220</v>
          </cell>
          <cell r="D98">
            <v>3330</v>
          </cell>
          <cell r="E98">
            <v>474</v>
          </cell>
          <cell r="F98">
            <v>2636</v>
          </cell>
          <cell r="G98">
            <v>1323</v>
          </cell>
          <cell r="H98">
            <v>550</v>
          </cell>
          <cell r="I98">
            <v>983</v>
          </cell>
          <cell r="J98">
            <v>42</v>
          </cell>
          <cell r="K98">
            <v>-35</v>
          </cell>
          <cell r="L98">
            <v>-12</v>
          </cell>
          <cell r="M98">
            <v>-10</v>
          </cell>
          <cell r="N98">
            <v>-50</v>
          </cell>
          <cell r="O98">
            <v>-65</v>
          </cell>
          <cell r="P98">
            <v>918</v>
          </cell>
          <cell r="Q98">
            <v>0.29411764705882354</v>
          </cell>
          <cell r="R98">
            <v>270</v>
          </cell>
          <cell r="S98">
            <v>1</v>
          </cell>
          <cell r="T98">
            <v>647</v>
          </cell>
          <cell r="U98">
            <v>3947.2000000000003</v>
          </cell>
          <cell r="V98">
            <v>0.16391366031617347</v>
          </cell>
        </row>
        <row r="99">
          <cell r="A99" t="str">
            <v xml:space="preserve"> 4Q</v>
          </cell>
          <cell r="B99">
            <v>3567</v>
          </cell>
          <cell r="C99">
            <v>299</v>
          </cell>
          <cell r="D99">
            <v>3866</v>
          </cell>
          <cell r="E99">
            <v>608</v>
          </cell>
          <cell r="F99">
            <v>2959</v>
          </cell>
          <cell r="G99">
            <v>1649</v>
          </cell>
          <cell r="H99">
            <v>691</v>
          </cell>
          <cell r="I99">
            <v>918</v>
          </cell>
          <cell r="J99">
            <v>55</v>
          </cell>
          <cell r="K99">
            <v>-35</v>
          </cell>
          <cell r="L99">
            <v>-12</v>
          </cell>
          <cell r="M99">
            <v>10</v>
          </cell>
          <cell r="N99">
            <v>11</v>
          </cell>
          <cell r="O99">
            <v>29</v>
          </cell>
          <cell r="P99">
            <v>947</v>
          </cell>
          <cell r="Q99">
            <v>0.2502639915522703</v>
          </cell>
          <cell r="R99">
            <v>237</v>
          </cell>
          <cell r="S99">
            <v>-1</v>
          </cell>
          <cell r="T99">
            <v>711</v>
          </cell>
          <cell r="U99">
            <v>3945.2999999999997</v>
          </cell>
          <cell r="V99">
            <v>0.18021443236255799</v>
          </cell>
        </row>
        <row r="101">
          <cell r="A101" t="str">
            <v>Year</v>
          </cell>
          <cell r="B101">
            <v>12677</v>
          </cell>
          <cell r="C101">
            <v>867</v>
          </cell>
          <cell r="D101">
            <v>13544</v>
          </cell>
          <cell r="E101">
            <v>1983</v>
          </cell>
          <cell r="F101">
            <v>10694</v>
          </cell>
          <cell r="G101">
            <v>5538</v>
          </cell>
          <cell r="H101">
            <v>2272</v>
          </cell>
          <cell r="I101">
            <v>3751</v>
          </cell>
          <cell r="J101">
            <v>173</v>
          </cell>
          <cell r="K101">
            <v>-131</v>
          </cell>
          <cell r="L101">
            <v>-48</v>
          </cell>
          <cell r="M101">
            <v>1</v>
          </cell>
          <cell r="N101">
            <v>-116</v>
          </cell>
          <cell r="O101">
            <v>-121</v>
          </cell>
          <cell r="P101">
            <v>3630</v>
          </cell>
          <cell r="Q101">
            <v>0.28126721763085399</v>
          </cell>
          <cell r="R101">
            <v>1021</v>
          </cell>
          <cell r="S101">
            <v>2</v>
          </cell>
          <cell r="T101">
            <v>2607</v>
          </cell>
          <cell r="U101">
            <v>3947.35</v>
          </cell>
          <cell r="V101">
            <v>0.66046297549269017</v>
          </cell>
        </row>
        <row r="103">
          <cell r="A103" t="str">
            <v xml:space="preserve">1999/98 </v>
          </cell>
        </row>
        <row r="104">
          <cell r="A104" t="str">
            <v xml:space="preserve"> 1Q</v>
          </cell>
          <cell r="B104">
            <v>0.22106722106722107</v>
          </cell>
          <cell r="C104">
            <v>1.6866666666666668</v>
          </cell>
          <cell r="D104">
            <v>0.29347826086956524</v>
          </cell>
          <cell r="E104">
            <v>0.27570093457943923</v>
          </cell>
          <cell r="F104">
            <v>0.21155410903173311</v>
          </cell>
          <cell r="G104">
            <v>0.30942452043369473</v>
          </cell>
          <cell r="H104">
            <v>0.36174636174636177</v>
          </cell>
          <cell r="I104">
            <v>0.24568965517241378</v>
          </cell>
          <cell r="J104">
            <v>0.83333333333333337</v>
          </cell>
          <cell r="K104">
            <v>0.51851851851851849</v>
          </cell>
          <cell r="L104">
            <v>-8.3333333333333329E-2</v>
          </cell>
          <cell r="M104" t="str">
            <v xml:space="preserve">   NM </v>
          </cell>
          <cell r="N104" t="str">
            <v xml:space="preserve">   NM </v>
          </cell>
          <cell r="O104" t="str">
            <v xml:space="preserve">   NM </v>
          </cell>
          <cell r="P104">
            <v>0.28316610925306579</v>
          </cell>
          <cell r="Q104">
            <v>1.770327592374929E-2</v>
          </cell>
          <cell r="R104">
            <v>0.30588235294117649</v>
          </cell>
          <cell r="S104" t="str">
            <v xml:space="preserve">   NM </v>
          </cell>
          <cell r="T104">
            <v>0.27457098283931358</v>
          </cell>
          <cell r="U104">
            <v>-3.1181078409006097E-3</v>
          </cell>
          <cell r="V104">
            <v>0.27855766351496303</v>
          </cell>
        </row>
        <row r="105">
          <cell r="A105" t="str">
            <v xml:space="preserve"> 2Q</v>
          </cell>
          <cell r="B105">
            <v>5.9087989723827873E-2</v>
          </cell>
          <cell r="C105">
            <v>1.4292929292929293</v>
          </cell>
          <cell r="D105">
            <v>0.14100241545893719</v>
          </cell>
          <cell r="E105">
            <v>6.3424947145877377E-3</v>
          </cell>
          <cell r="F105">
            <v>6.853464596743658E-2</v>
          </cell>
          <cell r="G105">
            <v>0.14484272128749084</v>
          </cell>
          <cell r="H105">
            <v>0.21272727272727274</v>
          </cell>
          <cell r="I105">
            <v>0.1616052060737527</v>
          </cell>
          <cell r="J105">
            <v>0.8</v>
          </cell>
          <cell r="K105">
            <v>0.55882352941176472</v>
          </cell>
          <cell r="L105">
            <v>-0.16666666666666666</v>
          </cell>
          <cell r="M105" t="str">
            <v xml:space="preserve">   NM </v>
          </cell>
          <cell r="N105" t="str">
            <v xml:space="preserve">   NM </v>
          </cell>
          <cell r="O105" t="str">
            <v xml:space="preserve">   NM </v>
          </cell>
          <cell r="P105">
            <v>0.18433179723502305</v>
          </cell>
          <cell r="Q105">
            <v>-2.8499316437059587E-2</v>
          </cell>
          <cell r="R105">
            <v>0.15057915057915058</v>
          </cell>
          <cell r="S105" t="str">
            <v xml:space="preserve">   NM </v>
          </cell>
          <cell r="T105">
            <v>0.19901315789473684</v>
          </cell>
          <cell r="U105">
            <v>-1.0171550022772195E-2</v>
          </cell>
          <cell r="V105">
            <v>0.21133430537617057</v>
          </cell>
        </row>
        <row r="106">
          <cell r="A106" t="str">
            <v xml:space="preserve"> 3Q</v>
          </cell>
          <cell r="B106">
            <v>0.10064308681672025</v>
          </cell>
          <cell r="C106">
            <v>1.5863636363636364</v>
          </cell>
          <cell r="D106">
            <v>0.1987987987987988</v>
          </cell>
          <cell r="E106">
            <v>5.2742616033755275E-2</v>
          </cell>
          <cell r="F106">
            <v>0.10925644916540213</v>
          </cell>
          <cell r="G106">
            <v>0.1126228269085412</v>
          </cell>
          <cell r="H106">
            <v>0.26181818181818184</v>
          </cell>
          <cell r="I106">
            <v>0.34994913530010174</v>
          </cell>
          <cell r="J106">
            <v>0.80952380952380953</v>
          </cell>
          <cell r="K106">
            <v>0.74285714285714288</v>
          </cell>
          <cell r="L106">
            <v>-8.3333333333333329E-2</v>
          </cell>
          <cell r="M106" t="str">
            <v xml:space="preserve">   NM </v>
          </cell>
          <cell r="N106" t="str">
            <v xml:space="preserve">   NM </v>
          </cell>
          <cell r="O106" t="str">
            <v xml:space="preserve">   NM </v>
          </cell>
          <cell r="P106">
            <v>0.39106753812636164</v>
          </cell>
          <cell r="Q106">
            <v>-1.4878621769773004E-2</v>
          </cell>
          <cell r="R106">
            <v>0.37037037037037035</v>
          </cell>
          <cell r="S106" t="str">
            <v xml:space="preserve">   NM </v>
          </cell>
          <cell r="T106">
            <v>0.40030911901081917</v>
          </cell>
          <cell r="U106">
            <v>-1.3731252533441495E-2</v>
          </cell>
          <cell r="V106">
            <v>0.41980481750822152</v>
          </cell>
        </row>
        <row r="107">
          <cell r="A107" t="str">
            <v xml:space="preserve"> 4Q</v>
          </cell>
          <cell r="B107">
            <v>8.9711241940005612E-2</v>
          </cell>
          <cell r="C107">
            <v>1.0702341137123745</v>
          </cell>
          <cell r="D107">
            <v>0.16554578375581996</v>
          </cell>
          <cell r="E107">
            <v>0.14473684210526316</v>
          </cell>
          <cell r="F107">
            <v>7.8404866508955728E-2</v>
          </cell>
          <cell r="G107">
            <v>5.8217101273499092E-2</v>
          </cell>
          <cell r="H107">
            <v>9.9855282199710571E-2</v>
          </cell>
          <cell r="I107">
            <v>0.42156862745098039</v>
          </cell>
          <cell r="J107">
            <v>-1</v>
          </cell>
          <cell r="K107">
            <v>-1</v>
          </cell>
          <cell r="L107">
            <v>-1</v>
          </cell>
          <cell r="M107" t="str">
            <v xml:space="preserve">   NM </v>
          </cell>
          <cell r="N107" t="str">
            <v xml:space="preserve">   NM </v>
          </cell>
          <cell r="O107" t="str">
            <v xml:space="preserve">   NM </v>
          </cell>
          <cell r="P107">
            <v>0.37697993664202745</v>
          </cell>
          <cell r="Q107">
            <v>6.6358623903083169E-2</v>
          </cell>
          <cell r="R107">
            <v>0.46835443037974683</v>
          </cell>
          <cell r="S107" t="str">
            <v xml:space="preserve">   NM </v>
          </cell>
          <cell r="T107">
            <v>0.34177215189873417</v>
          </cell>
          <cell r="U107">
            <v>-1.7058271867791987E-2</v>
          </cell>
          <cell r="V107">
            <v>0.36505767686592977</v>
          </cell>
        </row>
        <row r="109">
          <cell r="A109" t="str">
            <v>Year</v>
          </cell>
          <cell r="B109">
            <v>0.11477478898793089</v>
          </cell>
          <cell r="C109">
            <v>1.3898500576701269</v>
          </cell>
          <cell r="D109">
            <v>0.19639692852923804</v>
          </cell>
          <cell r="E109">
            <v>0.11800302571860817</v>
          </cell>
          <cell r="F109">
            <v>0.11417617355526463</v>
          </cell>
          <cell r="G109">
            <v>0.14698447092813291</v>
          </cell>
          <cell r="H109">
            <v>0.22183098591549297</v>
          </cell>
          <cell r="I109">
            <v>0.29538789656091707</v>
          </cell>
          <cell r="J109">
            <v>0.23699421965317918</v>
          </cell>
          <cell r="K109">
            <v>0.18320610687022901</v>
          </cell>
          <cell r="L109">
            <v>-0.33333333333333331</v>
          </cell>
          <cell r="M109" t="str">
            <v xml:space="preserve">   NM </v>
          </cell>
          <cell r="N109" t="str">
            <v xml:space="preserve">   NM </v>
          </cell>
          <cell r="O109" t="str">
            <v xml:space="preserve">   NM </v>
          </cell>
          <cell r="P109">
            <v>0.31129476584022037</v>
          </cell>
          <cell r="Q109">
            <v>7.5947127136848612E-3</v>
          </cell>
          <cell r="R109">
            <v>0.32125367286973555</v>
          </cell>
          <cell r="S109" t="str">
            <v xml:space="preserve">   NM </v>
          </cell>
          <cell r="T109">
            <v>0.30648254698887611</v>
          </cell>
          <cell r="U109">
            <v>-1.1020051426906659E-2</v>
          </cell>
          <cell r="V109">
            <v>0.32155682946076608</v>
          </cell>
        </row>
        <row r="111">
          <cell r="A111">
            <v>1999</v>
          </cell>
        </row>
        <row r="112">
          <cell r="A112" t="str">
            <v xml:space="preserve"> 1Q</v>
          </cell>
          <cell r="B112">
            <v>3524</v>
          </cell>
          <cell r="C112">
            <v>403</v>
          </cell>
          <cell r="D112">
            <v>3927</v>
          </cell>
          <cell r="E112">
            <v>546</v>
          </cell>
          <cell r="F112">
            <v>2978</v>
          </cell>
          <cell r="G112">
            <v>1570</v>
          </cell>
          <cell r="H112">
            <v>655</v>
          </cell>
          <cell r="I112">
            <v>1156</v>
          </cell>
          <cell r="J112">
            <v>66</v>
          </cell>
          <cell r="K112">
            <v>-41</v>
          </cell>
          <cell r="L112">
            <v>-11</v>
          </cell>
          <cell r="M112">
            <v>7</v>
          </cell>
          <cell r="N112">
            <v>-26</v>
          </cell>
          <cell r="O112">
            <v>-5</v>
          </cell>
          <cell r="P112">
            <v>1151</v>
          </cell>
          <cell r="Q112">
            <v>0.28931364031277151</v>
          </cell>
          <cell r="R112">
            <v>333</v>
          </cell>
          <cell r="S112">
            <v>1</v>
          </cell>
          <cell r="T112">
            <v>817</v>
          </cell>
          <cell r="U112">
            <v>3932.3999999999996</v>
          </cell>
          <cell r="V112">
            <v>0.20776116366595465</v>
          </cell>
        </row>
        <row r="113">
          <cell r="A113" t="str">
            <v xml:space="preserve"> 2Q (e)</v>
          </cell>
          <cell r="B113">
            <v>3298</v>
          </cell>
          <cell r="C113">
            <v>481</v>
          </cell>
          <cell r="D113">
            <v>3779</v>
          </cell>
          <cell r="E113">
            <v>476</v>
          </cell>
          <cell r="F113">
            <v>2822</v>
          </cell>
          <cell r="G113">
            <v>1565</v>
          </cell>
          <cell r="H113">
            <v>667</v>
          </cell>
          <cell r="I113">
            <v>1071</v>
          </cell>
          <cell r="J113">
            <v>72</v>
          </cell>
          <cell r="K113">
            <v>-53</v>
          </cell>
          <cell r="L113">
            <v>-10</v>
          </cell>
          <cell r="M113">
            <v>4</v>
          </cell>
          <cell r="N113">
            <v>-56</v>
          </cell>
          <cell r="O113">
            <v>-43</v>
          </cell>
          <cell r="P113">
            <v>1028</v>
          </cell>
          <cell r="Q113">
            <v>0.2898832684824903</v>
          </cell>
          <cell r="R113">
            <v>298</v>
          </cell>
          <cell r="S113">
            <v>1</v>
          </cell>
          <cell r="T113">
            <v>729</v>
          </cell>
          <cell r="U113">
            <v>3912</v>
          </cell>
          <cell r="V113">
            <v>0.18634969325153375</v>
          </cell>
        </row>
        <row r="114">
          <cell r="A114" t="str">
            <v xml:space="preserve"> 3Q</v>
          </cell>
          <cell r="B114">
            <v>3423</v>
          </cell>
          <cell r="C114">
            <v>569</v>
          </cell>
          <cell r="D114">
            <v>3992</v>
          </cell>
          <cell r="E114">
            <v>499</v>
          </cell>
          <cell r="F114">
            <v>2924</v>
          </cell>
          <cell r="G114">
            <v>1472</v>
          </cell>
          <cell r="H114">
            <v>694</v>
          </cell>
          <cell r="I114">
            <v>1327</v>
          </cell>
          <cell r="J114">
            <v>76</v>
          </cell>
          <cell r="K114">
            <v>-61</v>
          </cell>
          <cell r="L114">
            <v>-11</v>
          </cell>
          <cell r="M114">
            <v>-14</v>
          </cell>
          <cell r="N114">
            <v>-40</v>
          </cell>
          <cell r="O114">
            <v>-50</v>
          </cell>
          <cell r="P114">
            <v>1277</v>
          </cell>
          <cell r="Q114">
            <v>0.28974158183241971</v>
          </cell>
          <cell r="R114">
            <v>370</v>
          </cell>
          <cell r="S114">
            <v>1</v>
          </cell>
          <cell r="T114">
            <v>906</v>
          </cell>
          <cell r="U114">
            <v>3893</v>
          </cell>
          <cell r="V114">
            <v>0.23272540457230928</v>
          </cell>
        </row>
        <row r="115">
          <cell r="A115" t="str">
            <v xml:space="preserve"> 4Q</v>
          </cell>
          <cell r="B115">
            <v>3887</v>
          </cell>
          <cell r="C115">
            <v>619</v>
          </cell>
          <cell r="D115">
            <v>4506</v>
          </cell>
          <cell r="E115">
            <v>696</v>
          </cell>
          <cell r="F115">
            <v>3191</v>
          </cell>
          <cell r="G115">
            <v>1745</v>
          </cell>
          <cell r="H115">
            <v>760</v>
          </cell>
          <cell r="I115">
            <v>1305</v>
          </cell>
          <cell r="J115">
            <v>0</v>
          </cell>
          <cell r="K115">
            <v>0</v>
          </cell>
          <cell r="L115">
            <v>0</v>
          </cell>
          <cell r="M115">
            <v>0</v>
          </cell>
          <cell r="N115">
            <v>-1</v>
          </cell>
          <cell r="O115">
            <v>-1</v>
          </cell>
          <cell r="P115">
            <v>1304</v>
          </cell>
          <cell r="Q115">
            <v>0.26687116564417179</v>
          </cell>
          <cell r="R115">
            <v>348</v>
          </cell>
          <cell r="S115">
            <v>2</v>
          </cell>
          <cell r="T115">
            <v>954</v>
          </cell>
          <cell r="U115">
            <v>3878</v>
          </cell>
          <cell r="V115">
            <v>0.24600309437854564</v>
          </cell>
        </row>
        <row r="117">
          <cell r="A117" t="str">
            <v>Year</v>
          </cell>
          <cell r="B117">
            <v>14132</v>
          </cell>
          <cell r="C117">
            <v>2072</v>
          </cell>
          <cell r="D117">
            <v>16204</v>
          </cell>
          <cell r="E117">
            <v>2217</v>
          </cell>
          <cell r="F117">
            <v>11915</v>
          </cell>
          <cell r="G117">
            <v>6352</v>
          </cell>
          <cell r="H117">
            <v>2776</v>
          </cell>
          <cell r="I117">
            <v>4859</v>
          </cell>
          <cell r="J117">
            <v>214</v>
          </cell>
          <cell r="K117">
            <v>-155</v>
          </cell>
          <cell r="L117">
            <v>-32</v>
          </cell>
          <cell r="M117">
            <v>-3</v>
          </cell>
          <cell r="N117">
            <v>-123</v>
          </cell>
          <cell r="O117">
            <v>-99</v>
          </cell>
          <cell r="P117">
            <v>4760</v>
          </cell>
          <cell r="Q117">
            <v>0.28340336134453781</v>
          </cell>
          <cell r="R117">
            <v>1349</v>
          </cell>
          <cell r="S117">
            <v>5</v>
          </cell>
          <cell r="T117">
            <v>3406</v>
          </cell>
          <cell r="U117">
            <v>3903.85</v>
          </cell>
          <cell r="V117">
            <v>0.87283935586834327</v>
          </cell>
        </row>
        <row r="120">
          <cell r="A120" t="str">
            <v>2000E/99</v>
          </cell>
        </row>
        <row r="121">
          <cell r="A121" t="str">
            <v xml:space="preserve"> 1QA</v>
          </cell>
          <cell r="B121">
            <v>3.5754824063564117E-2</v>
          </cell>
          <cell r="C121">
            <v>0.65012406947890811</v>
          </cell>
          <cell r="D121">
            <v>9.880315762668701E-2</v>
          </cell>
          <cell r="E121">
            <v>-0.10256410256410253</v>
          </cell>
          <cell r="F121">
            <v>6.1114842175957085E-2</v>
          </cell>
          <cell r="G121">
            <v>5.9235668789809015E-2</v>
          </cell>
          <cell r="H121">
            <v>8.7022900763358724E-2</v>
          </cell>
          <cell r="I121">
            <v>0.25432525951557095</v>
          </cell>
          <cell r="J121" t="str">
            <v xml:space="preserve">   NM </v>
          </cell>
          <cell r="K121" t="str">
            <v xml:space="preserve">   NM </v>
          </cell>
          <cell r="L121" t="str">
            <v xml:space="preserve">   NM </v>
          </cell>
          <cell r="M121" t="str">
            <v xml:space="preserve">   NM </v>
          </cell>
          <cell r="N121" t="str">
            <v xml:space="preserve">   NM </v>
          </cell>
          <cell r="O121" t="str">
            <v xml:space="preserve">   NM </v>
          </cell>
          <cell r="P121">
            <v>0.28410078192875754</v>
          </cell>
          <cell r="Q121">
            <v>-0.10665333804711341</v>
          </cell>
          <cell r="R121">
            <v>0.14714714714714705</v>
          </cell>
          <cell r="S121">
            <v>0</v>
          </cell>
          <cell r="T121">
            <v>0.34026927784577721</v>
          </cell>
          <cell r="U121">
            <v>-1.8512867460075189E-2</v>
          </cell>
          <cell r="V121">
            <v>0.3655495150276542</v>
          </cell>
        </row>
        <row r="122">
          <cell r="A122" t="str">
            <v xml:space="preserve"> 2QE</v>
          </cell>
          <cell r="B122">
            <v>7.9083418738629563E-2</v>
          </cell>
          <cell r="C122">
            <v>0.55171077962577986</v>
          </cell>
          <cell r="D122">
            <v>0.13924053982535067</v>
          </cell>
          <cell r="E122">
            <v>7.6616942352941031E-2</v>
          </cell>
          <cell r="F122">
            <v>7.9499450900070823E-2</v>
          </cell>
          <cell r="G122">
            <v>0.13337909265175729</v>
          </cell>
          <cell r="H122">
            <v>0.15536583208395816</v>
          </cell>
          <cell r="I122">
            <v>0.16559574737628435</v>
          </cell>
          <cell r="J122" t="str">
            <v xml:space="preserve">   NM </v>
          </cell>
          <cell r="K122" t="str">
            <v xml:space="preserve">   NM </v>
          </cell>
          <cell r="L122" t="str">
            <v xml:space="preserve">   NM </v>
          </cell>
          <cell r="M122" t="str">
            <v xml:space="preserve">   NM </v>
          </cell>
          <cell r="N122" t="str">
            <v xml:space="preserve">   NM </v>
          </cell>
          <cell r="O122" t="str">
            <v xml:space="preserve">   NM </v>
          </cell>
          <cell r="P122">
            <v>0.17544070568093439</v>
          </cell>
          <cell r="Q122">
            <v>-7.5489932885906108E-2</v>
          </cell>
          <cell r="R122">
            <v>8.6706765697718735E-2</v>
          </cell>
          <cell r="S122">
            <v>1</v>
          </cell>
          <cell r="T122">
            <v>0.21058220749256584</v>
          </cell>
          <cell r="U122">
            <v>-1.5000000000000013E-2</v>
          </cell>
          <cell r="V122">
            <v>0.22901746953559976</v>
          </cell>
        </row>
        <row r="123">
          <cell r="A123" t="str">
            <v xml:space="preserve"> 3QE</v>
          </cell>
          <cell r="B123">
            <v>0.10149968886941285</v>
          </cell>
          <cell r="C123">
            <v>0.41389905975395425</v>
          </cell>
          <cell r="D123">
            <v>0.14602755511022036</v>
          </cell>
          <cell r="E123">
            <v>0.10317290883767538</v>
          </cell>
          <cell r="F123">
            <v>0.10121414278043783</v>
          </cell>
          <cell r="G123">
            <v>0.18103122282608686</v>
          </cell>
          <cell r="H123">
            <v>0.14043943227665689</v>
          </cell>
          <cell r="I123">
            <v>0.12623646758854568</v>
          </cell>
          <cell r="J123" t="str">
            <v xml:space="preserve">   NM </v>
          </cell>
          <cell r="K123" t="str">
            <v xml:space="preserve">   NM </v>
          </cell>
          <cell r="L123" t="str">
            <v xml:space="preserve">   NM </v>
          </cell>
          <cell r="M123" t="str">
            <v xml:space="preserve">   NM </v>
          </cell>
          <cell r="N123" t="str">
            <v xml:space="preserve">   NM </v>
          </cell>
          <cell r="O123" t="str">
            <v xml:space="preserve">   NM </v>
          </cell>
          <cell r="P123">
            <v>0.1390100176115896</v>
          </cell>
          <cell r="Q123">
            <v>-7.5037837837837684E-2</v>
          </cell>
          <cell r="R123">
            <v>5.354116861437852E-2</v>
          </cell>
          <cell r="S123">
            <v>0</v>
          </cell>
          <cell r="T123">
            <v>0.17406794713320095</v>
          </cell>
          <cell r="U123">
            <v>-1.361417929617259E-2</v>
          </cell>
          <cell r="V123">
            <v>0.1902725307785289</v>
          </cell>
        </row>
        <row r="124">
          <cell r="A124" t="str">
            <v xml:space="preserve"> 4QE</v>
          </cell>
          <cell r="B124">
            <v>0.11998750964754312</v>
          </cell>
          <cell r="C124">
            <v>0.42757016155088823</v>
          </cell>
          <cell r="D124">
            <v>0.16224087438970236</v>
          </cell>
          <cell r="E124">
            <v>7.1054998994251051E-3</v>
          </cell>
          <cell r="F124">
            <v>0.1446085935662802</v>
          </cell>
          <cell r="G124">
            <v>0.15800028306704883</v>
          </cell>
          <cell r="H124">
            <v>0.22777233699999977</v>
          </cell>
          <cell r="I124">
            <v>0.2124861931019153</v>
          </cell>
          <cell r="J124" t="str">
            <v xml:space="preserve">   NM </v>
          </cell>
          <cell r="K124" t="str">
            <v xml:space="preserve">   NM </v>
          </cell>
          <cell r="L124" t="str">
            <v xml:space="preserve">   NM </v>
          </cell>
          <cell r="M124" t="str">
            <v xml:space="preserve">   NM </v>
          </cell>
          <cell r="N124" t="str">
            <v xml:space="preserve">   NM </v>
          </cell>
          <cell r="O124" t="str">
            <v xml:space="preserve">   NM </v>
          </cell>
          <cell r="P124">
            <v>0.18274116717637989</v>
          </cell>
          <cell r="Q124">
            <v>-3.264367816091962E-3</v>
          </cell>
          <cell r="R124">
            <v>0.17888026497548237</v>
          </cell>
          <cell r="S124">
            <v>-0.5</v>
          </cell>
          <cell r="T124">
            <v>0.18558086979720279</v>
          </cell>
          <cell r="U124">
            <v>-1.1088189788550751E-2</v>
          </cell>
          <cell r="V124">
            <v>0.1988742146215261</v>
          </cell>
        </row>
        <row r="126">
          <cell r="A126" t="str">
            <v>Year</v>
          </cell>
          <cell r="B126">
            <v>8.4959099915086322E-2</v>
          </cell>
          <cell r="C126">
            <v>0.4959205501930502</v>
          </cell>
          <cell r="D126">
            <v>0.13750860157985681</v>
          </cell>
          <cell r="E126">
            <v>1.6643380243572339E-2</v>
          </cell>
          <cell r="F126">
            <v>9.7670467981535836E-2</v>
          </cell>
          <cell r="G126">
            <v>0.13286000219647359</v>
          </cell>
          <cell r="H126">
            <v>0.15533175508645525</v>
          </cell>
          <cell r="I126">
            <v>0.18854976742704233</v>
          </cell>
          <cell r="J126" t="str">
            <v xml:space="preserve">   NM </v>
          </cell>
          <cell r="K126" t="str">
            <v xml:space="preserve">   NM </v>
          </cell>
          <cell r="L126" t="str">
            <v xml:space="preserve">   NM </v>
          </cell>
          <cell r="M126" t="str">
            <v xml:space="preserve">   NM </v>
          </cell>
          <cell r="N126" t="str">
            <v xml:space="preserve">     NM </v>
          </cell>
          <cell r="O126" t="str">
            <v xml:space="preserve">     NM </v>
          </cell>
          <cell r="P126">
            <v>0.19394187393445347</v>
          </cell>
          <cell r="Q126">
            <v>-6.5023353595336938E-2</v>
          </cell>
          <cell r="R126">
            <v>0.11630776929333425</v>
          </cell>
          <cell r="S126">
            <v>0</v>
          </cell>
          <cell r="T126">
            <v>0.22497479129515288</v>
          </cell>
          <cell r="U126">
            <v>-1.4567670376679387E-2</v>
          </cell>
          <cell r="V126">
            <v>0.24256050820838912</v>
          </cell>
        </row>
        <row r="128">
          <cell r="A128" t="str">
            <v>2000E</v>
          </cell>
        </row>
        <row r="129">
          <cell r="A129" t="str">
            <v xml:space="preserve"> 1QA</v>
          </cell>
          <cell r="B129">
            <v>3650</v>
          </cell>
          <cell r="C129">
            <v>665</v>
          </cell>
          <cell r="D129">
            <v>4315</v>
          </cell>
          <cell r="E129">
            <v>490</v>
          </cell>
          <cell r="F129">
            <v>3160</v>
          </cell>
          <cell r="G129">
            <v>1663</v>
          </cell>
          <cell r="H129">
            <v>712</v>
          </cell>
          <cell r="I129">
            <v>1450</v>
          </cell>
          <cell r="J129">
            <v>75</v>
          </cell>
          <cell r="N129">
            <v>-47</v>
          </cell>
          <cell r="O129">
            <v>28</v>
          </cell>
          <cell r="P129">
            <v>1478</v>
          </cell>
          <cell r="Q129">
            <v>0.25845737483085252</v>
          </cell>
          <cell r="R129">
            <v>382</v>
          </cell>
          <cell r="S129">
            <v>1</v>
          </cell>
          <cell r="T129">
            <v>1095</v>
          </cell>
          <cell r="U129">
            <v>3859.6</v>
          </cell>
          <cell r="V129">
            <v>0.28370815628562546</v>
          </cell>
        </row>
        <row r="130">
          <cell r="A130" t="str">
            <v xml:space="preserve"> 2QE</v>
          </cell>
          <cell r="B130">
            <v>3558.8171150000003</v>
          </cell>
          <cell r="C130">
            <v>746.37288500000011</v>
          </cell>
          <cell r="D130">
            <v>4305.1900000000005</v>
          </cell>
          <cell r="E130">
            <v>512.46966455999996</v>
          </cell>
          <cell r="F130">
            <v>3046.3474504400001</v>
          </cell>
          <cell r="G130">
            <v>1773.73828</v>
          </cell>
          <cell r="H130">
            <v>770.62901000000011</v>
          </cell>
          <cell r="I130">
            <v>1248.3530454400006</v>
          </cell>
          <cell r="J130">
            <v>45</v>
          </cell>
          <cell r="K130">
            <v>0</v>
          </cell>
          <cell r="L130">
            <v>0</v>
          </cell>
          <cell r="M130">
            <v>0</v>
          </cell>
          <cell r="N130">
            <v>-85</v>
          </cell>
          <cell r="O130">
            <v>-40</v>
          </cell>
          <cell r="P130">
            <v>1208.3530454400006</v>
          </cell>
          <cell r="Q130">
            <v>0.26800000000000002</v>
          </cell>
          <cell r="R130">
            <v>323.83861617792019</v>
          </cell>
          <cell r="S130">
            <v>2</v>
          </cell>
          <cell r="T130">
            <v>882.51442926208051</v>
          </cell>
          <cell r="U130">
            <v>3853.32</v>
          </cell>
          <cell r="V130">
            <v>0.22902702844873524</v>
          </cell>
        </row>
        <row r="131">
          <cell r="A131" t="str">
            <v xml:space="preserve"> 3QE</v>
          </cell>
          <cell r="B131">
            <v>3770.4334349999999</v>
          </cell>
          <cell r="C131">
            <v>804.50856499999998</v>
          </cell>
          <cell r="D131">
            <v>4574.942</v>
          </cell>
          <cell r="E131">
            <v>550.48328150999998</v>
          </cell>
          <cell r="F131">
            <v>3219.95015349</v>
          </cell>
          <cell r="G131">
            <v>1738.4779599999999</v>
          </cell>
          <cell r="H131">
            <v>791.46496599999989</v>
          </cell>
          <cell r="I131">
            <v>1494.51579249</v>
          </cell>
          <cell r="J131">
            <v>40</v>
          </cell>
          <cell r="K131">
            <v>0</v>
          </cell>
          <cell r="L131">
            <v>0</v>
          </cell>
          <cell r="M131">
            <v>0</v>
          </cell>
          <cell r="N131">
            <v>-80</v>
          </cell>
          <cell r="O131">
            <v>-40</v>
          </cell>
          <cell r="P131">
            <v>1454.51579249</v>
          </cell>
          <cell r="Q131">
            <v>0.26800000000000002</v>
          </cell>
          <cell r="R131">
            <v>389.81023238732001</v>
          </cell>
          <cell r="S131">
            <v>1</v>
          </cell>
          <cell r="T131">
            <v>1063.70556010268</v>
          </cell>
          <cell r="U131">
            <v>3840</v>
          </cell>
          <cell r="V131">
            <v>0.27700665627673959</v>
          </cell>
        </row>
        <row r="132">
          <cell r="A132" t="str">
            <v xml:space="preserve"> 4QE</v>
          </cell>
          <cell r="B132">
            <v>4353.3914500000001</v>
          </cell>
          <cell r="C132">
            <v>883.66592999999978</v>
          </cell>
          <cell r="D132">
            <v>5237.0573799999993</v>
          </cell>
          <cell r="E132">
            <v>700.94542792999994</v>
          </cell>
          <cell r="F132">
            <v>3652.4460220700003</v>
          </cell>
          <cell r="G132">
            <v>2020.7104939520002</v>
          </cell>
          <cell r="H132">
            <v>933.10697611999979</v>
          </cell>
          <cell r="I132">
            <v>1582.2944819979994</v>
          </cell>
          <cell r="J132">
            <v>45</v>
          </cell>
          <cell r="K132">
            <v>0</v>
          </cell>
          <cell r="L132">
            <v>0</v>
          </cell>
          <cell r="M132">
            <v>0</v>
          </cell>
          <cell r="N132">
            <v>-85</v>
          </cell>
          <cell r="O132">
            <v>-40</v>
          </cell>
          <cell r="P132">
            <v>1542.2944819979994</v>
          </cell>
          <cell r="Q132">
            <v>0.26600000000000001</v>
          </cell>
          <cell r="R132">
            <v>410.25033221146788</v>
          </cell>
          <cell r="S132">
            <v>1</v>
          </cell>
          <cell r="T132">
            <v>1131.0441497865315</v>
          </cell>
          <cell r="U132">
            <v>3835</v>
          </cell>
          <cell r="V132">
            <v>0.29492676656754407</v>
          </cell>
        </row>
        <row r="134">
          <cell r="A134" t="str">
            <v>Year</v>
          </cell>
          <cell r="B134">
            <v>15332.642</v>
          </cell>
          <cell r="C134">
            <v>3099.54738</v>
          </cell>
          <cell r="D134">
            <v>18432.18938</v>
          </cell>
          <cell r="E134">
            <v>2253.8983739999999</v>
          </cell>
          <cell r="F134">
            <v>13078.743625999999</v>
          </cell>
          <cell r="G134">
            <v>7195.9267339520002</v>
          </cell>
          <cell r="H134">
            <v>3207.2009521199998</v>
          </cell>
          <cell r="I134">
            <v>5775.1633199279986</v>
          </cell>
          <cell r="J134">
            <v>205</v>
          </cell>
          <cell r="K134">
            <v>0</v>
          </cell>
          <cell r="L134">
            <v>0</v>
          </cell>
          <cell r="M134">
            <v>0</v>
          </cell>
          <cell r="N134">
            <v>-297</v>
          </cell>
          <cell r="O134">
            <v>-92</v>
          </cell>
          <cell r="P134">
            <v>5683.1633199279986</v>
          </cell>
          <cell r="Q134">
            <v>0.26497552436972488</v>
          </cell>
          <cell r="R134">
            <v>1505.8991807767079</v>
          </cell>
          <cell r="S134">
            <v>5</v>
          </cell>
          <cell r="T134">
            <v>4172.2641391512907</v>
          </cell>
          <cell r="U134">
            <v>3846.98</v>
          </cell>
          <cell r="V134">
            <v>1.0845557136120516</v>
          </cell>
        </row>
        <row r="137">
          <cell r="A137" t="str">
            <v>2001E/00E</v>
          </cell>
          <cell r="B137">
            <v>0.10867275515856961</v>
          </cell>
          <cell r="C137">
            <v>0.32793197128027118</v>
          </cell>
          <cell r="D137">
            <v>0.14554327091012131</v>
          </cell>
          <cell r="E137">
            <v>0.10414756023955513</v>
          </cell>
          <cell r="F137">
            <v>0.1094525953146015</v>
          </cell>
          <cell r="G137">
            <v>0.13967470907144239</v>
          </cell>
          <cell r="H137">
            <v>0.13895968889339649</v>
          </cell>
          <cell r="I137">
            <v>0.17266741058035989</v>
          </cell>
          <cell r="J137" t="str">
            <v xml:space="preserve">   NM </v>
          </cell>
          <cell r="K137" t="str">
            <v xml:space="preserve">   NM </v>
          </cell>
          <cell r="L137" t="str">
            <v xml:space="preserve">   NM </v>
          </cell>
          <cell r="M137" t="str">
            <v xml:space="preserve">   NM </v>
          </cell>
          <cell r="N137" t="str">
            <v xml:space="preserve">     NM </v>
          </cell>
          <cell r="O137" t="str">
            <v xml:space="preserve">     NM </v>
          </cell>
          <cell r="P137">
            <v>0.19165074709562299</v>
          </cell>
          <cell r="Q137">
            <v>0</v>
          </cell>
          <cell r="R137">
            <v>0.19165074709562296</v>
          </cell>
          <cell r="S137">
            <v>0</v>
          </cell>
          <cell r="T137">
            <v>0.19188041945181109</v>
          </cell>
          <cell r="U137">
            <v>-9.8778782317558191E-3</v>
          </cell>
          <cell r="V137">
            <v>0.20377112403392217</v>
          </cell>
        </row>
        <row r="138">
          <cell r="A138" t="str">
            <v>2002E/01E</v>
          </cell>
          <cell r="B138">
            <v>0.13016283617515098</v>
          </cell>
          <cell r="C138">
            <v>0.17891196463058037</v>
          </cell>
          <cell r="D138">
            <v>0.13966565697895919</v>
          </cell>
          <cell r="E138">
            <v>0.11935526806965083</v>
          </cell>
          <cell r="F138">
            <v>0.13201643033007737</v>
          </cell>
          <cell r="G138">
            <v>0.1267549234807423</v>
          </cell>
          <cell r="H138">
            <v>0.11331500595054401</v>
          </cell>
          <cell r="I138">
            <v>0.17697649123310238</v>
          </cell>
          <cell r="J138" t="str">
            <v xml:space="preserve">   NM </v>
          </cell>
          <cell r="K138" t="str">
            <v xml:space="preserve">   NM </v>
          </cell>
          <cell r="L138" t="str">
            <v xml:space="preserve">   NM </v>
          </cell>
          <cell r="M138" t="str">
            <v xml:space="preserve">   NM </v>
          </cell>
          <cell r="N138" t="str">
            <v xml:space="preserve">     NM </v>
          </cell>
          <cell r="O138" t="str">
            <v xml:space="preserve">     NM </v>
          </cell>
          <cell r="P138">
            <v>0.17697649123310238</v>
          </cell>
          <cell r="Q138">
            <v>0</v>
          </cell>
          <cell r="R138">
            <v>0.17697649123310233</v>
          </cell>
          <cell r="S138">
            <v>0</v>
          </cell>
          <cell r="T138">
            <v>0.17715443431356026</v>
          </cell>
          <cell r="U138">
            <v>-2.6253747722487387E-3</v>
          </cell>
          <cell r="V138">
            <v>0.18025304087193528</v>
          </cell>
        </row>
        <row r="139">
          <cell r="A139" t="str">
            <v>2003E/02E</v>
          </cell>
          <cell r="B139">
            <v>0.12820518231193506</v>
          </cell>
          <cell r="C139">
            <v>0.17661022906047577</v>
          </cell>
          <cell r="D139">
            <v>0.13796586606812047</v>
          </cell>
          <cell r="E139">
            <v>0.11264373152142552</v>
          </cell>
          <cell r="F139">
            <v>0.13084425876178751</v>
          </cell>
          <cell r="G139">
            <v>0.12611205496324418</v>
          </cell>
          <cell r="H139">
            <v>0.11103176272923007</v>
          </cell>
          <cell r="I139">
            <v>0.17429933811594653</v>
          </cell>
          <cell r="J139" t="str">
            <v xml:space="preserve">   NM </v>
          </cell>
          <cell r="K139" t="str">
            <v xml:space="preserve">   NM </v>
          </cell>
          <cell r="L139" t="str">
            <v xml:space="preserve">   NM </v>
          </cell>
          <cell r="M139" t="str">
            <v xml:space="preserve">   NM </v>
          </cell>
          <cell r="N139" t="str">
            <v xml:space="preserve">     NM </v>
          </cell>
          <cell r="O139" t="str">
            <v xml:space="preserve">     NM </v>
          </cell>
          <cell r="P139">
            <v>0.17429933811594653</v>
          </cell>
          <cell r="Q139">
            <v>0</v>
          </cell>
          <cell r="R139">
            <v>0.17429933811594664</v>
          </cell>
          <cell r="S139">
            <v>0</v>
          </cell>
          <cell r="T139">
            <v>0.17444821518804049</v>
          </cell>
          <cell r="U139">
            <v>-2.6322855082153629E-3</v>
          </cell>
          <cell r="V139">
            <v>0.17754785734816803</v>
          </cell>
        </row>
        <row r="140">
          <cell r="A140" t="str">
            <v>2004E/03E</v>
          </cell>
          <cell r="B140">
            <v>0.11844127574052477</v>
          </cell>
          <cell r="C140">
            <v>-2.6458629046232973E-2</v>
          </cell>
          <cell r="D140">
            <v>8.8230555271552907E-2</v>
          </cell>
          <cell r="E140">
            <v>0.11062000807800365</v>
          </cell>
          <cell r="F140">
            <v>0.11974634140649977</v>
          </cell>
          <cell r="G140">
            <v>7.9639261414146012E-2</v>
          </cell>
          <cell r="H140">
            <v>7.1742213525014115E-2</v>
          </cell>
          <cell r="I140">
            <v>9.8326990327150865E-2</v>
          </cell>
          <cell r="J140" t="str">
            <v xml:space="preserve">   NM </v>
          </cell>
          <cell r="K140" t="str">
            <v xml:space="preserve">   NM </v>
          </cell>
          <cell r="L140" t="str">
            <v xml:space="preserve">   NM </v>
          </cell>
          <cell r="M140" t="str">
            <v xml:space="preserve">   NM </v>
          </cell>
          <cell r="N140" t="str">
            <v xml:space="preserve">     NM </v>
          </cell>
          <cell r="O140" t="str">
            <v xml:space="preserve">     NM </v>
          </cell>
          <cell r="P140">
            <v>9.8326990327150865E-2</v>
          </cell>
          <cell r="Q140">
            <v>0</v>
          </cell>
          <cell r="R140">
            <v>9.832699032715092E-2</v>
          </cell>
          <cell r="S140">
            <v>0</v>
          </cell>
          <cell r="T140">
            <v>9.8398501014935288E-2</v>
          </cell>
          <cell r="U140">
            <v>-2.6392327222629838E-3</v>
          </cell>
          <cell r="V140">
            <v>0.10130510147594585</v>
          </cell>
        </row>
        <row r="141">
          <cell r="A141" t="str">
            <v>2005E/04E</v>
          </cell>
          <cell r="B141">
            <v>0.10320762163567586</v>
          </cell>
          <cell r="C141">
            <v>0.105706045078688</v>
          </cell>
          <cell r="D141">
            <v>0.10367362872602993</v>
          </cell>
          <cell r="E141">
            <v>0.10320762163567578</v>
          </cell>
          <cell r="F141">
            <v>0.10320762163567582</v>
          </cell>
          <cell r="G141">
            <v>9.781859621289446E-2</v>
          </cell>
          <cell r="H141">
            <v>8.6694034437937217E-2</v>
          </cell>
          <cell r="I141">
            <v>0.11822599634044012</v>
          </cell>
          <cell r="J141" t="str">
            <v xml:space="preserve">   NM </v>
          </cell>
          <cell r="K141" t="str">
            <v xml:space="preserve">   NM </v>
          </cell>
          <cell r="L141" t="str">
            <v xml:space="preserve">   NM </v>
          </cell>
          <cell r="M141" t="str">
            <v xml:space="preserve">   NM </v>
          </cell>
          <cell r="N141" t="str">
            <v xml:space="preserve">     NM </v>
          </cell>
          <cell r="O141" t="str">
            <v xml:space="preserve">     NM </v>
          </cell>
          <cell r="P141">
            <v>0.11822599634044012</v>
          </cell>
          <cell r="Q141">
            <v>0</v>
          </cell>
          <cell r="R141">
            <v>0.11822599634044002</v>
          </cell>
          <cell r="S141">
            <v>0</v>
          </cell>
          <cell r="T141">
            <v>0.11830427642030758</v>
          </cell>
          <cell r="U141">
            <v>-2.6462167039783221E-3</v>
          </cell>
          <cell r="V141">
            <v>0.1212714035380431</v>
          </cell>
        </row>
        <row r="143">
          <cell r="A143" t="str">
            <v>2001E</v>
          </cell>
          <cell r="B143">
            <v>16998.882450000001</v>
          </cell>
          <cell r="C143">
            <v>4115.9880623999998</v>
          </cell>
          <cell r="D143">
            <v>21114.870512400001</v>
          </cell>
          <cell r="E143">
            <v>2488.6363906800002</v>
          </cell>
          <cell r="F143">
            <v>14510.246059320001</v>
          </cell>
          <cell r="G143">
            <v>8201.0157070161604</v>
          </cell>
          <cell r="H143">
            <v>3652.8725986452</v>
          </cell>
          <cell r="I143">
            <v>6772.3458160586406</v>
          </cell>
          <cell r="J143">
            <v>0</v>
          </cell>
          <cell r="K143">
            <v>0</v>
          </cell>
          <cell r="L143">
            <v>0</v>
          </cell>
          <cell r="M143">
            <v>0</v>
          </cell>
          <cell r="N143">
            <v>0</v>
          </cell>
          <cell r="O143">
            <v>0</v>
          </cell>
          <cell r="P143">
            <v>6772.3458160586406</v>
          </cell>
          <cell r="Q143">
            <v>0.26497552436972488</v>
          </cell>
          <cell r="R143">
            <v>1794.5058838232505</v>
          </cell>
          <cell r="S143">
            <v>5</v>
          </cell>
          <cell r="T143">
            <v>4972.8399322353898</v>
          </cell>
          <cell r="U143">
            <v>3808.98</v>
          </cell>
          <cell r="V143">
            <v>1.3055568504521919</v>
          </cell>
        </row>
        <row r="144">
          <cell r="A144" t="str">
            <v>2002E</v>
          </cell>
          <cell r="B144">
            <v>19211.5052015</v>
          </cell>
          <cell r="C144">
            <v>4852.3875730399996</v>
          </cell>
          <cell r="D144">
            <v>24063.89277454</v>
          </cell>
          <cell r="E144">
            <v>2785.6682542174999</v>
          </cell>
          <cell r="F144">
            <v>16425.8369472825</v>
          </cell>
          <cell r="G144">
            <v>9240.5348254233595</v>
          </cell>
          <cell r="H144">
            <v>4066.79787889726</v>
          </cell>
          <cell r="I144">
            <v>7970.8918160018802</v>
          </cell>
          <cell r="J144">
            <v>0</v>
          </cell>
          <cell r="K144">
            <v>0</v>
          </cell>
          <cell r="L144">
            <v>0</v>
          </cell>
          <cell r="M144">
            <v>0</v>
          </cell>
          <cell r="N144">
            <v>0</v>
          </cell>
          <cell r="O144">
            <v>0</v>
          </cell>
          <cell r="P144">
            <v>7970.8918160018802</v>
          </cell>
          <cell r="Q144">
            <v>0.26497552436972488</v>
          </cell>
          <cell r="R144">
            <v>2112.0912386394466</v>
          </cell>
          <cell r="S144">
            <v>5</v>
          </cell>
          <cell r="T144">
            <v>5853.8005773624336</v>
          </cell>
          <cell r="U144">
            <v>3798.98</v>
          </cell>
          <cell r="V144">
            <v>1.540887442777386</v>
          </cell>
        </row>
        <row r="145">
          <cell r="A145" t="str">
            <v>2003E</v>
          </cell>
          <cell r="B145">
            <v>21674.519728344996</v>
          </cell>
          <cell r="C145">
            <v>5709.3688538048</v>
          </cell>
          <cell r="D145">
            <v>27383.888582149797</v>
          </cell>
          <cell r="E145">
            <v>3099.4563211533341</v>
          </cell>
          <cell r="F145">
            <v>18575.063407191661</v>
          </cell>
          <cell r="G145">
            <v>10405.877661216922</v>
          </cell>
          <cell r="H145">
            <v>4518.3416160547167</v>
          </cell>
          <cell r="I145">
            <v>9360.2129837248231</v>
          </cell>
          <cell r="J145">
            <v>0</v>
          </cell>
          <cell r="K145">
            <v>0</v>
          </cell>
          <cell r="L145">
            <v>0</v>
          </cell>
          <cell r="M145">
            <v>0</v>
          </cell>
          <cell r="N145">
            <v>0</v>
          </cell>
          <cell r="O145">
            <v>0</v>
          </cell>
          <cell r="P145">
            <v>9360.2129837248231</v>
          </cell>
          <cell r="Q145">
            <v>0.26497552436972488</v>
          </cell>
          <cell r="R145">
            <v>2480.227343574792</v>
          </cell>
          <cell r="S145">
            <v>5</v>
          </cell>
          <cell r="T145">
            <v>6874.985640150031</v>
          </cell>
          <cell r="U145">
            <v>3788.98</v>
          </cell>
          <cell r="V145">
            <v>1.8144687066572087</v>
          </cell>
        </row>
        <row r="146">
          <cell r="A146" t="str">
            <v>2004E</v>
          </cell>
          <cell r="B146">
            <v>24241.67749603335</v>
          </cell>
          <cell r="C146">
            <v>5558.3067812138625</v>
          </cell>
          <cell r="D146">
            <v>29799.984277247211</v>
          </cell>
          <cell r="E146">
            <v>3442.3182044367354</v>
          </cell>
          <cell r="F146">
            <v>20799.359291596615</v>
          </cell>
          <cell r="G146">
            <v>11234.594072522199</v>
          </cell>
          <cell r="H146">
            <v>4842.4974450526715</v>
          </cell>
          <cell r="I146">
            <v>10280.574555235606</v>
          </cell>
          <cell r="J146">
            <v>0</v>
          </cell>
          <cell r="K146">
            <v>0</v>
          </cell>
          <cell r="L146">
            <v>0</v>
          </cell>
          <cell r="M146">
            <v>0</v>
          </cell>
          <cell r="N146">
            <v>0</v>
          </cell>
          <cell r="O146">
            <v>0</v>
          </cell>
          <cell r="P146">
            <v>10280.574555235606</v>
          </cell>
          <cell r="Q146">
            <v>0.26497552436972488</v>
          </cell>
          <cell r="R146">
            <v>2724.1006335956058</v>
          </cell>
          <cell r="S146">
            <v>5</v>
          </cell>
          <cell r="T146">
            <v>7551.4739216399994</v>
          </cell>
          <cell r="U146">
            <v>3778.98</v>
          </cell>
          <cell r="V146">
            <v>1.9982836431100455</v>
          </cell>
        </row>
        <row r="147">
          <cell r="A147" t="str">
            <v>2005E</v>
          </cell>
          <cell r="B147">
            <v>26743.603374858038</v>
          </cell>
          <cell r="C147">
            <v>6145.8534083900322</v>
          </cell>
          <cell r="D147">
            <v>32889.456783248068</v>
          </cell>
          <cell r="E147">
            <v>3797.5916792298408</v>
          </cell>
          <cell r="F147">
            <v>22946.011695628196</v>
          </cell>
          <cell r="G147">
            <v>12333.546293718025</v>
          </cell>
          <cell r="H147">
            <v>5262.3130853196908</v>
          </cell>
          <cell r="I147">
            <v>11496.005724980512</v>
          </cell>
          <cell r="J147">
            <v>0</v>
          </cell>
          <cell r="K147">
            <v>0</v>
          </cell>
          <cell r="L147">
            <v>0</v>
          </cell>
          <cell r="M147">
            <v>0</v>
          </cell>
          <cell r="N147">
            <v>0</v>
          </cell>
          <cell r="O147">
            <v>0</v>
          </cell>
          <cell r="P147">
            <v>11496.005724980512</v>
          </cell>
          <cell r="Q147">
            <v>0.26497552436972488</v>
          </cell>
          <cell r="R147">
            <v>3046.1601451340703</v>
          </cell>
          <cell r="S147">
            <v>5</v>
          </cell>
          <cell r="T147">
            <v>8444.845579846442</v>
          </cell>
          <cell r="U147">
            <v>3768.98</v>
          </cell>
          <cell r="V147">
            <v>2.2406183051771147</v>
          </cell>
        </row>
        <row r="149">
          <cell r="A149" t="str">
            <v>Notes:</v>
          </cell>
        </row>
        <row r="150">
          <cell r="A150" t="str">
            <v>(a)  1994 and 1995 quarters have been restated for the divestiture of the Food Science Group, but not for the Medical Technology group.</v>
          </cell>
        </row>
        <row r="151">
          <cell r="A151" t="str">
            <v>(b) Alliance revenues include Lipitor, Aricept, and Celebrex profits.</v>
          </cell>
        </row>
        <row r="152">
          <cell r="A152" t="str">
            <v>(c)  Gross Profit excludes Alliance Revenues.</v>
          </cell>
        </row>
        <row r="153">
          <cell r="A153" t="str">
            <v>(d) Operating Income includes Alliance Revenues.</v>
          </cell>
        </row>
        <row r="154">
          <cell r="A154" t="str">
            <v>(e) In 2Q99, fine of $20 million aftertax paid to settle antitrust charges related to former Food Science Group.  It is reflected in discontinued operations.</v>
          </cell>
        </row>
        <row r="156">
          <cell r="A156" t="str">
            <v>E = Morgan Stanley Dean Witter Research Estimates       A = Actual       NM = Not Meaningful</v>
          </cell>
        </row>
      </sheetData>
      <sheetData sheetId="6" refreshError="1">
        <row r="1">
          <cell r="A1" t="str">
            <v>Table 4</v>
          </cell>
        </row>
        <row r="2">
          <cell r="A2" t="str">
            <v>Pfizer</v>
          </cell>
        </row>
        <row r="3">
          <cell r="A3" t="str">
            <v>Quarterly Margin Analysis 1998-2005E</v>
          </cell>
        </row>
        <row r="5">
          <cell r="D5" t="str">
            <v xml:space="preserve">  Gross</v>
          </cell>
          <cell r="G5" t="str">
            <v xml:space="preserve">Oper. </v>
          </cell>
          <cell r="H5" t="str">
            <v>Non-Operating Items</v>
          </cell>
        </row>
        <row r="6">
          <cell r="B6" t="str">
            <v xml:space="preserve">Total </v>
          </cell>
          <cell r="C6" t="str">
            <v xml:space="preserve"> Cost of</v>
          </cell>
          <cell r="D6" t="str">
            <v xml:space="preserve">  Profit</v>
          </cell>
          <cell r="G6" t="str">
            <v>Income</v>
          </cell>
          <cell r="H6" t="str">
            <v>Interest</v>
          </cell>
          <cell r="I6" t="str">
            <v>Interest</v>
          </cell>
          <cell r="L6" t="str">
            <v xml:space="preserve">  Other</v>
          </cell>
          <cell r="N6" t="str">
            <v>Pretax</v>
          </cell>
          <cell r="O6" t="str">
            <v xml:space="preserve">   Net</v>
          </cell>
        </row>
        <row r="7">
          <cell r="B7" t="str">
            <v>Sales</v>
          </cell>
          <cell r="C7" t="str">
            <v xml:space="preserve">   Goods</v>
          </cell>
          <cell r="D7" t="str">
            <v xml:space="preserve"> (c)</v>
          </cell>
          <cell r="E7" t="str">
            <v xml:space="preserve">   SG&amp;A</v>
          </cell>
          <cell r="F7" t="str">
            <v xml:space="preserve">    R&amp;D</v>
          </cell>
          <cell r="G7" t="str">
            <v xml:space="preserve">(d)    </v>
          </cell>
          <cell r="H7" t="str">
            <v>Income</v>
          </cell>
          <cell r="I7" t="str">
            <v>Expense</v>
          </cell>
          <cell r="J7" t="str">
            <v>Amort</v>
          </cell>
          <cell r="K7" t="str">
            <v>FX</v>
          </cell>
          <cell r="L7" t="str">
            <v xml:space="preserve">  (d)</v>
          </cell>
          <cell r="M7" t="str">
            <v xml:space="preserve">  Total</v>
          </cell>
          <cell r="N7" t="str">
            <v xml:space="preserve"> Income</v>
          </cell>
          <cell r="O7" t="str">
            <v xml:space="preserve"> Income</v>
          </cell>
        </row>
        <row r="9">
          <cell r="A9" t="str">
            <v>1994 (a)</v>
          </cell>
        </row>
        <row r="10">
          <cell r="A10" t="str">
            <v xml:space="preserve"> 1Q</v>
          </cell>
          <cell r="B10">
            <v>1</v>
          </cell>
          <cell r="C10">
            <v>0.20066977133587988</v>
          </cell>
          <cell r="D10">
            <v>0.79933022866412018</v>
          </cell>
          <cell r="E10">
            <v>0.37454868923656531</v>
          </cell>
          <cell r="F10">
            <v>0.13159960232326934</v>
          </cell>
          <cell r="H10">
            <v>1.2034953691591231E-2</v>
          </cell>
          <cell r="I10">
            <v>-1.7790801109308776E-2</v>
          </cell>
          <cell r="J10">
            <v>-1.5697765684684214E-3</v>
          </cell>
          <cell r="K10">
            <v>-1.0465177123122808E-3</v>
          </cell>
          <cell r="L10">
            <v>-1.0517503008738424E-2</v>
          </cell>
          <cell r="M10">
            <v>-1.8889644707236673E-2</v>
          </cell>
          <cell r="N10">
            <v>0.27429229239704878</v>
          </cell>
          <cell r="O10">
            <v>0.19177437078122545</v>
          </cell>
        </row>
        <row r="11">
          <cell r="A11" t="str">
            <v xml:space="preserve"> 2Q</v>
          </cell>
          <cell r="B11">
            <v>1</v>
          </cell>
          <cell r="C11">
            <v>0.22478604701549126</v>
          </cell>
          <cell r="D11">
            <v>0.77521395298450879</v>
          </cell>
          <cell r="E11">
            <v>0.42433105839020691</v>
          </cell>
          <cell r="F11">
            <v>0.1401798288376124</v>
          </cell>
          <cell r="H11">
            <v>1.516628750947893E-2</v>
          </cell>
          <cell r="I11">
            <v>-1.6249593760155997E-2</v>
          </cell>
          <cell r="J11">
            <v>-1.6249593760155996E-3</v>
          </cell>
          <cell r="K11">
            <v>-2.1666125013541327E-3</v>
          </cell>
          <cell r="L11">
            <v>-1.1537211569710758E-2</v>
          </cell>
          <cell r="M11">
            <v>-1.6412089697757554E-2</v>
          </cell>
          <cell r="N11">
            <v>0.19429097605893189</v>
          </cell>
          <cell r="O11">
            <v>0.13497995883436251</v>
          </cell>
        </row>
        <row r="12">
          <cell r="A12" t="str">
            <v xml:space="preserve"> 3Q</v>
          </cell>
          <cell r="B12">
            <v>1</v>
          </cell>
          <cell r="C12">
            <v>0.21453132007773956</v>
          </cell>
          <cell r="D12">
            <v>0.78546867992226044</v>
          </cell>
          <cell r="E12">
            <v>0.38879752828026115</v>
          </cell>
          <cell r="F12">
            <v>0.14586136442916231</v>
          </cell>
          <cell r="H12">
            <v>1.6943240145512534E-2</v>
          </cell>
          <cell r="I12">
            <v>-1.5946578960482384E-2</v>
          </cell>
          <cell r="J12">
            <v>-1.993322370060298E-3</v>
          </cell>
          <cell r="K12">
            <v>4.983305925150745E-4</v>
          </cell>
          <cell r="L12">
            <v>-1.1062939153834654E-2</v>
          </cell>
          <cell r="M12">
            <v>-1.1561269746349728E-2</v>
          </cell>
          <cell r="N12">
            <v>0.23924851746648729</v>
          </cell>
          <cell r="O12">
            <v>0.16694074849254997</v>
          </cell>
        </row>
        <row r="13">
          <cell r="A13" t="str">
            <v xml:space="preserve"> 4Q</v>
          </cell>
          <cell r="B13">
            <v>1</v>
          </cell>
          <cell r="C13">
            <v>0.22283468124519945</v>
          </cell>
          <cell r="D13">
            <v>0.77716531875480055</v>
          </cell>
          <cell r="E13">
            <v>0.40875615596620429</v>
          </cell>
          <cell r="F13">
            <v>0.14598111417340623</v>
          </cell>
          <cell r="H13">
            <v>1.7168933267067275E-2</v>
          </cell>
          <cell r="I13">
            <v>-1.4006235033660145E-2</v>
          </cell>
          <cell r="J13">
            <v>-1.8072561333755024E-3</v>
          </cell>
          <cell r="K13">
            <v>0</v>
          </cell>
          <cell r="L13">
            <v>-1.2560430126959742E-2</v>
          </cell>
          <cell r="M13">
            <v>-1.1204988026928115E-2</v>
          </cell>
          <cell r="N13">
            <v>0.21122306058826187</v>
          </cell>
          <cell r="O13">
            <v>0.14729137487010349</v>
          </cell>
        </row>
        <row r="15">
          <cell r="A15" t="str">
            <v>1994 (a)</v>
          </cell>
          <cell r="B15">
            <v>1</v>
          </cell>
          <cell r="C15">
            <v>0.21588758101111905</v>
          </cell>
          <cell r="D15">
            <v>0.78411241898888095</v>
          </cell>
          <cell r="E15">
            <v>0.39914507414789457</v>
          </cell>
          <cell r="F15">
            <v>0.14116305015481428</v>
          </cell>
          <cell r="G15">
            <v>0.24380429468617201</v>
          </cell>
          <cell r="H15">
            <v>1.5418750705125795E-2</v>
          </cell>
          <cell r="I15">
            <v>-1.5920173492284355E-2</v>
          </cell>
          <cell r="J15">
            <v>-1.7549797550549685E-3</v>
          </cell>
          <cell r="K15">
            <v>-6.2677848394820305E-4</v>
          </cell>
          <cell r="L15">
            <v>-1.1457510686573151E-2</v>
          </cell>
          <cell r="M15">
            <v>-1.4340691712734886E-2</v>
          </cell>
          <cell r="N15">
            <v>0.22946360297343713</v>
          </cell>
          <cell r="O15">
            <v>0.16004161809133416</v>
          </cell>
        </row>
        <row r="17">
          <cell r="A17" t="str">
            <v>1995 (a)</v>
          </cell>
        </row>
        <row r="18">
          <cell r="A18" t="str">
            <v xml:space="preserve"> 1Q</v>
          </cell>
          <cell r="B18">
            <v>1</v>
          </cell>
          <cell r="C18">
            <v>0.21770744225834046</v>
          </cell>
          <cell r="D18">
            <v>0.78229255774165951</v>
          </cell>
          <cell r="E18">
            <v>0.36313088109495295</v>
          </cell>
          <cell r="F18">
            <v>0.13387510692899915</v>
          </cell>
          <cell r="G18">
            <v>0.28528656971770738</v>
          </cell>
          <cell r="H18">
            <v>2.0530367835757058E-2</v>
          </cell>
          <cell r="I18">
            <v>-2.1385799828913601E-2</v>
          </cell>
          <cell r="J18">
            <v>-3.8494439692044482E-3</v>
          </cell>
          <cell r="K18">
            <v>8.5543199315654401E-4</v>
          </cell>
          <cell r="L18">
            <v>-1.2831479897348161E-2</v>
          </cell>
          <cell r="M18">
            <v>-1.6680923866552608E-2</v>
          </cell>
          <cell r="N18">
            <v>0.26860564585115482</v>
          </cell>
          <cell r="O18">
            <v>0.17921300256629599</v>
          </cell>
        </row>
        <row r="19">
          <cell r="A19" t="str">
            <v xml:space="preserve"> 2Q</v>
          </cell>
          <cell r="B19">
            <v>1</v>
          </cell>
          <cell r="C19">
            <v>0.22990420658059141</v>
          </cell>
          <cell r="D19">
            <v>0.77009579341940859</v>
          </cell>
          <cell r="E19">
            <v>0.40274885464389837</v>
          </cell>
          <cell r="F19">
            <v>0.14743856726364016</v>
          </cell>
          <cell r="G19">
            <v>0.21990837151187007</v>
          </cell>
          <cell r="H19">
            <v>1.582673885880883E-2</v>
          </cell>
          <cell r="I19">
            <v>-2.3323615160349854E-2</v>
          </cell>
          <cell r="J19">
            <v>-5.414410662224073E-3</v>
          </cell>
          <cell r="K19">
            <v>1.6659725114535611E-3</v>
          </cell>
          <cell r="L19">
            <v>-1.3744273219491879E-2</v>
          </cell>
          <cell r="M19">
            <v>-2.4989587671803416E-2</v>
          </cell>
          <cell r="N19">
            <v>0.19491878384006664</v>
          </cell>
          <cell r="O19">
            <v>0.12952936276551436</v>
          </cell>
        </row>
        <row r="20">
          <cell r="A20" t="str">
            <v xml:space="preserve"> 3Q</v>
          </cell>
          <cell r="B20">
            <v>1</v>
          </cell>
          <cell r="C20">
            <v>0.21118991331757289</v>
          </cell>
          <cell r="D20">
            <v>0.78881008668242714</v>
          </cell>
          <cell r="E20">
            <v>0.37825059101654845</v>
          </cell>
          <cell r="F20">
            <v>0.13829787234042554</v>
          </cell>
          <cell r="G20">
            <v>0.27226162332545312</v>
          </cell>
          <cell r="H20">
            <v>1.4184397163120567E-2</v>
          </cell>
          <cell r="I20">
            <v>-1.8124507486209612E-2</v>
          </cell>
          <cell r="J20">
            <v>-6.3041765169424748E-3</v>
          </cell>
          <cell r="K20">
            <v>-3.5460992907801418E-3</v>
          </cell>
          <cell r="L20">
            <v>-1.1820330969267139E-2</v>
          </cell>
          <cell r="M20">
            <v>-2.5610717100078801E-2</v>
          </cell>
          <cell r="N20">
            <v>0.24665090622537431</v>
          </cell>
          <cell r="O20">
            <v>0.16509062253743104</v>
          </cell>
        </row>
        <row r="21">
          <cell r="A21" t="str">
            <v xml:space="preserve"> 4Q</v>
          </cell>
          <cell r="B21">
            <v>1</v>
          </cell>
          <cell r="C21">
            <v>0.2066326530612245</v>
          </cell>
          <cell r="D21">
            <v>0.79336734693877553</v>
          </cell>
          <cell r="E21">
            <v>0.39322157434402333</v>
          </cell>
          <cell r="F21">
            <v>0.15451895043731778</v>
          </cell>
          <cell r="G21">
            <v>0.24562682215743442</v>
          </cell>
          <cell r="H21">
            <v>1.3119533527696793E-2</v>
          </cell>
          <cell r="I21">
            <v>-1.4941690962099125E-2</v>
          </cell>
          <cell r="J21">
            <v>-2.9154518950437317E-3</v>
          </cell>
          <cell r="K21">
            <v>0</v>
          </cell>
          <cell r="L21">
            <v>-3.0612244897959183E-2</v>
          </cell>
          <cell r="M21">
            <v>-3.5349854227405247E-2</v>
          </cell>
          <cell r="N21">
            <v>0.21027696793002915</v>
          </cell>
          <cell r="O21">
            <v>0.14759475218658893</v>
          </cell>
        </row>
        <row r="23">
          <cell r="A23" t="str">
            <v>1995 (a)</v>
          </cell>
          <cell r="B23">
            <v>1</v>
          </cell>
          <cell r="C23">
            <v>0.21594651232411935</v>
          </cell>
          <cell r="D23">
            <v>0.78405348767588068</v>
          </cell>
          <cell r="E23">
            <v>0.38469214649236605</v>
          </cell>
          <cell r="F23">
            <v>0.14389781458936235</v>
          </cell>
          <cell r="G23">
            <v>0.25546352659415228</v>
          </cell>
          <cell r="H23">
            <v>1.5766889531982835E-2</v>
          </cell>
          <cell r="I23">
            <v>-1.9259554934637262E-2</v>
          </cell>
          <cell r="J23">
            <v>-4.5903602434886736E-3</v>
          </cell>
          <cell r="K23">
            <v>-2.9937132022752222E-4</v>
          </cell>
          <cell r="L23">
            <v>-1.7662907893423809E-2</v>
          </cell>
          <cell r="M23">
            <v>-2.6045304859794432E-2</v>
          </cell>
          <cell r="N23">
            <v>0.22941822173435786</v>
          </cell>
          <cell r="O23">
            <v>0.15507434387785651</v>
          </cell>
        </row>
        <row r="25">
          <cell r="A25" t="str">
            <v>1996 (a)</v>
          </cell>
        </row>
        <row r="26">
          <cell r="A26" t="str">
            <v xml:space="preserve"> 1Q</v>
          </cell>
          <cell r="B26">
            <v>1</v>
          </cell>
          <cell r="C26">
            <v>0.1912751677852349</v>
          </cell>
          <cell r="D26">
            <v>0.8087248322147651</v>
          </cell>
          <cell r="E26">
            <v>0.37061894108873977</v>
          </cell>
          <cell r="F26">
            <v>0.13646532438478748</v>
          </cell>
          <cell r="G26">
            <v>0.3016405667412379</v>
          </cell>
          <cell r="H26">
            <v>1.0812826249067859E-2</v>
          </cell>
          <cell r="I26">
            <v>-1.4168530947054437E-2</v>
          </cell>
          <cell r="J26">
            <v>-5.219985085756898E-3</v>
          </cell>
          <cell r="K26">
            <v>-1.4914243102162564E-3</v>
          </cell>
          <cell r="L26">
            <v>-1.1185682326621925E-2</v>
          </cell>
          <cell r="M26">
            <v>-2.1252796420581657E-2</v>
          </cell>
          <cell r="N26">
            <v>0.2803877703206562</v>
          </cell>
          <cell r="O26">
            <v>0.19276659209545116</v>
          </cell>
        </row>
        <row r="27">
          <cell r="A27" t="str">
            <v xml:space="preserve"> 2Q</v>
          </cell>
          <cell r="B27">
            <v>1</v>
          </cell>
          <cell r="C27">
            <v>0.19579105599398722</v>
          </cell>
          <cell r="D27">
            <v>0.80420894400601273</v>
          </cell>
          <cell r="E27">
            <v>0.40698985343855693</v>
          </cell>
          <cell r="F27">
            <v>0.15858699736941001</v>
          </cell>
          <cell r="G27">
            <v>0.23863209319804585</v>
          </cell>
          <cell r="H27">
            <v>1.1649755730928222E-2</v>
          </cell>
          <cell r="I27">
            <v>-1.5783540022547914E-2</v>
          </cell>
          <cell r="J27">
            <v>-5.2611800075159712E-3</v>
          </cell>
          <cell r="K27">
            <v>-1.5031942878617061E-3</v>
          </cell>
          <cell r="L27">
            <v>-1.2025554302893648E-2</v>
          </cell>
          <cell r="M27">
            <v>-2.2923712889891017E-2</v>
          </cell>
          <cell r="N27">
            <v>0.21570838030815484</v>
          </cell>
          <cell r="O27">
            <v>0.14806463735437805</v>
          </cell>
        </row>
        <row r="28">
          <cell r="A28" t="str">
            <v xml:space="preserve"> 3Q</v>
          </cell>
          <cell r="B28">
            <v>1</v>
          </cell>
          <cell r="C28">
            <v>0.18622904031394935</v>
          </cell>
          <cell r="D28">
            <v>0.81377095968605062</v>
          </cell>
          <cell r="E28">
            <v>0.37103103817338567</v>
          </cell>
          <cell r="F28">
            <v>0.14484480913307171</v>
          </cell>
          <cell r="G28">
            <v>0.29789511237959332</v>
          </cell>
          <cell r="H28">
            <v>1.1773100249732429E-2</v>
          </cell>
          <cell r="I28">
            <v>-1.3913663931501962E-2</v>
          </cell>
          <cell r="J28">
            <v>-7.1352122725651087E-3</v>
          </cell>
          <cell r="K28">
            <v>-1.7838030681412772E-3</v>
          </cell>
          <cell r="L28">
            <v>-1.9621833749554049E-2</v>
          </cell>
          <cell r="M28">
            <v>-3.0681412772029969E-2</v>
          </cell>
          <cell r="N28">
            <v>0.2672136996075633</v>
          </cell>
          <cell r="O28">
            <v>0.1833749554049233</v>
          </cell>
        </row>
        <row r="29">
          <cell r="A29" t="str">
            <v xml:space="preserve"> 4Q</v>
          </cell>
          <cell r="B29">
            <v>1</v>
          </cell>
          <cell r="C29">
            <v>0.19620253164556961</v>
          </cell>
          <cell r="D29">
            <v>0.80379746835443044</v>
          </cell>
          <cell r="E29">
            <v>0.39525316455696202</v>
          </cell>
          <cell r="F29">
            <v>0.1550632911392405</v>
          </cell>
          <cell r="G29">
            <v>0.25348101265822787</v>
          </cell>
          <cell r="H29">
            <v>1.3291139240506329E-2</v>
          </cell>
          <cell r="I29">
            <v>-1.4556962025316455E-2</v>
          </cell>
          <cell r="J29">
            <v>-5.6962025316455696E-3</v>
          </cell>
          <cell r="K29">
            <v>-6.329113924050633E-4</v>
          </cell>
          <cell r="L29">
            <v>-1.5189873417721518E-2</v>
          </cell>
          <cell r="M29">
            <v>-2.2784810126582278E-2</v>
          </cell>
          <cell r="N29">
            <v>0.23069620253164558</v>
          </cell>
          <cell r="O29">
            <v>0.15949367088607594</v>
          </cell>
        </row>
        <row r="31">
          <cell r="A31" t="str">
            <v>Year</v>
          </cell>
          <cell r="B31">
            <v>1</v>
          </cell>
          <cell r="C31">
            <v>0.19246417831240051</v>
          </cell>
          <cell r="D31">
            <v>0.80753582168759952</v>
          </cell>
          <cell r="E31">
            <v>0.38616663718379624</v>
          </cell>
          <cell r="F31">
            <v>0.14894746152485405</v>
          </cell>
          <cell r="G31">
            <v>0.27242172297894923</v>
          </cell>
          <cell r="H31">
            <v>1.194056253316823E-2</v>
          </cell>
          <cell r="I31">
            <v>-1.4594020873872281E-2</v>
          </cell>
          <cell r="J31">
            <v>-5.8376083495489117E-3</v>
          </cell>
          <cell r="K31">
            <v>-1.3267291703520255E-3</v>
          </cell>
          <cell r="L31">
            <v>-1.4594020873872281E-2</v>
          </cell>
          <cell r="M31">
            <v>-2.441181673447727E-2</v>
          </cell>
          <cell r="N31">
            <v>0.24800990624447197</v>
          </cell>
          <cell r="O31">
            <v>0.17061737130727048</v>
          </cell>
        </row>
        <row r="33">
          <cell r="A33" t="str">
            <v>1997</v>
          </cell>
        </row>
        <row r="34">
          <cell r="A34" t="str">
            <v xml:space="preserve"> 1Q</v>
          </cell>
          <cell r="B34">
            <v>1</v>
          </cell>
          <cell r="C34">
            <v>0.16120625465376023</v>
          </cell>
          <cell r="D34">
            <v>0.83879374534623974</v>
          </cell>
          <cell r="E34">
            <v>0.36685288640595903</v>
          </cell>
          <cell r="F34">
            <v>0.14450651769087522</v>
          </cell>
          <cell r="G34">
            <v>0.32737430167597764</v>
          </cell>
          <cell r="H34">
            <v>1.266294227188082E-2</v>
          </cell>
          <cell r="I34">
            <v>-1.3780260707635009E-2</v>
          </cell>
          <cell r="J34">
            <v>-6.7039106145251395E-3</v>
          </cell>
          <cell r="K34">
            <v>-2.2346368715083797E-3</v>
          </cell>
          <cell r="L34">
            <v>-1.3035381750465549E-2</v>
          </cell>
          <cell r="M34">
            <v>-2.3091247672253259E-2</v>
          </cell>
          <cell r="N34">
            <v>0.30428305400372441</v>
          </cell>
          <cell r="O34">
            <v>0.21378026070763501</v>
          </cell>
        </row>
        <row r="35">
          <cell r="A35" t="str">
            <v xml:space="preserve"> 2Q</v>
          </cell>
          <cell r="B35">
            <v>1</v>
          </cell>
          <cell r="C35">
            <v>0.15609951845906903</v>
          </cell>
          <cell r="D35">
            <v>0.843900481540931</v>
          </cell>
          <cell r="E35">
            <v>0.43198745589964721</v>
          </cell>
          <cell r="F35">
            <v>0.16856134849078794</v>
          </cell>
          <cell r="G35">
            <v>0.24696197569580558</v>
          </cell>
          <cell r="H35">
            <v>1.4896119168953352E-2</v>
          </cell>
          <cell r="I35">
            <v>-1.4504116032928263E-2</v>
          </cell>
          <cell r="J35">
            <v>-6.2720501764014112E-3</v>
          </cell>
          <cell r="K35">
            <v>-1.1760094080752645E-3</v>
          </cell>
          <cell r="L35">
            <v>-1.3328106624852998E-2</v>
          </cell>
          <cell r="M35">
            <v>-2.0384163073304585E-2</v>
          </cell>
          <cell r="N35">
            <v>0.22657781262250098</v>
          </cell>
          <cell r="O35">
            <v>0.16542532340258723</v>
          </cell>
        </row>
        <row r="36">
          <cell r="A36" t="str">
            <v xml:space="preserve"> 3Q</v>
          </cell>
          <cell r="B36">
            <v>1</v>
          </cell>
          <cell r="C36">
            <v>0.1595022624434389</v>
          </cell>
          <cell r="D36">
            <v>0.8404977375565611</v>
          </cell>
          <cell r="E36">
            <v>0.38259919912631962</v>
          </cell>
          <cell r="F36">
            <v>0.16272297051328721</v>
          </cell>
          <cell r="G36">
            <v>0.30069166363305422</v>
          </cell>
          <cell r="H36">
            <v>1.4197306152166E-2</v>
          </cell>
          <cell r="I36">
            <v>-1.4197306152166E-2</v>
          </cell>
          <cell r="J36">
            <v>-6.5526028394612308E-3</v>
          </cell>
          <cell r="K36">
            <v>-4.3684018929741539E-3</v>
          </cell>
          <cell r="L36">
            <v>-8.0087368037859482E-3</v>
          </cell>
          <cell r="M36">
            <v>-1.8929741536221331E-2</v>
          </cell>
          <cell r="N36">
            <v>0.28176192209683293</v>
          </cell>
          <cell r="O36">
            <v>0.2107753913360029</v>
          </cell>
        </row>
        <row r="37">
          <cell r="A37" t="str">
            <v xml:space="preserve"> 4Q</v>
          </cell>
          <cell r="B37">
            <v>1</v>
          </cell>
          <cell r="C37">
            <v>0.18253695427982125</v>
          </cell>
          <cell r="D37">
            <v>0.8174630457201788</v>
          </cell>
          <cell r="E37">
            <v>0.4111328125</v>
          </cell>
          <cell r="F37">
            <v>0.17578125</v>
          </cell>
          <cell r="G37">
            <v>0.240234375</v>
          </cell>
          <cell r="H37">
            <v>1.46484375E-2</v>
          </cell>
          <cell r="I37">
            <v>-1.1067708333333334E-2</v>
          </cell>
          <cell r="J37">
            <v>-5.208333333333333E-3</v>
          </cell>
          <cell r="K37">
            <v>-2.2786458333333335E-3</v>
          </cell>
          <cell r="L37">
            <v>-1.2369791666666666E-2</v>
          </cell>
          <cell r="M37">
            <v>-1.6276041666666668E-2</v>
          </cell>
          <cell r="N37">
            <v>0.22395833333333334</v>
          </cell>
          <cell r="O37">
            <v>0.16276041666666666</v>
          </cell>
        </row>
        <row r="39">
          <cell r="A39" t="str">
            <v>Year</v>
          </cell>
          <cell r="B39">
            <v>1</v>
          </cell>
          <cell r="C39">
            <v>0.16537852686469875</v>
          </cell>
          <cell r="D39">
            <v>0.83462147313530122</v>
          </cell>
          <cell r="E39">
            <v>0.39810040705563093</v>
          </cell>
          <cell r="F39">
            <v>0.16327453640886477</v>
          </cell>
          <cell r="G39">
            <v>0.27797376752600633</v>
          </cell>
          <cell r="H39">
            <v>1.4111261872455903E-2</v>
          </cell>
          <cell r="I39">
            <v>-1.3297150610583446E-2</v>
          </cell>
          <cell r="J39">
            <v>-6.1510628674807779E-3</v>
          </cell>
          <cell r="K39">
            <v>-2.5327905924920849E-3</v>
          </cell>
          <cell r="L39">
            <v>-1.1668928086838535E-2</v>
          </cell>
          <cell r="M39">
            <v>-1.9538670284938942E-2</v>
          </cell>
          <cell r="N39">
            <v>0.25843509724106739</v>
          </cell>
          <cell r="O39">
            <v>0.18769787426503845</v>
          </cell>
        </row>
        <row r="41">
          <cell r="A41" t="str">
            <v>1998</v>
          </cell>
        </row>
        <row r="42">
          <cell r="A42" t="str">
            <v xml:space="preserve"> 1Q</v>
          </cell>
          <cell r="B42">
            <v>1</v>
          </cell>
          <cell r="C42">
            <v>0.1483021483021483</v>
          </cell>
          <cell r="D42">
            <v>0.85169785169785173</v>
          </cell>
          <cell r="E42">
            <v>0.39492753623188404</v>
          </cell>
          <cell r="F42">
            <v>0.15843214756258234</v>
          </cell>
          <cell r="G42">
            <v>0.30566534914360999</v>
          </cell>
          <cell r="H42">
            <v>1.1857707509881422E-2</v>
          </cell>
          <cell r="I42">
            <v>-8.8932806324110679E-3</v>
          </cell>
          <cell r="J42">
            <v>-3.952569169960474E-3</v>
          </cell>
          <cell r="K42">
            <v>1.6469038208168643E-3</v>
          </cell>
          <cell r="L42">
            <v>-1.0869565217391304E-2</v>
          </cell>
          <cell r="M42">
            <v>-1.0210803689064558E-2</v>
          </cell>
          <cell r="N42">
            <v>0.29545454545454547</v>
          </cell>
          <cell r="O42">
            <v>0.21113306982872201</v>
          </cell>
        </row>
        <row r="43">
          <cell r="A43" t="str">
            <v xml:space="preserve"> 2Q</v>
          </cell>
          <cell r="B43">
            <v>1</v>
          </cell>
          <cell r="C43">
            <v>0.15189466923570971</v>
          </cell>
          <cell r="D43">
            <v>0.84810533076429029</v>
          </cell>
          <cell r="E43">
            <v>0.41274154589371981</v>
          </cell>
          <cell r="F43">
            <v>0.16606280193236714</v>
          </cell>
          <cell r="G43">
            <v>0.27838164251207731</v>
          </cell>
          <cell r="H43">
            <v>1.2077294685990338E-2</v>
          </cell>
          <cell r="I43">
            <v>-1.0265700483091788E-2</v>
          </cell>
          <cell r="J43">
            <v>-3.6231884057971015E-3</v>
          </cell>
          <cell r="K43">
            <v>-1.2077294685990338E-3</v>
          </cell>
          <cell r="L43">
            <v>-1.3285024154589372E-2</v>
          </cell>
          <cell r="M43">
            <v>-1.6304347826086956E-2</v>
          </cell>
          <cell r="N43">
            <v>0.26207729468599034</v>
          </cell>
          <cell r="O43">
            <v>0.18357487922705315</v>
          </cell>
        </row>
        <row r="44">
          <cell r="A44" t="str">
            <v xml:space="preserve"> 3Q</v>
          </cell>
          <cell r="B44">
            <v>1</v>
          </cell>
          <cell r="C44">
            <v>0.15241157556270096</v>
          </cell>
          <cell r="D44">
            <v>0.84758842443729909</v>
          </cell>
          <cell r="E44">
            <v>0.39729729729729729</v>
          </cell>
          <cell r="F44">
            <v>0.16516516516516516</v>
          </cell>
          <cell r="G44">
            <v>0.29519519519519521</v>
          </cell>
          <cell r="H44">
            <v>1.2612612612612612E-2</v>
          </cell>
          <cell r="I44">
            <v>-1.0510510510510511E-2</v>
          </cell>
          <cell r="J44">
            <v>-3.6036036036036037E-3</v>
          </cell>
          <cell r="K44">
            <v>-3.003003003003003E-3</v>
          </cell>
          <cell r="L44">
            <v>-1.5015015015015015E-2</v>
          </cell>
          <cell r="M44">
            <v>-1.951951951951952E-2</v>
          </cell>
          <cell r="N44">
            <v>0.27567567567567569</v>
          </cell>
          <cell r="O44">
            <v>0.19429429429429429</v>
          </cell>
        </row>
        <row r="45">
          <cell r="A45" t="str">
            <v xml:space="preserve"> 4Q</v>
          </cell>
          <cell r="B45">
            <v>1</v>
          </cell>
          <cell r="C45">
            <v>0.17045135968601066</v>
          </cell>
          <cell r="D45">
            <v>0.82954864031398934</v>
          </cell>
          <cell r="E45">
            <v>0.42653905845835488</v>
          </cell>
          <cell r="F45">
            <v>0.17873771339886188</v>
          </cell>
          <cell r="G45">
            <v>0.23745473357475427</v>
          </cell>
          <cell r="H45">
            <v>1.4226590791515779E-2</v>
          </cell>
          <cell r="I45">
            <v>-9.0532850491464052E-3</v>
          </cell>
          <cell r="J45">
            <v>-3.1039834454216243E-3</v>
          </cell>
          <cell r="K45">
            <v>2.5866528711846869E-3</v>
          </cell>
          <cell r="L45">
            <v>2.8453181583031556E-3</v>
          </cell>
          <cell r="M45">
            <v>7.5012933264355921E-3</v>
          </cell>
          <cell r="N45">
            <v>0.24495602690118987</v>
          </cell>
          <cell r="O45">
            <v>0.18391101914123126</v>
          </cell>
        </row>
        <row r="47">
          <cell r="A47" t="str">
            <v>Year</v>
          </cell>
          <cell r="B47">
            <v>1</v>
          </cell>
          <cell r="C47">
            <v>0.15642502169282954</v>
          </cell>
          <cell r="D47">
            <v>0.84357497830717043</v>
          </cell>
          <cell r="E47">
            <v>0.40888954518606024</v>
          </cell>
          <cell r="F47">
            <v>0.16774955699940933</v>
          </cell>
          <cell r="G47">
            <v>0.27694920259893679</v>
          </cell>
          <cell r="H47">
            <v>1.2773183697578263E-2</v>
          </cell>
          <cell r="I47">
            <v>-9.6721795629060841E-3</v>
          </cell>
          <cell r="J47">
            <v>-3.5440047253396337E-3</v>
          </cell>
          <cell r="K47">
            <v>7.3833431777909036E-5</v>
          </cell>
          <cell r="L47">
            <v>-8.5646780862374487E-3</v>
          </cell>
          <cell r="M47">
            <v>-8.9338452451269926E-3</v>
          </cell>
          <cell r="N47">
            <v>0.26801535735380982</v>
          </cell>
          <cell r="O47">
            <v>0.19248375664500886</v>
          </cell>
        </row>
        <row r="49">
          <cell r="A49" t="str">
            <v>1999</v>
          </cell>
        </row>
        <row r="50">
          <cell r="A50" t="str">
            <v xml:space="preserve"> 1Q</v>
          </cell>
          <cell r="B50">
            <v>1</v>
          </cell>
          <cell r="C50">
            <v>0.15493757094211125</v>
          </cell>
          <cell r="D50">
            <v>0.84506242905788875</v>
          </cell>
          <cell r="E50">
            <v>0.3997962821492233</v>
          </cell>
          <cell r="F50">
            <v>0.16679399032340209</v>
          </cell>
          <cell r="G50">
            <v>0.2943722943722944</v>
          </cell>
          <cell r="H50">
            <v>1.680672268907563E-2</v>
          </cell>
          <cell r="I50">
            <v>-1.0440539852304559E-2</v>
          </cell>
          <cell r="J50">
            <v>-2.8011204481792717E-3</v>
          </cell>
          <cell r="K50">
            <v>1.7825311942959001E-3</v>
          </cell>
          <cell r="L50">
            <v>-6.6208301502419147E-3</v>
          </cell>
          <cell r="M50">
            <v>-1.2732365673542145E-3</v>
          </cell>
          <cell r="N50">
            <v>0.29309905780494017</v>
          </cell>
          <cell r="O50">
            <v>0.20804685510567864</v>
          </cell>
        </row>
        <row r="51">
          <cell r="A51" t="str">
            <v xml:space="preserve"> 2Q</v>
          </cell>
          <cell r="B51">
            <v>1</v>
          </cell>
          <cell r="C51">
            <v>0.14432989690721648</v>
          </cell>
          <cell r="D51">
            <v>0.85567010309278357</v>
          </cell>
          <cell r="E51">
            <v>0.41413072241333687</v>
          </cell>
          <cell r="F51">
            <v>0.17650172003175443</v>
          </cell>
          <cell r="G51">
            <v>0.28340830907647524</v>
          </cell>
          <cell r="H51">
            <v>1.9052659433712621E-2</v>
          </cell>
          <cell r="I51">
            <v>-1.4024874305371792E-2</v>
          </cell>
          <cell r="J51">
            <v>-2.6462026991267533E-3</v>
          </cell>
          <cell r="K51">
            <v>1.0584810796507012E-3</v>
          </cell>
          <cell r="L51">
            <v>-1.4818735115109817E-2</v>
          </cell>
          <cell r="M51">
            <v>-1.1378671606245038E-2</v>
          </cell>
          <cell r="N51">
            <v>0.27202963747023023</v>
          </cell>
          <cell r="O51">
            <v>0.19290817676634031</v>
          </cell>
        </row>
        <row r="52">
          <cell r="A52" t="str">
            <v xml:space="preserve"> 3Q</v>
          </cell>
          <cell r="B52">
            <v>1</v>
          </cell>
          <cell r="C52">
            <v>0.14577855682150162</v>
          </cell>
          <cell r="D52">
            <v>0.85422144317849835</v>
          </cell>
          <cell r="E52">
            <v>0.36873747494989978</v>
          </cell>
          <cell r="F52">
            <v>0.17384769539078157</v>
          </cell>
          <cell r="G52">
            <v>0.33241482965931862</v>
          </cell>
          <cell r="H52">
            <v>1.9038076152304611E-2</v>
          </cell>
          <cell r="I52">
            <v>-1.5280561122244489E-2</v>
          </cell>
          <cell r="J52">
            <v>-2.7555110220440883E-3</v>
          </cell>
          <cell r="K52">
            <v>-3.5070140280561123E-3</v>
          </cell>
          <cell r="L52">
            <v>-1.002004008016032E-2</v>
          </cell>
          <cell r="M52">
            <v>-1.2525050100200401E-2</v>
          </cell>
          <cell r="N52">
            <v>0.31988977955911824</v>
          </cell>
          <cell r="O52">
            <v>0.22695390781563127</v>
          </cell>
        </row>
        <row r="53">
          <cell r="A53" t="str">
            <v xml:space="preserve"> 4Q</v>
          </cell>
          <cell r="B53">
            <v>1</v>
          </cell>
          <cell r="C53">
            <v>0.17905839979418575</v>
          </cell>
          <cell r="D53">
            <v>0.8209416002058143</v>
          </cell>
          <cell r="E53">
            <v>0.38726142920550377</v>
          </cell>
          <cell r="F53">
            <v>0.16866400355082112</v>
          </cell>
          <cell r="G53">
            <v>0.28961384820239683</v>
          </cell>
          <cell r="H53">
            <v>0</v>
          </cell>
          <cell r="I53">
            <v>0</v>
          </cell>
          <cell r="J53">
            <v>0</v>
          </cell>
          <cell r="K53">
            <v>0</v>
          </cell>
          <cell r="L53">
            <v>-2.2192632046160674E-4</v>
          </cell>
          <cell r="M53">
            <v>-2.2192632046160674E-4</v>
          </cell>
          <cell r="N53">
            <v>0.28939192188193519</v>
          </cell>
          <cell r="O53">
            <v>0.21171770972037285</v>
          </cell>
        </row>
        <row r="55">
          <cell r="A55" t="str">
            <v>Year</v>
          </cell>
          <cell r="B55">
            <v>1</v>
          </cell>
          <cell r="C55">
            <v>0.15687800735918483</v>
          </cell>
          <cell r="D55">
            <v>0.84312199264081511</v>
          </cell>
          <cell r="E55">
            <v>0.39200197482103183</v>
          </cell>
          <cell r="F55">
            <v>0.17131572451246604</v>
          </cell>
          <cell r="G55">
            <v>0.29986423105406074</v>
          </cell>
          <cell r="H55">
            <v>1.3206615650456678E-2</v>
          </cell>
          <cell r="I55">
            <v>-9.5655393729943226E-3</v>
          </cell>
          <cell r="J55">
            <v>-1.9748210318439891E-3</v>
          </cell>
          <cell r="K55">
            <v>-1.8513947173537398E-4</v>
          </cell>
          <cell r="L55">
            <v>-7.5907183411503334E-3</v>
          </cell>
          <cell r="M55">
            <v>-6.1096025672673412E-3</v>
          </cell>
          <cell r="N55">
            <v>0.2937546284867934</v>
          </cell>
          <cell r="O55">
            <v>0.2101950135768946</v>
          </cell>
        </row>
        <row r="57">
          <cell r="A57" t="str">
            <v>2000E</v>
          </cell>
        </row>
        <row r="58">
          <cell r="A58" t="str">
            <v xml:space="preserve"> 1QA</v>
          </cell>
          <cell r="B58">
            <v>1</v>
          </cell>
          <cell r="C58">
            <v>0.13424657534246576</v>
          </cell>
          <cell r="D58">
            <v>0.86575342465753424</v>
          </cell>
          <cell r="E58">
            <v>0.38539976825028971</v>
          </cell>
          <cell r="F58">
            <v>0.16500579374275781</v>
          </cell>
          <cell r="G58">
            <v>0.33603707995365006</v>
          </cell>
          <cell r="H58">
            <v>1.7381228273464659E-2</v>
          </cell>
          <cell r="I58">
            <v>0</v>
          </cell>
          <cell r="J58">
            <v>0</v>
          </cell>
          <cell r="K58">
            <v>0</v>
          </cell>
          <cell r="L58">
            <v>-1.089223638470452E-2</v>
          </cell>
          <cell r="M58">
            <v>6.4889918887601388E-3</v>
          </cell>
          <cell r="N58">
            <v>0.34252607184241018</v>
          </cell>
          <cell r="O58">
            <v>0.25376593279258403</v>
          </cell>
        </row>
        <row r="59">
          <cell r="A59" t="str">
            <v xml:space="preserve"> 2QE</v>
          </cell>
          <cell r="B59">
            <v>1</v>
          </cell>
          <cell r="C59">
            <v>0.14399999999999999</v>
          </cell>
          <cell r="D59">
            <v>0.85599999999999998</v>
          </cell>
          <cell r="E59">
            <v>0.41199999999999998</v>
          </cell>
          <cell r="F59">
            <v>0.17899999999999999</v>
          </cell>
          <cell r="G59">
            <v>0.28996468110350543</v>
          </cell>
          <cell r="H59">
            <v>1.0452500354223623E-2</v>
          </cell>
          <cell r="I59">
            <v>0</v>
          </cell>
          <cell r="J59">
            <v>0</v>
          </cell>
          <cell r="K59">
            <v>0</v>
          </cell>
          <cell r="L59">
            <v>-1.9743611780200173E-2</v>
          </cell>
          <cell r="M59">
            <v>-9.2911114259765521E-3</v>
          </cell>
          <cell r="N59">
            <v>0.28067356967752888</v>
          </cell>
          <cell r="O59">
            <v>0.20498849743265232</v>
          </cell>
        </row>
        <row r="60">
          <cell r="A60" t="str">
            <v xml:space="preserve"> 3QE</v>
          </cell>
          <cell r="B60">
            <v>1</v>
          </cell>
          <cell r="C60">
            <v>0.14599999999999999</v>
          </cell>
          <cell r="D60">
            <v>0.85399999999999998</v>
          </cell>
          <cell r="E60">
            <v>0.38</v>
          </cell>
          <cell r="F60">
            <v>0.17299999999999999</v>
          </cell>
          <cell r="G60">
            <v>0.32667426002121991</v>
          </cell>
          <cell r="H60">
            <v>8.7432802426784858E-3</v>
          </cell>
          <cell r="I60">
            <v>0</v>
          </cell>
          <cell r="J60">
            <v>0</v>
          </cell>
          <cell r="K60">
            <v>0</v>
          </cell>
          <cell r="L60">
            <v>-1.7486560485356972E-2</v>
          </cell>
          <cell r="M60">
            <v>-8.7432802426784858E-3</v>
          </cell>
          <cell r="N60">
            <v>0.31793097977854146</v>
          </cell>
          <cell r="O60">
            <v>0.23250689519182538</v>
          </cell>
        </row>
        <row r="61">
          <cell r="A61" t="str">
            <v xml:space="preserve"> 4QE</v>
          </cell>
          <cell r="B61">
            <v>1</v>
          </cell>
          <cell r="C61">
            <v>0.16101134850393478</v>
          </cell>
          <cell r="D61">
            <v>0.83898865149606516</v>
          </cell>
          <cell r="E61">
            <v>0.38584845407059498</v>
          </cell>
          <cell r="F61">
            <v>0.17817390729448146</v>
          </cell>
          <cell r="G61">
            <v>0.30213426494822931</v>
          </cell>
          <cell r="H61">
            <v>8.5926116012882033E-3</v>
          </cell>
          <cell r="I61">
            <v>0</v>
          </cell>
          <cell r="J61">
            <v>0</v>
          </cell>
          <cell r="K61">
            <v>0</v>
          </cell>
          <cell r="L61">
            <v>-1.6230488580211051E-2</v>
          </cell>
          <cell r="M61">
            <v>-7.6378769789228482E-3</v>
          </cell>
          <cell r="N61">
            <v>0.29449638796930644</v>
          </cell>
          <cell r="O61">
            <v>0.21596940184499785</v>
          </cell>
        </row>
        <row r="63">
          <cell r="A63" t="str">
            <v>Year</v>
          </cell>
          <cell r="B63">
            <v>1</v>
          </cell>
          <cell r="C63">
            <v>0.14699999999999999</v>
          </cell>
          <cell r="D63">
            <v>0.85299999999999998</v>
          </cell>
          <cell r="E63">
            <v>0.39040000000000002</v>
          </cell>
          <cell r="F63">
            <v>0.17399999999999999</v>
          </cell>
          <cell r="G63">
            <v>0.31331944354881613</v>
          </cell>
          <cell r="H63">
            <v>1.1121847533882056E-2</v>
          </cell>
          <cell r="I63">
            <v>0</v>
          </cell>
          <cell r="J63">
            <v>0</v>
          </cell>
          <cell r="K63">
            <v>0</v>
          </cell>
          <cell r="L63">
            <v>-1.6113115695429125E-2</v>
          </cell>
          <cell r="M63">
            <v>-4.9912681615470684E-3</v>
          </cell>
          <cell r="N63">
            <v>0.30832817538726909</v>
          </cell>
          <cell r="O63">
            <v>0.22635749086206983</v>
          </cell>
        </row>
        <row r="65">
          <cell r="A65" t="str">
            <v>2001E</v>
          </cell>
          <cell r="B65">
            <v>1</v>
          </cell>
          <cell r="C65">
            <v>0.1464</v>
          </cell>
          <cell r="D65">
            <v>0.85360000000000003</v>
          </cell>
          <cell r="E65">
            <v>0.38840000000000002</v>
          </cell>
          <cell r="F65">
            <v>0.17299999999999999</v>
          </cell>
          <cell r="G65">
            <v>0.32073821206156516</v>
          </cell>
          <cell r="H65">
            <v>0</v>
          </cell>
          <cell r="I65">
            <v>0</v>
          </cell>
          <cell r="J65">
            <v>0</v>
          </cell>
          <cell r="K65">
            <v>0</v>
          </cell>
          <cell r="L65">
            <v>0</v>
          </cell>
          <cell r="M65">
            <v>0</v>
          </cell>
          <cell r="N65">
            <v>0.32073821206156516</v>
          </cell>
          <cell r="O65">
            <v>0.23551363619848015</v>
          </cell>
        </row>
        <row r="66">
          <cell r="A66" t="str">
            <v>2002E</v>
          </cell>
          <cell r="B66">
            <v>1</v>
          </cell>
          <cell r="C66">
            <v>0.14499999999999999</v>
          </cell>
          <cell r="D66">
            <v>0.85499999999999998</v>
          </cell>
          <cell r="E66">
            <v>0.38400000000000001</v>
          </cell>
          <cell r="F66">
            <v>0.16900000000000001</v>
          </cell>
          <cell r="G66">
            <v>0.33123866909992289</v>
          </cell>
          <cell r="H66">
            <v>0</v>
          </cell>
          <cell r="I66">
            <v>0</v>
          </cell>
          <cell r="J66">
            <v>0</v>
          </cell>
          <cell r="K66">
            <v>0</v>
          </cell>
          <cell r="L66">
            <v>0</v>
          </cell>
          <cell r="M66">
            <v>0</v>
          </cell>
          <cell r="N66">
            <v>0.33123866909992289</v>
          </cell>
          <cell r="O66">
            <v>0.24326074888248556</v>
          </cell>
        </row>
        <row r="67">
          <cell r="A67" t="str">
            <v>2003E</v>
          </cell>
          <cell r="B67">
            <v>1</v>
          </cell>
          <cell r="C67">
            <v>0.14299999999999999</v>
          </cell>
          <cell r="D67">
            <v>0.85699999999999998</v>
          </cell>
          <cell r="E67">
            <v>0.38</v>
          </cell>
          <cell r="F67">
            <v>0.16500000000000001</v>
          </cell>
          <cell r="G67">
            <v>0.3418146022485018</v>
          </cell>
          <cell r="H67">
            <v>0</v>
          </cell>
          <cell r="I67">
            <v>0</v>
          </cell>
          <cell r="J67">
            <v>0</v>
          </cell>
          <cell r="K67">
            <v>0</v>
          </cell>
          <cell r="L67">
            <v>0</v>
          </cell>
          <cell r="M67">
            <v>0</v>
          </cell>
          <cell r="N67">
            <v>0.3418146022485018</v>
          </cell>
          <cell r="O67">
            <v>0.25105950966479956</v>
          </cell>
        </row>
        <row r="68">
          <cell r="A68" t="str">
            <v>2004E</v>
          </cell>
          <cell r="B68">
            <v>1</v>
          </cell>
          <cell r="C68">
            <v>0.14199999999999999</v>
          </cell>
          <cell r="D68">
            <v>0.85799999999999998</v>
          </cell>
          <cell r="E68">
            <v>0.377</v>
          </cell>
          <cell r="F68">
            <v>0.16250000000000001</v>
          </cell>
          <cell r="G68">
            <v>0.34498590534777551</v>
          </cell>
          <cell r="H68">
            <v>0</v>
          </cell>
          <cell r="I68">
            <v>0</v>
          </cell>
          <cell r="J68">
            <v>0</v>
          </cell>
          <cell r="K68">
            <v>0</v>
          </cell>
          <cell r="L68">
            <v>0</v>
          </cell>
          <cell r="M68">
            <v>0</v>
          </cell>
          <cell r="N68">
            <v>0.34498590534777551</v>
          </cell>
          <cell r="O68">
            <v>0.25340529885466001</v>
          </cell>
        </row>
        <row r="69">
          <cell r="A69" t="str">
            <v>2005E</v>
          </cell>
          <cell r="B69">
            <v>1</v>
          </cell>
          <cell r="C69">
            <v>0.14199999999999999</v>
          </cell>
          <cell r="D69">
            <v>0.85799999999999998</v>
          </cell>
          <cell r="E69">
            <v>0.375</v>
          </cell>
          <cell r="F69">
            <v>0.16</v>
          </cell>
          <cell r="G69">
            <v>0.34953467917523934</v>
          </cell>
          <cell r="H69">
            <v>0</v>
          </cell>
          <cell r="I69">
            <v>0</v>
          </cell>
          <cell r="J69">
            <v>0</v>
          </cell>
          <cell r="K69">
            <v>0</v>
          </cell>
          <cell r="L69">
            <v>0</v>
          </cell>
          <cell r="M69">
            <v>0</v>
          </cell>
          <cell r="N69">
            <v>0.34953467917523934</v>
          </cell>
          <cell r="O69">
            <v>0.25676451987336391</v>
          </cell>
        </row>
        <row r="71">
          <cell r="A71" t="str">
            <v>Notes:</v>
          </cell>
        </row>
        <row r="72">
          <cell r="A72" t="str">
            <v>(a)  1994 and 1995 quarters have been restated for the divestiture of the Food Science Group, but not for the Medical Technology group.</v>
          </cell>
        </row>
        <row r="73">
          <cell r="A73" t="str">
            <v>(b) Alliance revenues include Lipitor and Aricept profits.</v>
          </cell>
        </row>
        <row r="74">
          <cell r="A74" t="str">
            <v>(c)  Gross Profit excludes Alliance Revenues.</v>
          </cell>
        </row>
        <row r="75">
          <cell r="A75" t="str">
            <v>(d) Operating Margin excludes Alliance Revenues.</v>
          </cell>
        </row>
        <row r="77">
          <cell r="A77" t="str">
            <v>E = Morgan Stanley Dean Witter Research Estimates       A = Actual       NM = Not Meaningful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Data_Download"/>
      <sheetName val="Data_Manual"/>
      <sheetName val="GeninfraUniverse_DataSheet"/>
      <sheetName val="NOPAT_VDF"/>
    </sheetNames>
    <sheetDataSet>
      <sheetData sheetId="0" refreshError="1"/>
      <sheetData sheetId="1" refreshError="1">
        <row r="1">
          <cell r="C1">
            <v>2</v>
          </cell>
          <cell r="D1">
            <v>3</v>
          </cell>
          <cell r="E1">
            <v>4</v>
          </cell>
          <cell r="F1">
            <v>5</v>
          </cell>
          <cell r="G1">
            <v>6</v>
          </cell>
          <cell r="H1">
            <v>7</v>
          </cell>
          <cell r="I1">
            <v>8</v>
          </cell>
          <cell r="J1">
            <v>9</v>
          </cell>
          <cell r="K1">
            <v>10</v>
          </cell>
          <cell r="L1">
            <v>11</v>
          </cell>
          <cell r="M1">
            <v>12</v>
          </cell>
          <cell r="N1">
            <v>13</v>
          </cell>
          <cell r="O1">
            <v>14</v>
          </cell>
          <cell r="P1">
            <v>15</v>
          </cell>
          <cell r="Q1">
            <v>16</v>
          </cell>
          <cell r="R1">
            <v>17</v>
          </cell>
          <cell r="S1">
            <v>18</v>
          </cell>
          <cell r="T1">
            <v>19</v>
          </cell>
          <cell r="U1">
            <v>20</v>
          </cell>
          <cell r="V1">
            <v>21</v>
          </cell>
          <cell r="W1">
            <v>22</v>
          </cell>
          <cell r="X1">
            <v>23</v>
          </cell>
          <cell r="Y1">
            <v>24</v>
          </cell>
          <cell r="Z1">
            <v>25</v>
          </cell>
          <cell r="AA1">
            <v>26</v>
          </cell>
          <cell r="AB1">
            <v>27</v>
          </cell>
          <cell r="AC1">
            <v>28</v>
          </cell>
          <cell r="AD1">
            <v>29</v>
          </cell>
          <cell r="AF1">
            <v>31</v>
          </cell>
        </row>
        <row r="5">
          <cell r="J5" t="str">
            <v>IBES FISCAL</v>
          </cell>
          <cell r="Q5" t="str">
            <v>FIRST CALL FISCAL</v>
          </cell>
          <cell r="Y5" t="str">
            <v>STOCK PERFORMANCE</v>
          </cell>
          <cell r="AH5" t="str">
            <v>FIRST CALL</v>
          </cell>
          <cell r="AI5" t="str">
            <v>FIRST CALL</v>
          </cell>
          <cell r="AM5" t="str">
            <v>FIRST CALL</v>
          </cell>
          <cell r="AO5" t="str">
            <v>FIRST CALL</v>
          </cell>
          <cell r="AV5" t="str">
            <v>FIRST CALL</v>
          </cell>
          <cell r="AX5" t="str">
            <v>FIRST CALL</v>
          </cell>
        </row>
        <row r="6">
          <cell r="D6" t="str">
            <v>CLOSING</v>
          </cell>
          <cell r="E6" t="str">
            <v>CLOSING</v>
          </cell>
          <cell r="F6" t="str">
            <v>SHARES</v>
          </cell>
          <cell r="G6" t="str">
            <v>CASH &amp;</v>
          </cell>
          <cell r="H6" t="str">
            <v>TOTAL</v>
          </cell>
          <cell r="J6" t="str">
            <v>ACT. REV</v>
          </cell>
          <cell r="K6" t="str">
            <v>CON. REV. EST</v>
          </cell>
          <cell r="M6" t="str">
            <v>ACT. EPS</v>
          </cell>
          <cell r="N6" t="str">
            <v>CON. MEAN EPS EST</v>
          </cell>
          <cell r="Q6" t="str">
            <v>ACT. REV</v>
          </cell>
          <cell r="R6" t="str">
            <v>CON. MEAN REV. EST</v>
          </cell>
          <cell r="T6" t="str">
            <v>ACT. EPS</v>
          </cell>
          <cell r="U6" t="str">
            <v>CON. MEAN EPS EST</v>
          </cell>
          <cell r="X6" t="str">
            <v>FCF</v>
          </cell>
          <cell r="Y6" t="str">
            <v>YOY</v>
          </cell>
          <cell r="Z6" t="str">
            <v>YTD</v>
          </cell>
          <cell r="AA6" t="str">
            <v>1-MNTH</v>
          </cell>
          <cell r="AB6" t="str">
            <v>1-WEEK</v>
          </cell>
          <cell r="AC6" t="str">
            <v>52-WEEK</v>
          </cell>
          <cell r="AD6" t="str">
            <v>52-WEEK</v>
          </cell>
          <cell r="AF6" t="str">
            <v>FC LTG</v>
          </cell>
          <cell r="AH6" t="str">
            <v>CON. MEAN CAL REV. EST</v>
          </cell>
          <cell r="AI6" t="str">
            <v>CON. MEAN CAL REV. EST</v>
          </cell>
          <cell r="AJ6" t="str">
            <v>CON. MEAN CAL EPS EST</v>
          </cell>
          <cell r="AL6" t="str">
            <v>CON. MEAN CAL EPS EST</v>
          </cell>
          <cell r="AN6" t="str">
            <v>Fiscal</v>
          </cell>
          <cell r="AP6" t="str">
            <v>CAL 2002 ROLL. EPS EST</v>
          </cell>
          <cell r="AR6" t="str">
            <v>CAL 2003 ROLL. EPS EST</v>
          </cell>
          <cell r="AT6" t="str">
            <v>CAL 2003 ROLL. EPS EST</v>
          </cell>
          <cell r="AW6" t="str">
            <v>CAL 2002 ROLL. SALES EST</v>
          </cell>
          <cell r="AY6" t="str">
            <v>CAL 2002 ROLL. SALES EST</v>
          </cell>
          <cell r="BA6" t="str">
            <v>CAL 2003 ROLL. SALES EST</v>
          </cell>
          <cell r="BC6" t="str">
            <v>CAL 2003 ROLL. SALES EST</v>
          </cell>
          <cell r="BH6" t="str">
            <v>CAL 2004 ROLL. EPS EST</v>
          </cell>
          <cell r="BL6" t="str">
            <v>CAL 2004 ROLL. SALES EST</v>
          </cell>
          <cell r="BP6" t="str">
            <v>CON. MEAN CAL REV. EST</v>
          </cell>
          <cell r="BQ6" t="str">
            <v>CON. MEAN CAL EPS EST</v>
          </cell>
          <cell r="BS6" t="str">
            <v>CON. MEAN CAL REV. EST</v>
          </cell>
          <cell r="BT6" t="str">
            <v>CON. MEAN CAL EPS EST</v>
          </cell>
          <cell r="BW6" t="str">
            <v>CAL 2005 ROLL. EPS EST</v>
          </cell>
        </row>
        <row r="7">
          <cell r="C7" t="str">
            <v>COMPANY NAME</v>
          </cell>
          <cell r="D7" t="str">
            <v>PRICE</v>
          </cell>
          <cell r="E7" t="str">
            <v>PRICE DATE</v>
          </cell>
          <cell r="F7" t="str">
            <v>OUT</v>
          </cell>
          <cell r="G7" t="str">
            <v>EQUIV</v>
          </cell>
          <cell r="H7" t="str">
            <v>DEBT</v>
          </cell>
          <cell r="J7" t="str">
            <v>2001a</v>
          </cell>
          <cell r="K7" t="str">
            <v>2002e</v>
          </cell>
          <cell r="L7" t="str">
            <v>2003e</v>
          </cell>
          <cell r="M7" t="str">
            <v>2001a</v>
          </cell>
          <cell r="N7" t="str">
            <v>2002e</v>
          </cell>
          <cell r="O7" t="str">
            <v>2003e</v>
          </cell>
          <cell r="Q7" t="str">
            <v>2001a</v>
          </cell>
          <cell r="R7" t="str">
            <v>2002e</v>
          </cell>
          <cell r="S7" t="str">
            <v>2003e</v>
          </cell>
          <cell r="T7" t="str">
            <v>2001a</v>
          </cell>
          <cell r="U7" t="str">
            <v>2002e</v>
          </cell>
          <cell r="V7" t="str">
            <v>2003e</v>
          </cell>
          <cell r="X7" t="str">
            <v>2001a</v>
          </cell>
          <cell r="Y7" t="str">
            <v>RETURN</v>
          </cell>
          <cell r="Z7" t="str">
            <v>RETURN</v>
          </cell>
          <cell r="AA7" t="str">
            <v>PRICE</v>
          </cell>
          <cell r="AB7" t="str">
            <v>PRICE</v>
          </cell>
          <cell r="AC7" t="str">
            <v>HIGH</v>
          </cell>
          <cell r="AD7" t="str">
            <v>LOW</v>
          </cell>
          <cell r="AF7" t="str">
            <v>ESTIMATE</v>
          </cell>
          <cell r="AH7" t="str">
            <v>2001a</v>
          </cell>
          <cell r="AI7" t="str">
            <v>2002e</v>
          </cell>
          <cell r="AJ7" t="str">
            <v>2003e</v>
          </cell>
          <cell r="AK7" t="str">
            <v>2001a</v>
          </cell>
          <cell r="AL7" t="str">
            <v>2002e</v>
          </cell>
          <cell r="AM7" t="str">
            <v>2003e</v>
          </cell>
          <cell r="AN7" t="str">
            <v>Year End</v>
          </cell>
          <cell r="AO7" t="str">
            <v>Q1</v>
          </cell>
          <cell r="AP7" t="str">
            <v>Q2</v>
          </cell>
          <cell r="AQ7" t="str">
            <v>Q3</v>
          </cell>
          <cell r="AR7" t="str">
            <v>Q4</v>
          </cell>
          <cell r="AS7" t="str">
            <v>Q1</v>
          </cell>
          <cell r="AT7" t="str">
            <v>Q2</v>
          </cell>
          <cell r="AU7" t="str">
            <v>Q3</v>
          </cell>
          <cell r="AV7" t="str">
            <v>Q4</v>
          </cell>
          <cell r="AW7" t="str">
            <v>Q2</v>
          </cell>
          <cell r="AX7" t="str">
            <v>Q1</v>
          </cell>
          <cell r="AY7" t="str">
            <v>Q2</v>
          </cell>
          <cell r="AZ7" t="str">
            <v>Q3</v>
          </cell>
          <cell r="BA7" t="str">
            <v>Q4</v>
          </cell>
          <cell r="BB7" t="str">
            <v>Q1</v>
          </cell>
          <cell r="BC7" t="str">
            <v>Q2</v>
          </cell>
          <cell r="BD7" t="str">
            <v>Q3</v>
          </cell>
          <cell r="BE7" t="str">
            <v>Q4</v>
          </cell>
          <cell r="BG7" t="str">
            <v>Q1</v>
          </cell>
          <cell r="BH7" t="str">
            <v>Q2</v>
          </cell>
          <cell r="BI7" t="str">
            <v>Q3</v>
          </cell>
          <cell r="BJ7" t="str">
            <v>Q4</v>
          </cell>
          <cell r="BK7" t="str">
            <v>Q1</v>
          </cell>
          <cell r="BL7" t="str">
            <v>Q2</v>
          </cell>
          <cell r="BM7" t="str">
            <v>Q3</v>
          </cell>
          <cell r="BN7" t="str">
            <v>Q4</v>
          </cell>
          <cell r="BP7" t="str">
            <v>2004e</v>
          </cell>
          <cell r="BQ7" t="str">
            <v>2004e</v>
          </cell>
          <cell r="BS7" t="str">
            <v>2005e</v>
          </cell>
          <cell r="BT7" t="str">
            <v>2005e</v>
          </cell>
          <cell r="BV7" t="str">
            <v>Q1</v>
          </cell>
          <cell r="BW7" t="str">
            <v>Q2</v>
          </cell>
          <cell r="BX7" t="str">
            <v>Q3</v>
          </cell>
          <cell r="BY7" t="str">
            <v>Q4</v>
          </cell>
          <cell r="BZ7" t="str">
            <v>Q1</v>
          </cell>
        </row>
        <row r="8">
          <cell r="C8" t="str">
            <v>^(G_COMPANY_NAME)</v>
          </cell>
          <cell r="D8" t="str">
            <v>^=G_PRICE_USD(0,0,D,rel_item="",curn="",currency="",split=SPLIT,spinadj=0); C</v>
          </cell>
          <cell r="E8" t="str">
            <v>^(G_DATE_LAST)</v>
          </cell>
          <cell r="F8" t="str">
            <v>^(G_COM_SHARES_OUT)</v>
          </cell>
          <cell r="G8" t="str">
            <v>^(G_CASH)</v>
          </cell>
          <cell r="H8" t="str">
            <v>^(G_TOTAL_DEBT)</v>
          </cell>
          <cell r="J8" t="str">
            <v>^(G_SALES)</v>
          </cell>
          <cell r="K8" t="str">
            <v>^(IC_MEAN_SALES_FY1)</v>
          </cell>
          <cell r="L8" t="str">
            <v>^(IC_MEAN_SALES_FY2)</v>
          </cell>
          <cell r="M8" t="str">
            <v>^(IC_EPS_ACT)</v>
          </cell>
          <cell r="N8" t="str">
            <v>^(G_IBES_FY1_MEAN_USD)</v>
          </cell>
          <cell r="O8" t="str">
            <v>^(G_IBES_FY2_MEAN_USD)</v>
          </cell>
          <cell r="Q8" t="str">
            <v>^=FCC_SALES_ACT; c</v>
          </cell>
          <cell r="R8" t="str">
            <v>^(FCC_MEAN_SALES_FY1)</v>
          </cell>
          <cell r="S8" t="str">
            <v>^(FCC_MEAN_SALES_FY2)</v>
          </cell>
          <cell r="T8" t="str">
            <v>^(FCC_EPS_ACT(0))</v>
          </cell>
          <cell r="U8" t="str">
            <v>^(FCC_MEAN_EPS(1))</v>
          </cell>
          <cell r="V8" t="str">
            <v>^(FCC_MEAN_EPS(2))</v>
          </cell>
          <cell r="X8" t="str">
            <v>^(CA_CF_FREE(0))</v>
          </cell>
          <cell r="Y8" t="str">
            <v>^(F_TOTAL_RET_52WK)</v>
          </cell>
          <cell r="Z8" t="str">
            <v>^(F_TOTAL_RET_YTD)</v>
          </cell>
          <cell r="AA8" t="str">
            <v>^(P_PRICE(-1/0/0))</v>
          </cell>
          <cell r="AB8" t="str">
            <v>^(P_PRICE(0/-7/0))</v>
          </cell>
          <cell r="AC8" t="str">
            <v>^(P_PRICE_HIGH_52W_USD)</v>
          </cell>
          <cell r="AD8" t="str">
            <v>^(P_PRICE_LOW_52W_USD)</v>
          </cell>
          <cell r="AF8" t="str">
            <v>^(FC_MEAN_LTG(NOW))</v>
          </cell>
          <cell r="AH8" t="str">
            <v>^=G_SALES(12/31/2001,12/31/2001,CY,curn="",currency="",split=SPLIT,spinadj=0); c</v>
          </cell>
          <cell r="AI8" t="str">
            <v>^=FCC_MEAN_SALES_CAL4(2002); c</v>
          </cell>
          <cell r="AJ8" t="str">
            <v>^=FCC_MEAN_SALES_CAL4(2003); c</v>
          </cell>
          <cell r="AK8" t="str">
            <v>^=FCC_MEAN_EPS_CAL4(2001); c</v>
          </cell>
          <cell r="AL8" t="str">
            <v>^=FCC_MEAN_EPS_CAL4(2002); c</v>
          </cell>
          <cell r="AM8" t="str">
            <v>^=FCC_MEAN_EPS_CAL4(2003); c</v>
          </cell>
          <cell r="AN8" t="str">
            <v>^=DATE(0,0,FY); C</v>
          </cell>
          <cell r="AO8" t="str">
            <v>^=FCCQ_EPS_ACT(-4)</v>
          </cell>
          <cell r="AP8" t="str">
            <v>^=FCCQ_EPS_ACT(-3)</v>
          </cell>
          <cell r="AQ8" t="str">
            <v>^=FCCQ_EPS_ACT(-2)</v>
          </cell>
          <cell r="AR8" t="str">
            <v>^=FCCQ_EPS_ACT(-1)</v>
          </cell>
          <cell r="AS8" t="str">
            <v>^=FCCQ_eps_act(0)</v>
          </cell>
          <cell r="AT8" t="str">
            <v>^=FCCQ_MEAN_EPS(1)</v>
          </cell>
          <cell r="AU8" t="str">
            <v>^=FCCQ_MEAN_EPS(2)</v>
          </cell>
          <cell r="AV8" t="str">
            <v>^=FCCQ_MEAN_EPS(3)</v>
          </cell>
          <cell r="AW8" t="str">
            <v>^=FCCQ_SALES_ACT(0)</v>
          </cell>
          <cell r="AX8" t="str">
            <v>^=FCCQ_SALES_ACT(-4)</v>
          </cell>
          <cell r="AY8" t="str">
            <v>^=FCCQ_SALES_ACT(-3)</v>
          </cell>
          <cell r="AZ8" t="str">
            <v>^=FCCQ_SALES_ACT(-2)</v>
          </cell>
          <cell r="BA8" t="str">
            <v>^=FCCQ_SALES_ACT(-1)</v>
          </cell>
          <cell r="BB8" t="str">
            <v>^=FCCQ_SALES_ACT(0)</v>
          </cell>
          <cell r="BC8" t="str">
            <v>^=FCCQ_MEAN_SALES(1)</v>
          </cell>
          <cell r="BD8" t="str">
            <v>^=FCCQ_MEAN_SALES(2)</v>
          </cell>
          <cell r="BE8" t="str">
            <v>^=FCCQ_MEAN_SALES(3)</v>
          </cell>
          <cell r="BF8" t="str">
            <v>^=G_PRICE(11/7/2001,11/7/2001,D,curn="",currency="",split=SPLIT,spinadj=0); R</v>
          </cell>
          <cell r="BG8" t="str">
            <v>^=FCCQ_MEAN_EPS(4)</v>
          </cell>
          <cell r="BH8" t="str">
            <v>^=FCCQ_MEAN_EPS(5)</v>
          </cell>
          <cell r="BI8" t="str">
            <v>^=FCCQ_MEAN_EPS(6)</v>
          </cell>
          <cell r="BJ8" t="str">
            <v>^=FCCQ_MEAN_EPS(7)</v>
          </cell>
          <cell r="BK8" t="str">
            <v>^=FCCQ_MEAN_SALES(4)</v>
          </cell>
          <cell r="BL8" t="str">
            <v>^=FCCQ_MEAN_SALES(5)</v>
          </cell>
          <cell r="BM8" t="str">
            <v>^=FCCQ_MEAN_SALES(6)</v>
          </cell>
          <cell r="BN8" t="str">
            <v>^=FCCQ_MEAN_SALES(7)</v>
          </cell>
          <cell r="BP8" t="str">
            <v>^=FCC_MEAN_SALES_CAL4(2004); c</v>
          </cell>
          <cell r="BQ8" t="str">
            <v>^=FCC_MEAN_EPS_CAL4(2004); c</v>
          </cell>
          <cell r="BS8" t="str">
            <v>^=FCC_MEAN_SALES_CAL4(2005); c</v>
          </cell>
          <cell r="BT8" t="str">
            <v>^=FCC_MEAN_EPS_CAL4(2005); c</v>
          </cell>
          <cell r="BV8" t="str">
            <v>^=FCCQ_MEAN_EPS(5)</v>
          </cell>
          <cell r="BW8" t="str">
            <v>^=FCCQ_MEAN_EPS(6)</v>
          </cell>
          <cell r="BX8" t="str">
            <v>^=FCCQ_MEAN_EPS(7)</v>
          </cell>
          <cell r="BY8" t="str">
            <v>^=FCCQ_MEAN_EPS(8)</v>
          </cell>
          <cell r="BZ8" t="str">
            <v>^=FCCQ_MEAN_SALES(5)</v>
          </cell>
        </row>
        <row r="9">
          <cell r="A9">
            <v>2</v>
          </cell>
          <cell r="B9" t="str">
            <v xml:space="preserve">AKAM </v>
          </cell>
        </row>
        <row r="20">
          <cell r="B20" t="str">
            <v>CVG</v>
          </cell>
        </row>
        <row r="21">
          <cell r="B21" t="str">
            <v>DKEY</v>
          </cell>
        </row>
        <row r="22">
          <cell r="B22" t="str">
            <v>DMRC</v>
          </cell>
        </row>
        <row r="23">
          <cell r="B23" t="str">
            <v>DOX</v>
          </cell>
        </row>
        <row r="24">
          <cell r="B24" t="str">
            <v>ENTU</v>
          </cell>
        </row>
        <row r="25">
          <cell r="B25" t="str">
            <v>GRIC</v>
          </cell>
        </row>
        <row r="26">
          <cell r="B26" t="str">
            <v>INAP</v>
          </cell>
        </row>
        <row r="27">
          <cell r="B27" t="str">
            <v>INTU</v>
          </cell>
        </row>
        <row r="28">
          <cell r="B28" t="str">
            <v>ISSX</v>
          </cell>
        </row>
        <row r="29">
          <cell r="B29" t="str">
            <v>ITRU</v>
          </cell>
        </row>
        <row r="30">
          <cell r="B30" t="str">
            <v>LBRT</v>
          </cell>
        </row>
        <row r="31">
          <cell r="B31" t="str">
            <v>LTBG</v>
          </cell>
        </row>
        <row r="32">
          <cell r="B32" t="str">
            <v>MCAF</v>
          </cell>
        </row>
        <row r="33">
          <cell r="A33">
            <v>26</v>
          </cell>
          <cell r="B33" t="str">
            <v>MERQ</v>
          </cell>
        </row>
        <row r="34">
          <cell r="B34" t="str">
            <v>SCRM</v>
          </cell>
        </row>
        <row r="35">
          <cell r="B35" t="str">
            <v>MSLV</v>
          </cell>
        </row>
        <row r="36">
          <cell r="B36" t="str">
            <v>MUSE</v>
          </cell>
        </row>
        <row r="37">
          <cell r="B37" t="str">
            <v>MVSN</v>
          </cell>
        </row>
        <row r="38">
          <cell r="B38" t="str">
            <v>NET</v>
          </cell>
        </row>
        <row r="39">
          <cell r="B39" t="str">
            <v>NETE</v>
          </cell>
        </row>
        <row r="40">
          <cell r="A40">
            <v>33</v>
          </cell>
          <cell r="B40" t="str">
            <v>NSCN</v>
          </cell>
        </row>
        <row r="41">
          <cell r="A41">
            <v>34</v>
          </cell>
          <cell r="B41" t="str">
            <v>NUAN</v>
          </cell>
        </row>
        <row r="42">
          <cell r="A42">
            <v>35</v>
          </cell>
          <cell r="B42" t="str">
            <v>ORCL</v>
          </cell>
        </row>
        <row r="43">
          <cell r="A43">
            <v>36</v>
          </cell>
          <cell r="B43" t="str">
            <v>PRSF</v>
          </cell>
        </row>
        <row r="44">
          <cell r="A44">
            <v>37</v>
          </cell>
          <cell r="B44" t="str">
            <v>PSFT</v>
          </cell>
        </row>
        <row r="45">
          <cell r="A45">
            <v>38</v>
          </cell>
          <cell r="B45" t="str">
            <v>RCOM</v>
          </cell>
        </row>
        <row r="46">
          <cell r="A46">
            <v>39</v>
          </cell>
          <cell r="B46" t="str">
            <v>RNBO</v>
          </cell>
        </row>
        <row r="47">
          <cell r="A47">
            <v>40</v>
          </cell>
          <cell r="B47" t="str">
            <v>RSAS</v>
          </cell>
        </row>
        <row r="48">
          <cell r="A48">
            <v>41</v>
          </cell>
          <cell r="B48" t="str">
            <v>SAP</v>
          </cell>
        </row>
        <row r="49">
          <cell r="A49">
            <v>42</v>
          </cell>
          <cell r="B49" t="str">
            <v>SCMM</v>
          </cell>
        </row>
        <row r="50">
          <cell r="A50">
            <v>43</v>
          </cell>
          <cell r="B50" t="str">
            <v>SCRM</v>
          </cell>
        </row>
        <row r="51">
          <cell r="A51">
            <v>44</v>
          </cell>
          <cell r="B51" t="str">
            <v>SCUR</v>
          </cell>
        </row>
        <row r="52">
          <cell r="A52">
            <v>45</v>
          </cell>
          <cell r="B52" t="str">
            <v>SEBL</v>
          </cell>
        </row>
        <row r="53">
          <cell r="A53">
            <v>46</v>
          </cell>
          <cell r="B53" t="str">
            <v>SFNT</v>
          </cell>
        </row>
        <row r="54">
          <cell r="A54">
            <v>47</v>
          </cell>
          <cell r="B54" t="str">
            <v>SNWL</v>
          </cell>
        </row>
        <row r="55">
          <cell r="A55">
            <v>48</v>
          </cell>
          <cell r="B55" t="str">
            <v>SYMC</v>
          </cell>
        </row>
        <row r="56">
          <cell r="A56">
            <v>49</v>
          </cell>
          <cell r="B56" t="str">
            <v>TMIC</v>
          </cell>
        </row>
        <row r="57">
          <cell r="A57">
            <v>50</v>
          </cell>
          <cell r="B57" t="str">
            <v>TMWD</v>
          </cell>
        </row>
        <row r="58">
          <cell r="A58">
            <v>51</v>
          </cell>
          <cell r="B58" t="str">
            <v>ULCM</v>
          </cell>
        </row>
        <row r="59">
          <cell r="A59">
            <v>52</v>
          </cell>
          <cell r="B59" t="str">
            <v>VLCT</v>
          </cell>
        </row>
        <row r="60">
          <cell r="A60">
            <v>53</v>
          </cell>
          <cell r="B60" t="str">
            <v>VRGE</v>
          </cell>
        </row>
        <row r="61">
          <cell r="A61">
            <v>54</v>
          </cell>
          <cell r="B61" t="str">
            <v>VRSN</v>
          </cell>
        </row>
        <row r="62">
          <cell r="A62">
            <v>55</v>
          </cell>
          <cell r="B62" t="str">
            <v>VRTS</v>
          </cell>
        </row>
        <row r="63">
          <cell r="A63">
            <v>56</v>
          </cell>
          <cell r="B63" t="str">
            <v>WBSN</v>
          </cell>
        </row>
      </sheetData>
      <sheetData sheetId="2" refreshError="1"/>
      <sheetData sheetId="3" refreshError="1"/>
      <sheetData sheetId="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row r="1">
          <cell r="A1" t="str">
            <v>Table 3</v>
          </cell>
          <cell r="C1" t="e">
            <v>#REF!</v>
          </cell>
          <cell r="D1">
            <v>36698.77703784722</v>
          </cell>
        </row>
        <row r="2">
          <cell r="A2" t="str">
            <v>Warner Lambert</v>
          </cell>
        </row>
        <row r="3">
          <cell r="A3" t="str">
            <v>Quarterly Income Statement Comparisons 1998 - 2005E</v>
          </cell>
        </row>
        <row r="4">
          <cell r="A4" t="str">
            <v>($ Millions Except Per Share Data)</v>
          </cell>
        </row>
        <row r="5">
          <cell r="H5" t="str">
            <v>Non-Operating Items</v>
          </cell>
          <cell r="Q5" t="str">
            <v>Tax</v>
          </cell>
          <cell r="T5" t="str">
            <v xml:space="preserve">  Shares</v>
          </cell>
        </row>
        <row r="6">
          <cell r="C6" t="str">
            <v>Cost of</v>
          </cell>
          <cell r="D6" t="str">
            <v xml:space="preserve">  Gross</v>
          </cell>
          <cell r="G6" t="str">
            <v xml:space="preserve">  Oper.</v>
          </cell>
          <cell r="H6" t="str">
            <v>Interest</v>
          </cell>
          <cell r="I6" t="str">
            <v>Interest</v>
          </cell>
          <cell r="J6" t="str">
            <v>Intang.</v>
          </cell>
          <cell r="K6" t="str">
            <v>Celexa</v>
          </cell>
          <cell r="L6" t="str">
            <v>Other</v>
          </cell>
          <cell r="N6" t="str">
            <v>Min.</v>
          </cell>
          <cell r="O6" t="str">
            <v xml:space="preserve">  Pretax </v>
          </cell>
          <cell r="Q6" t="str">
            <v>Rate</v>
          </cell>
          <cell r="R6" t="str">
            <v>Agouron</v>
          </cell>
          <cell r="S6" t="str">
            <v xml:space="preserve">  Net </v>
          </cell>
          <cell r="T6" t="str">
            <v xml:space="preserve">  Out.</v>
          </cell>
          <cell r="U6" t="str">
            <v>WLA</v>
          </cell>
          <cell r="W6" t="str">
            <v>(a)</v>
          </cell>
        </row>
        <row r="7">
          <cell r="B7" t="str">
            <v>Sales</v>
          </cell>
          <cell r="C7" t="str">
            <v xml:space="preserve"> Goods</v>
          </cell>
          <cell r="D7" t="str">
            <v xml:space="preserve">  Profit</v>
          </cell>
          <cell r="E7" t="str">
            <v>SG&amp;A</v>
          </cell>
          <cell r="F7" t="str">
            <v>R&amp;D</v>
          </cell>
          <cell r="G7" t="str">
            <v>Income</v>
          </cell>
          <cell r="H7" t="str">
            <v>Income</v>
          </cell>
          <cell r="I7" t="str">
            <v>Expense</v>
          </cell>
          <cell r="J7" t="str">
            <v>Amort.</v>
          </cell>
          <cell r="K7" t="str">
            <v>Inc.</v>
          </cell>
          <cell r="L7" t="str">
            <v>Inc</v>
          </cell>
          <cell r="M7" t="str">
            <v>Total</v>
          </cell>
          <cell r="N7" t="str">
            <v xml:space="preserve">Int. </v>
          </cell>
          <cell r="O7" t="str">
            <v xml:space="preserve">  Income</v>
          </cell>
          <cell r="P7" t="str">
            <v>Taxes</v>
          </cell>
          <cell r="Q7" t="str">
            <v xml:space="preserve">  (%)</v>
          </cell>
          <cell r="R7" t="str">
            <v>Net</v>
          </cell>
          <cell r="S7" t="str">
            <v>Inc.</v>
          </cell>
          <cell r="T7" t="str">
            <v>(MM)</v>
          </cell>
          <cell r="U7" t="str">
            <v xml:space="preserve">  EPS</v>
          </cell>
          <cell r="V7" t="str">
            <v>DPS</v>
          </cell>
          <cell r="W7" t="str">
            <v>EPS</v>
          </cell>
        </row>
        <row r="9">
          <cell r="A9" t="str">
            <v>1989</v>
          </cell>
          <cell r="B9">
            <v>4195.8999999999996</v>
          </cell>
          <cell r="C9">
            <v>1383.4</v>
          </cell>
          <cell r="D9">
            <v>2812.4999999999995</v>
          </cell>
          <cell r="E9">
            <v>1932.6</v>
          </cell>
          <cell r="F9">
            <v>308.8</v>
          </cell>
          <cell r="G9">
            <v>571.09999999999968</v>
          </cell>
          <cell r="H9">
            <v>0</v>
          </cell>
          <cell r="I9">
            <v>-55.6</v>
          </cell>
          <cell r="J9">
            <v>0</v>
          </cell>
          <cell r="L9">
            <v>76.2</v>
          </cell>
          <cell r="M9">
            <v>20.6</v>
          </cell>
          <cell r="N9">
            <v>0</v>
          </cell>
          <cell r="O9">
            <v>591.6999999999997</v>
          </cell>
          <cell r="P9">
            <v>179</v>
          </cell>
          <cell r="Q9">
            <v>0.30251816799053588</v>
          </cell>
          <cell r="S9">
            <v>412.6999999999997</v>
          </cell>
          <cell r="T9">
            <v>812.40000000000009</v>
          </cell>
          <cell r="U9">
            <v>0.50800098473658251</v>
          </cell>
          <cell r="W9">
            <v>0.32666666666666666</v>
          </cell>
        </row>
        <row r="11">
          <cell r="A11" t="str">
            <v>1990</v>
          </cell>
          <cell r="B11">
            <v>1100</v>
          </cell>
          <cell r="C11">
            <v>356.4</v>
          </cell>
          <cell r="D11">
            <v>743.6</v>
          </cell>
          <cell r="E11">
            <v>487.7</v>
          </cell>
          <cell r="F11">
            <v>81.3</v>
          </cell>
          <cell r="G11">
            <v>174.60000000000002</v>
          </cell>
          <cell r="H11">
            <v>0</v>
          </cell>
          <cell r="I11">
            <v>-20.7</v>
          </cell>
          <cell r="J11">
            <v>0</v>
          </cell>
          <cell r="L11">
            <v>17.899999999999999</v>
          </cell>
          <cell r="M11">
            <v>-2.8000000000000007</v>
          </cell>
          <cell r="N11">
            <v>0</v>
          </cell>
          <cell r="O11">
            <v>171.8</v>
          </cell>
          <cell r="P11">
            <v>51.5</v>
          </cell>
          <cell r="Q11">
            <v>0.29976717112922002</v>
          </cell>
          <cell r="S11">
            <v>120.30000000000001</v>
          </cell>
          <cell r="T11">
            <v>403.5</v>
          </cell>
          <cell r="U11">
            <v>0.29814126394052048</v>
          </cell>
          <cell r="W11">
            <v>0.29666666666666669</v>
          </cell>
        </row>
        <row r="12">
          <cell r="B12">
            <v>1154.8</v>
          </cell>
          <cell r="C12">
            <v>363.6</v>
          </cell>
          <cell r="D12">
            <v>791.19999999999993</v>
          </cell>
          <cell r="E12">
            <v>519.1</v>
          </cell>
          <cell r="F12">
            <v>85.9</v>
          </cell>
          <cell r="G12">
            <v>186.1999999999999</v>
          </cell>
          <cell r="H12">
            <v>0</v>
          </cell>
          <cell r="I12">
            <v>-16.7</v>
          </cell>
          <cell r="J12">
            <v>0</v>
          </cell>
          <cell r="L12">
            <v>19.600000000000001</v>
          </cell>
          <cell r="M12">
            <v>2.9000000000000021</v>
          </cell>
          <cell r="N12">
            <v>0</v>
          </cell>
          <cell r="O12">
            <v>189.09999999999991</v>
          </cell>
          <cell r="P12">
            <v>54.6</v>
          </cell>
          <cell r="Q12">
            <v>0.28873611845584363</v>
          </cell>
          <cell r="S12">
            <v>134.49999999999991</v>
          </cell>
          <cell r="T12">
            <v>402.59999999999997</v>
          </cell>
          <cell r="U12">
            <v>0.33407848981619453</v>
          </cell>
          <cell r="W12">
            <v>0.42796820665673002</v>
          </cell>
        </row>
        <row r="13">
          <cell r="B13">
            <v>1186.7</v>
          </cell>
          <cell r="C13">
            <v>389.7</v>
          </cell>
          <cell r="D13">
            <v>797</v>
          </cell>
          <cell r="E13">
            <v>519.1</v>
          </cell>
          <cell r="F13">
            <v>101.6</v>
          </cell>
          <cell r="G13">
            <v>176.29999999999998</v>
          </cell>
          <cell r="H13">
            <v>0</v>
          </cell>
          <cell r="I13">
            <v>-15.1</v>
          </cell>
          <cell r="J13">
            <v>0</v>
          </cell>
          <cell r="L13">
            <v>15.5</v>
          </cell>
          <cell r="M13">
            <v>0.40000000000000036</v>
          </cell>
          <cell r="N13">
            <v>0</v>
          </cell>
          <cell r="O13">
            <v>176.7</v>
          </cell>
          <cell r="P13">
            <v>52</v>
          </cell>
          <cell r="Q13">
            <v>0.29428409734012451</v>
          </cell>
          <cell r="S13">
            <v>124.69999999999999</v>
          </cell>
          <cell r="T13">
            <v>402.90000000000003</v>
          </cell>
          <cell r="U13">
            <v>0.30950608091337795</v>
          </cell>
          <cell r="W13">
            <v>0.29511044924298835</v>
          </cell>
        </row>
        <row r="14">
          <cell r="B14">
            <v>1245.5</v>
          </cell>
          <cell r="C14">
            <v>405.7</v>
          </cell>
          <cell r="D14">
            <v>839.8</v>
          </cell>
          <cell r="E14">
            <v>603.79999999999995</v>
          </cell>
          <cell r="F14">
            <v>110.5</v>
          </cell>
          <cell r="G14">
            <v>125.5</v>
          </cell>
          <cell r="H14">
            <v>0</v>
          </cell>
          <cell r="I14">
            <v>-16.2</v>
          </cell>
          <cell r="J14">
            <v>0</v>
          </cell>
          <cell r="L14">
            <v>33.9</v>
          </cell>
          <cell r="M14">
            <v>17.7</v>
          </cell>
          <cell r="N14">
            <v>0</v>
          </cell>
          <cell r="O14">
            <v>143.19999999999999</v>
          </cell>
          <cell r="P14">
            <v>37.700000000000003</v>
          </cell>
          <cell r="Q14">
            <v>0.26326815642458107</v>
          </cell>
          <cell r="S14">
            <v>105.49999999999999</v>
          </cell>
          <cell r="T14">
            <v>402.90000000000003</v>
          </cell>
          <cell r="U14">
            <v>0.26185157607346732</v>
          </cell>
          <cell r="W14">
            <v>0.27450980392156865</v>
          </cell>
        </row>
        <row r="16">
          <cell r="A16" t="str">
            <v>1990</v>
          </cell>
          <cell r="B16">
            <v>4687</v>
          </cell>
          <cell r="C16">
            <v>1515.4</v>
          </cell>
          <cell r="D16">
            <v>3171.6</v>
          </cell>
          <cell r="E16">
            <v>2129.6999999999998</v>
          </cell>
          <cell r="F16">
            <v>379.29999999999995</v>
          </cell>
          <cell r="G16">
            <v>662.59999999999991</v>
          </cell>
          <cell r="H16">
            <v>0</v>
          </cell>
          <cell r="I16">
            <v>-68.7</v>
          </cell>
          <cell r="J16">
            <v>0</v>
          </cell>
          <cell r="L16">
            <v>86.9</v>
          </cell>
          <cell r="M16">
            <v>18.200000000000003</v>
          </cell>
          <cell r="N16">
            <v>0</v>
          </cell>
          <cell r="O16">
            <v>680.8</v>
          </cell>
          <cell r="P16">
            <v>195.8</v>
          </cell>
          <cell r="Q16">
            <v>0.2876028202115159</v>
          </cell>
          <cell r="S16">
            <v>484.99999999999989</v>
          </cell>
          <cell r="T16">
            <v>402.90000000000003</v>
          </cell>
          <cell r="U16">
            <v>1.2037726482998259</v>
          </cell>
          <cell r="W16">
            <v>1.2966666666666666</v>
          </cell>
        </row>
        <row r="18">
          <cell r="A18" t="str">
            <v>1991</v>
          </cell>
          <cell r="B18">
            <v>1217.2</v>
          </cell>
          <cell r="C18">
            <v>379.7</v>
          </cell>
          <cell r="D18">
            <v>837.5</v>
          </cell>
          <cell r="E18">
            <v>555.79999999999995</v>
          </cell>
          <cell r="F18">
            <v>94.7</v>
          </cell>
          <cell r="G18">
            <v>187.00000000000006</v>
          </cell>
          <cell r="H18">
            <v>0</v>
          </cell>
          <cell r="I18">
            <v>-16.399999999999999</v>
          </cell>
          <cell r="J18">
            <v>0</v>
          </cell>
          <cell r="L18">
            <v>21.8</v>
          </cell>
          <cell r="M18">
            <v>5.4000000000000021</v>
          </cell>
          <cell r="N18">
            <v>0</v>
          </cell>
          <cell r="O18">
            <v>192.40000000000006</v>
          </cell>
          <cell r="P18">
            <v>52.9</v>
          </cell>
          <cell r="Q18">
            <v>0.27494802494802484</v>
          </cell>
          <cell r="S18">
            <v>139.50000000000006</v>
          </cell>
          <cell r="T18">
            <v>806.40000000000009</v>
          </cell>
          <cell r="U18">
            <v>0.17299107142857148</v>
          </cell>
          <cell r="W18">
            <v>0.17299107142857131</v>
          </cell>
        </row>
        <row r="19">
          <cell r="B19">
            <v>1238.2</v>
          </cell>
          <cell r="C19">
            <v>394.8</v>
          </cell>
          <cell r="D19">
            <v>843.40000000000009</v>
          </cell>
          <cell r="E19">
            <v>544.6</v>
          </cell>
          <cell r="F19">
            <v>101.4</v>
          </cell>
          <cell r="G19">
            <v>197.40000000000006</v>
          </cell>
          <cell r="H19">
            <v>0</v>
          </cell>
          <cell r="I19">
            <v>-14.4</v>
          </cell>
          <cell r="J19">
            <v>0</v>
          </cell>
          <cell r="L19">
            <v>27.5</v>
          </cell>
          <cell r="M19">
            <v>13.1</v>
          </cell>
          <cell r="N19">
            <v>0</v>
          </cell>
          <cell r="O19">
            <v>210.50000000000006</v>
          </cell>
          <cell r="P19">
            <v>55.9</v>
          </cell>
          <cell r="Q19">
            <v>0.26555819477434672</v>
          </cell>
          <cell r="S19">
            <v>154.60000000000005</v>
          </cell>
          <cell r="T19">
            <v>806.40000000000009</v>
          </cell>
          <cell r="U19">
            <v>0.19171626984126988</v>
          </cell>
          <cell r="W19">
            <v>0.19171626984126999</v>
          </cell>
        </row>
        <row r="20">
          <cell r="B20">
            <v>1266.5</v>
          </cell>
          <cell r="C20">
            <v>410.6</v>
          </cell>
          <cell r="D20">
            <v>855.9</v>
          </cell>
          <cell r="E20">
            <v>562.29999999999995</v>
          </cell>
          <cell r="F20">
            <v>106.1</v>
          </cell>
          <cell r="G20">
            <v>187.50000000000003</v>
          </cell>
          <cell r="H20">
            <v>0</v>
          </cell>
          <cell r="I20">
            <v>-12.9</v>
          </cell>
          <cell r="J20">
            <v>0</v>
          </cell>
          <cell r="L20">
            <v>22.4</v>
          </cell>
          <cell r="M20">
            <v>9.4999999999999982</v>
          </cell>
          <cell r="N20">
            <v>0</v>
          </cell>
          <cell r="O20">
            <v>197.00000000000003</v>
          </cell>
          <cell r="P20">
            <v>53.2</v>
          </cell>
          <cell r="Q20">
            <v>0.27005076142131978</v>
          </cell>
          <cell r="S20">
            <v>143.80000000000001</v>
          </cell>
          <cell r="T20">
            <v>806.40000000000009</v>
          </cell>
          <cell r="U20">
            <v>0.1783234126984127</v>
          </cell>
          <cell r="W20">
            <v>0.17212301587301601</v>
          </cell>
        </row>
        <row r="21">
          <cell r="B21">
            <v>1337.8</v>
          </cell>
          <cell r="C21">
            <v>441.3</v>
          </cell>
          <cell r="D21">
            <v>896.5</v>
          </cell>
          <cell r="E21">
            <v>630.6</v>
          </cell>
          <cell r="F21">
            <v>121</v>
          </cell>
          <cell r="G21">
            <v>144.89999999999998</v>
          </cell>
          <cell r="H21">
            <v>0</v>
          </cell>
          <cell r="I21">
            <v>-14.5</v>
          </cell>
          <cell r="J21">
            <v>0</v>
          </cell>
          <cell r="L21">
            <v>35.9</v>
          </cell>
          <cell r="M21">
            <v>21.4</v>
          </cell>
          <cell r="N21">
            <v>0</v>
          </cell>
          <cell r="O21">
            <v>166.29999999999998</v>
          </cell>
          <cell r="P21">
            <v>44.7</v>
          </cell>
          <cell r="Q21">
            <v>0.26879134095009022</v>
          </cell>
          <cell r="S21">
            <v>121.59999999999998</v>
          </cell>
          <cell r="T21">
            <v>807</v>
          </cell>
          <cell r="U21">
            <v>0.15068153655514246</v>
          </cell>
          <cell r="W21">
            <v>0.15068153655514266</v>
          </cell>
        </row>
        <row r="23">
          <cell r="A23" t="str">
            <v>1991</v>
          </cell>
          <cell r="B23">
            <v>5059.7</v>
          </cell>
          <cell r="C23">
            <v>1626.3999999999999</v>
          </cell>
          <cell r="D23">
            <v>3433.3</v>
          </cell>
          <cell r="E23">
            <v>2293.3000000000002</v>
          </cell>
          <cell r="F23">
            <v>423.20000000000005</v>
          </cell>
          <cell r="G23">
            <v>716.80000000000007</v>
          </cell>
          <cell r="H23">
            <v>0</v>
          </cell>
          <cell r="I23">
            <v>-58.199999999999996</v>
          </cell>
          <cell r="J23">
            <v>0</v>
          </cell>
          <cell r="L23">
            <v>107.6</v>
          </cell>
          <cell r="M23">
            <v>49.4</v>
          </cell>
          <cell r="N23">
            <v>0</v>
          </cell>
          <cell r="O23">
            <v>766.2</v>
          </cell>
          <cell r="P23">
            <v>206.7</v>
          </cell>
          <cell r="Q23">
            <v>0.26977290524667186</v>
          </cell>
          <cell r="S23">
            <v>559.50000000000011</v>
          </cell>
          <cell r="T23">
            <v>806.40000000000009</v>
          </cell>
          <cell r="U23">
            <v>0.69382440476190488</v>
          </cell>
          <cell r="W23">
            <v>0.68666666666666665</v>
          </cell>
        </row>
        <row r="24">
          <cell r="E24">
            <v>2292.4</v>
          </cell>
        </row>
        <row r="25">
          <cell r="A25" t="str">
            <v>1992</v>
          </cell>
          <cell r="B25">
            <v>1311.5</v>
          </cell>
          <cell r="C25">
            <v>400.9</v>
          </cell>
          <cell r="D25">
            <v>910.6</v>
          </cell>
          <cell r="E25">
            <v>586.9</v>
          </cell>
          <cell r="F25">
            <v>115.1</v>
          </cell>
          <cell r="G25">
            <v>208.60000000000005</v>
          </cell>
          <cell r="H25">
            <v>0</v>
          </cell>
          <cell r="I25">
            <v>-18.899999999999999</v>
          </cell>
          <cell r="J25">
            <v>0</v>
          </cell>
          <cell r="L25">
            <v>32.9</v>
          </cell>
          <cell r="M25">
            <v>14</v>
          </cell>
          <cell r="N25">
            <v>0</v>
          </cell>
          <cell r="O25">
            <v>222.60000000000005</v>
          </cell>
          <cell r="P25">
            <v>59</v>
          </cell>
          <cell r="Q25">
            <v>0.26504941599281218</v>
          </cell>
          <cell r="S25">
            <v>163.60000000000005</v>
          </cell>
          <cell r="T25">
            <v>807.59999999999991</v>
          </cell>
          <cell r="U25">
            <v>0.20257553244180296</v>
          </cell>
          <cell r="W25">
            <v>0.20333333333333334</v>
          </cell>
        </row>
        <row r="26">
          <cell r="B26">
            <v>1373.3</v>
          </cell>
          <cell r="C26">
            <v>434.2</v>
          </cell>
          <cell r="D26">
            <v>939.09999999999991</v>
          </cell>
          <cell r="E26">
            <v>596.70000000000005</v>
          </cell>
          <cell r="F26">
            <v>105.8</v>
          </cell>
          <cell r="G26">
            <v>236.59999999999985</v>
          </cell>
          <cell r="H26">
            <v>0</v>
          </cell>
          <cell r="I26">
            <v>-18</v>
          </cell>
          <cell r="J26">
            <v>0</v>
          </cell>
          <cell r="L26">
            <v>20</v>
          </cell>
          <cell r="M26">
            <v>2</v>
          </cell>
          <cell r="N26">
            <v>0</v>
          </cell>
          <cell r="O26">
            <v>238.59999999999985</v>
          </cell>
          <cell r="P26">
            <v>61</v>
          </cell>
          <cell r="Q26">
            <v>0.25565800502933794</v>
          </cell>
          <cell r="S26">
            <v>177.59999999999985</v>
          </cell>
          <cell r="T26">
            <v>807.59999999999991</v>
          </cell>
          <cell r="U26">
            <v>0.21991084695393742</v>
          </cell>
          <cell r="W26">
            <v>0.23333333333333331</v>
          </cell>
        </row>
        <row r="27">
          <cell r="B27">
            <v>1438.3</v>
          </cell>
          <cell r="C27">
            <v>481.2</v>
          </cell>
          <cell r="D27">
            <v>957.09999999999991</v>
          </cell>
          <cell r="E27">
            <v>619.6</v>
          </cell>
          <cell r="F27">
            <v>116.03</v>
          </cell>
          <cell r="G27">
            <v>221.46999999999989</v>
          </cell>
          <cell r="H27">
            <v>0</v>
          </cell>
          <cell r="I27">
            <v>-21</v>
          </cell>
          <cell r="J27">
            <v>0</v>
          </cell>
          <cell r="L27">
            <v>22.1</v>
          </cell>
          <cell r="M27">
            <v>1.1000000000000014</v>
          </cell>
          <cell r="N27">
            <v>0</v>
          </cell>
          <cell r="O27">
            <v>222.56999999999988</v>
          </cell>
          <cell r="P27">
            <v>57.85</v>
          </cell>
          <cell r="Q27">
            <v>0.25991822797322206</v>
          </cell>
          <cell r="S27">
            <v>164.71999999999989</v>
          </cell>
          <cell r="T27">
            <v>807.93600000000004</v>
          </cell>
          <cell r="U27">
            <v>0.20387753485424573</v>
          </cell>
          <cell r="W27">
            <v>0.20333333333333334</v>
          </cell>
        </row>
        <row r="28">
          <cell r="B28">
            <v>1474.412</v>
          </cell>
          <cell r="C28">
            <v>498</v>
          </cell>
          <cell r="D28">
            <v>976.41200000000003</v>
          </cell>
          <cell r="E28">
            <v>677.6</v>
          </cell>
          <cell r="F28">
            <v>136.5</v>
          </cell>
          <cell r="G28">
            <v>162.31200000000001</v>
          </cell>
          <cell r="H28">
            <v>0</v>
          </cell>
          <cell r="I28">
            <v>-18</v>
          </cell>
          <cell r="J28">
            <v>0</v>
          </cell>
          <cell r="L28">
            <v>30.5</v>
          </cell>
          <cell r="M28">
            <v>12.5</v>
          </cell>
          <cell r="N28">
            <v>0</v>
          </cell>
          <cell r="O28">
            <v>174.81200000000001</v>
          </cell>
          <cell r="P28">
            <v>36.765000000000001</v>
          </cell>
          <cell r="Q28">
            <v>0.2103116490858751</v>
          </cell>
          <cell r="S28">
            <v>138.04700000000003</v>
          </cell>
          <cell r="T28">
            <v>808.30200000000013</v>
          </cell>
          <cell r="U28">
            <v>0.1707864139888309</v>
          </cell>
          <cell r="W28">
            <v>0.17</v>
          </cell>
        </row>
        <row r="30">
          <cell r="A30" t="str">
            <v>1992</v>
          </cell>
          <cell r="B30">
            <v>5597.5120000000006</v>
          </cell>
          <cell r="C30">
            <v>1814.3</v>
          </cell>
          <cell r="D30">
            <v>3783.2120000000004</v>
          </cell>
          <cell r="E30">
            <v>2480.7999999999997</v>
          </cell>
          <cell r="F30">
            <v>473.42999999999995</v>
          </cell>
          <cell r="G30">
            <v>828.98199999999986</v>
          </cell>
          <cell r="H30">
            <v>0</v>
          </cell>
          <cell r="I30">
            <v>-75.900000000000006</v>
          </cell>
          <cell r="J30">
            <v>0</v>
          </cell>
          <cell r="L30">
            <v>105.5</v>
          </cell>
          <cell r="M30">
            <v>29.6</v>
          </cell>
          <cell r="N30">
            <v>0</v>
          </cell>
          <cell r="O30">
            <v>858.58199999999977</v>
          </cell>
          <cell r="P30">
            <v>214.61500000000001</v>
          </cell>
          <cell r="Q30">
            <v>0.24996447631094068</v>
          </cell>
          <cell r="S30">
            <v>643.96699999999987</v>
          </cell>
          <cell r="T30">
            <v>808.19999999999993</v>
          </cell>
          <cell r="U30">
            <v>0.79679163573372913</v>
          </cell>
          <cell r="W30">
            <v>0.81</v>
          </cell>
        </row>
        <row r="32">
          <cell r="A32" t="str">
            <v>1993</v>
          </cell>
          <cell r="B32">
            <v>1331.7</v>
          </cell>
          <cell r="C32">
            <v>410.9</v>
          </cell>
          <cell r="D32">
            <v>920.80000000000007</v>
          </cell>
          <cell r="E32">
            <v>588</v>
          </cell>
          <cell r="F32">
            <v>110.7</v>
          </cell>
          <cell r="G32">
            <v>222.10000000000008</v>
          </cell>
          <cell r="H32">
            <v>9.5</v>
          </cell>
          <cell r="I32">
            <v>-14</v>
          </cell>
          <cell r="J32">
            <v>-2.8</v>
          </cell>
          <cell r="L32">
            <v>30.099999999999998</v>
          </cell>
          <cell r="M32">
            <v>22.799999999999997</v>
          </cell>
          <cell r="N32">
            <v>0.1</v>
          </cell>
          <cell r="O32">
            <v>245.00000000000009</v>
          </cell>
          <cell r="P32">
            <v>63.7</v>
          </cell>
          <cell r="Q32">
            <v>0.2599999999999999</v>
          </cell>
          <cell r="S32">
            <v>181.30000000000007</v>
          </cell>
          <cell r="T32">
            <v>812.178</v>
          </cell>
          <cell r="U32">
            <v>0.2232269280871928</v>
          </cell>
          <cell r="W32">
            <v>0.22333333333333336</v>
          </cell>
        </row>
        <row r="33">
          <cell r="B33">
            <v>1449.7</v>
          </cell>
          <cell r="C33">
            <v>471.9</v>
          </cell>
          <cell r="D33">
            <v>977.80000000000007</v>
          </cell>
          <cell r="E33">
            <v>630</v>
          </cell>
          <cell r="F33">
            <v>107.7</v>
          </cell>
          <cell r="G33">
            <v>240.10000000000008</v>
          </cell>
          <cell r="H33">
            <v>9.5</v>
          </cell>
          <cell r="I33">
            <v>-16</v>
          </cell>
          <cell r="J33">
            <v>-2.8</v>
          </cell>
          <cell r="L33">
            <v>19.399999999999999</v>
          </cell>
          <cell r="M33">
            <v>10.099999999999998</v>
          </cell>
          <cell r="N33">
            <v>0.1</v>
          </cell>
          <cell r="O33">
            <v>250.30000000000007</v>
          </cell>
          <cell r="P33">
            <v>60.1</v>
          </cell>
          <cell r="Q33">
            <v>0.24011186576108665</v>
          </cell>
          <cell r="S33">
            <v>190.20000000000007</v>
          </cell>
          <cell r="T33">
            <v>811.19999999999993</v>
          </cell>
          <cell r="U33">
            <v>0.23446745562130189</v>
          </cell>
          <cell r="W33">
            <v>0.23333333333333331</v>
          </cell>
        </row>
        <row r="34">
          <cell r="B34">
            <v>1478.5</v>
          </cell>
          <cell r="C34">
            <v>498.3</v>
          </cell>
          <cell r="D34">
            <v>980.2</v>
          </cell>
          <cell r="E34">
            <v>665.3</v>
          </cell>
          <cell r="F34">
            <v>118.5</v>
          </cell>
          <cell r="G34">
            <v>196.40000000000009</v>
          </cell>
          <cell r="H34">
            <v>10.4</v>
          </cell>
          <cell r="I34">
            <v>-18</v>
          </cell>
          <cell r="J34">
            <v>-2.9</v>
          </cell>
          <cell r="L34">
            <v>8.0999999999999979</v>
          </cell>
          <cell r="M34">
            <v>-2.4000000000000021</v>
          </cell>
          <cell r="N34">
            <v>0.1</v>
          </cell>
          <cell r="O34">
            <v>194.10000000000008</v>
          </cell>
          <cell r="P34">
            <v>38.1</v>
          </cell>
          <cell r="Q34">
            <v>0.19629057187016993</v>
          </cell>
          <cell r="S34">
            <v>156.00000000000009</v>
          </cell>
          <cell r="T34">
            <v>809.40000000000009</v>
          </cell>
          <cell r="U34">
            <v>0.19273535952557458</v>
          </cell>
          <cell r="W34">
            <v>0.19333333333333333</v>
          </cell>
        </row>
        <row r="35">
          <cell r="B35">
            <v>1533.8</v>
          </cell>
          <cell r="C35">
            <v>537</v>
          </cell>
          <cell r="D35">
            <v>996.8</v>
          </cell>
          <cell r="E35">
            <v>712.8</v>
          </cell>
          <cell r="F35">
            <v>128</v>
          </cell>
          <cell r="G35">
            <v>156</v>
          </cell>
          <cell r="H35">
            <v>10.3</v>
          </cell>
          <cell r="I35">
            <v>-16.2</v>
          </cell>
          <cell r="J35">
            <v>-2.9</v>
          </cell>
          <cell r="L35">
            <v>6.9000000000000448</v>
          </cell>
          <cell r="M35">
            <v>-1.8999999999999542</v>
          </cell>
          <cell r="N35">
            <v>0.2</v>
          </cell>
          <cell r="O35">
            <v>154.30000000000004</v>
          </cell>
          <cell r="P35">
            <v>36.399999999999977</v>
          </cell>
          <cell r="Q35">
            <v>0.2359040829552817</v>
          </cell>
          <cell r="S35">
            <v>117.90000000000006</v>
          </cell>
          <cell r="T35">
            <v>806.40000000000009</v>
          </cell>
          <cell r="U35">
            <v>0.14620535714285721</v>
          </cell>
          <cell r="W35">
            <v>-0.24</v>
          </cell>
        </row>
        <row r="37">
          <cell r="A37" t="str">
            <v>1993</v>
          </cell>
          <cell r="B37">
            <v>5793.7</v>
          </cell>
          <cell r="C37">
            <v>1918.1</v>
          </cell>
          <cell r="D37">
            <v>3875.6</v>
          </cell>
          <cell r="E37">
            <v>2596.1</v>
          </cell>
          <cell r="F37">
            <v>464.9</v>
          </cell>
          <cell r="G37">
            <v>814.60000000000025</v>
          </cell>
          <cell r="H37">
            <v>39.700000000000003</v>
          </cell>
          <cell r="I37">
            <v>-64.2</v>
          </cell>
          <cell r="J37">
            <v>-11.4</v>
          </cell>
          <cell r="L37">
            <v>64.500000000000043</v>
          </cell>
          <cell r="M37">
            <v>28.600000000000037</v>
          </cell>
          <cell r="N37">
            <v>0.5</v>
          </cell>
          <cell r="O37">
            <v>843.70000000000039</v>
          </cell>
          <cell r="P37">
            <v>198.29999999999998</v>
          </cell>
          <cell r="Q37">
            <v>0.23503615029038746</v>
          </cell>
          <cell r="S37">
            <v>645.40000000000032</v>
          </cell>
          <cell r="T37">
            <v>810</v>
          </cell>
          <cell r="U37">
            <v>0.79679012345679057</v>
          </cell>
          <cell r="W37">
            <v>0.41</v>
          </cell>
        </row>
        <row r="39">
          <cell r="A39" t="str">
            <v>94/93</v>
          </cell>
          <cell r="B39">
            <v>0.10754750850061279</v>
          </cell>
          <cell r="C39">
            <v>0.12355977269172613</v>
          </cell>
          <cell r="D39">
            <v>9.9622768087522129E-2</v>
          </cell>
          <cell r="E39">
            <v>5.365740919070916E-2</v>
          </cell>
          <cell r="F39">
            <v>-1.9143901914390193E-2</v>
          </cell>
          <cell r="G39">
            <v>0.31389393567394963</v>
          </cell>
          <cell r="H39">
            <v>0.25188916876574297</v>
          </cell>
          <cell r="I39">
            <v>0.45950155763239864</v>
          </cell>
          <cell r="J39">
            <v>9.6491228070175294E-2</v>
          </cell>
          <cell r="L39">
            <v>-1.1317829457364341</v>
          </cell>
          <cell r="M39" t="str">
            <v xml:space="preserve">    NM</v>
          </cell>
          <cell r="N39" t="str">
            <v xml:space="preserve">    NM</v>
          </cell>
          <cell r="O39">
            <v>8.2235391726916518E-2</v>
          </cell>
          <cell r="P39">
            <v>0.10489157841654073</v>
          </cell>
          <cell r="Q39">
            <v>2.093462001226154E-2</v>
          </cell>
          <cell r="S39">
            <v>7.5274248528043985E-2</v>
          </cell>
          <cell r="T39">
            <v>-6.6666666666668206E-3</v>
          </cell>
          <cell r="U39">
            <v>8.3514099783079665E-2</v>
          </cell>
          <cell r="W39">
            <v>1.1056910569105689</v>
          </cell>
        </row>
        <row r="40">
          <cell r="A40" t="str">
            <v>1994</v>
          </cell>
        </row>
        <row r="41">
          <cell r="A41" t="str">
            <v xml:space="preserve"> 1Q</v>
          </cell>
          <cell r="B41">
            <v>1472.895</v>
          </cell>
          <cell r="C41">
            <v>479</v>
          </cell>
          <cell r="D41">
            <v>993.89499999999998</v>
          </cell>
          <cell r="E41">
            <v>612.40000000000009</v>
          </cell>
          <cell r="F41">
            <v>97.9</v>
          </cell>
          <cell r="G41">
            <v>283.59499999999991</v>
          </cell>
          <cell r="H41">
            <v>9.6</v>
          </cell>
          <cell r="I41">
            <v>-18.399999999999999</v>
          </cell>
          <cell r="J41">
            <v>-3.1</v>
          </cell>
          <cell r="L41">
            <v>1.8999999999999986</v>
          </cell>
          <cell r="M41">
            <v>-10</v>
          </cell>
          <cell r="N41">
            <v>-19.815999999999999</v>
          </cell>
          <cell r="O41">
            <v>253.77899999999991</v>
          </cell>
          <cell r="P41">
            <v>63.4</v>
          </cell>
          <cell r="Q41">
            <v>0.24982366547271453</v>
          </cell>
          <cell r="S41">
            <v>190.37899999999991</v>
          </cell>
          <cell r="T41">
            <v>803.09999999999991</v>
          </cell>
          <cell r="U41">
            <v>0.23666666666666666</v>
          </cell>
          <cell r="W41">
            <v>0.23666666666666666</v>
          </cell>
        </row>
        <row r="42">
          <cell r="A42" t="str">
            <v xml:space="preserve"> 2Q</v>
          </cell>
          <cell r="B42">
            <v>1552.203</v>
          </cell>
          <cell r="C42">
            <v>509.3</v>
          </cell>
          <cell r="D42">
            <v>1042.903</v>
          </cell>
          <cell r="E42">
            <v>657</v>
          </cell>
          <cell r="F42">
            <v>100.5</v>
          </cell>
          <cell r="G42">
            <v>285.40300000000002</v>
          </cell>
          <cell r="H42">
            <v>14.5</v>
          </cell>
          <cell r="I42">
            <v>-23.8</v>
          </cell>
          <cell r="J42">
            <v>-3.1</v>
          </cell>
          <cell r="L42">
            <v>1.0999999999999996</v>
          </cell>
          <cell r="M42">
            <v>-11.3</v>
          </cell>
          <cell r="N42">
            <v>-18.600000000000001</v>
          </cell>
          <cell r="O42">
            <v>255.50300000000001</v>
          </cell>
          <cell r="P42">
            <v>58.8</v>
          </cell>
          <cell r="Q42">
            <v>0.23013428413756393</v>
          </cell>
          <cell r="S42">
            <v>196.70300000000003</v>
          </cell>
          <cell r="T42">
            <v>802.7940000000001</v>
          </cell>
          <cell r="U42">
            <v>0.24666666666666667</v>
          </cell>
          <cell r="W42">
            <v>0.24666666666666667</v>
          </cell>
        </row>
        <row r="43">
          <cell r="A43" t="str">
            <v xml:space="preserve"> 3Q</v>
          </cell>
          <cell r="B43">
            <v>1671</v>
          </cell>
          <cell r="C43">
            <v>569.4</v>
          </cell>
          <cell r="D43">
            <v>1101.5999999999999</v>
          </cell>
          <cell r="E43">
            <v>701.1</v>
          </cell>
          <cell r="F43">
            <v>124.2</v>
          </cell>
          <cell r="G43">
            <v>276.2999999999999</v>
          </cell>
          <cell r="H43">
            <v>14.6</v>
          </cell>
          <cell r="I43">
            <v>-26</v>
          </cell>
          <cell r="J43">
            <v>-3.1</v>
          </cell>
          <cell r="L43">
            <v>-4.4000000000000004</v>
          </cell>
          <cell r="M43">
            <v>-18.899999999999999</v>
          </cell>
          <cell r="N43">
            <v>-34.700000000000003</v>
          </cell>
          <cell r="O43">
            <v>222.69999999999993</v>
          </cell>
          <cell r="P43">
            <v>53.5</v>
          </cell>
          <cell r="Q43">
            <v>0.24023349797934448</v>
          </cell>
          <cell r="S43">
            <v>169.19999999999993</v>
          </cell>
          <cell r="T43">
            <v>805.19999999999993</v>
          </cell>
          <cell r="U43">
            <v>0.21</v>
          </cell>
          <cell r="W43">
            <v>0.21</v>
          </cell>
        </row>
        <row r="44">
          <cell r="A44" t="str">
            <v xml:space="preserve"> 4Q</v>
          </cell>
          <cell r="B44">
            <v>1720.7</v>
          </cell>
          <cell r="C44">
            <v>597.4</v>
          </cell>
          <cell r="D44">
            <v>1123.3000000000002</v>
          </cell>
          <cell r="E44">
            <v>764.90000000000009</v>
          </cell>
          <cell r="F44">
            <v>133.4</v>
          </cell>
          <cell r="G44">
            <v>225.00000000000009</v>
          </cell>
          <cell r="H44">
            <v>11</v>
          </cell>
          <cell r="I44">
            <v>-25.5</v>
          </cell>
          <cell r="J44">
            <v>-3.2</v>
          </cell>
          <cell r="L44">
            <v>-7.1000000000000005</v>
          </cell>
          <cell r="M44">
            <v>-24.8</v>
          </cell>
          <cell r="N44">
            <v>-19.100000000000001</v>
          </cell>
          <cell r="O44">
            <v>181.10000000000008</v>
          </cell>
          <cell r="P44">
            <v>43.4</v>
          </cell>
          <cell r="Q44">
            <v>0.23964660408614014</v>
          </cell>
          <cell r="S44">
            <v>137.70000000000007</v>
          </cell>
          <cell r="T44">
            <v>807.24599999999998</v>
          </cell>
          <cell r="U44">
            <v>0.17</v>
          </cell>
          <cell r="W44">
            <v>0.17</v>
          </cell>
        </row>
        <row r="46">
          <cell r="A46" t="str">
            <v>1994</v>
          </cell>
          <cell r="B46">
            <v>6416.7979999999998</v>
          </cell>
          <cell r="C46">
            <v>2155.1</v>
          </cell>
          <cell r="D46">
            <v>4261.6980000000003</v>
          </cell>
          <cell r="E46">
            <v>2735.4</v>
          </cell>
          <cell r="F46">
            <v>456</v>
          </cell>
          <cell r="G46">
            <v>1070.2979999999998</v>
          </cell>
          <cell r="H46">
            <v>49.7</v>
          </cell>
          <cell r="I46">
            <v>-93.7</v>
          </cell>
          <cell r="J46">
            <v>-12.5</v>
          </cell>
          <cell r="L46">
            <v>-8.5000000000000036</v>
          </cell>
          <cell r="M46">
            <v>-65</v>
          </cell>
          <cell r="N46">
            <v>-92.216000000000008</v>
          </cell>
          <cell r="O46">
            <v>913.08199999999988</v>
          </cell>
          <cell r="P46">
            <v>219.1</v>
          </cell>
          <cell r="Q46">
            <v>0.23995654278586154</v>
          </cell>
          <cell r="S46">
            <v>693.98199999999997</v>
          </cell>
          <cell r="T46">
            <v>804.59999999999991</v>
          </cell>
          <cell r="U46">
            <v>0.86333333333333329</v>
          </cell>
          <cell r="W46">
            <v>0.86333333333333329</v>
          </cell>
        </row>
        <row r="48">
          <cell r="A48" t="str">
            <v>95/94</v>
          </cell>
        </row>
        <row r="49">
          <cell r="A49" t="str">
            <v xml:space="preserve"> 1Q</v>
          </cell>
          <cell r="B49">
            <v>8.9419137141479865E-2</v>
          </cell>
          <cell r="C49">
            <v>0.11127348643006263</v>
          </cell>
          <cell r="D49">
            <v>7.888660270954162E-2</v>
          </cell>
          <cell r="E49">
            <v>2.5310254735466886E-2</v>
          </cell>
          <cell r="F49">
            <v>0.16751787538304375</v>
          </cell>
          <cell r="G49">
            <v>0.16398385020892503</v>
          </cell>
          <cell r="H49">
            <v>0.30208333333333348</v>
          </cell>
          <cell r="I49">
            <v>0.5869565217391306</v>
          </cell>
          <cell r="J49">
            <v>0.12903225806451601</v>
          </cell>
          <cell r="L49" t="str">
            <v xml:space="preserve">    NM</v>
          </cell>
          <cell r="M49">
            <v>1.1200000000000001</v>
          </cell>
          <cell r="N49">
            <v>0.52906742026645137</v>
          </cell>
          <cell r="O49">
            <v>9.7805570988931612E-2</v>
          </cell>
          <cell r="P49">
            <v>0.21766561514195581</v>
          </cell>
          <cell r="Q49">
            <v>0.10918148652229132</v>
          </cell>
          <cell r="S49">
            <v>5.788978826446245E-2</v>
          </cell>
          <cell r="T49">
            <v>5.7900635039223047E-3</v>
          </cell>
          <cell r="U49">
            <v>5.6338028169014009E-2</v>
          </cell>
          <cell r="W49">
            <v>5.6338028169014009E-2</v>
          </cell>
        </row>
        <row r="50">
          <cell r="A50" t="str">
            <v xml:space="preserve"> 2Q</v>
          </cell>
          <cell r="B50">
            <v>0.15938443618521547</v>
          </cell>
          <cell r="C50">
            <v>0.20086393088552912</v>
          </cell>
          <cell r="D50">
            <v>0.13912799176912904</v>
          </cell>
          <cell r="E50">
            <v>0.1388127853881278</v>
          </cell>
          <cell r="F50">
            <v>0.18905472636815923</v>
          </cell>
          <cell r="G50">
            <v>0.12227271612421742</v>
          </cell>
          <cell r="H50">
            <v>-0.13103448275862073</v>
          </cell>
          <cell r="I50">
            <v>0.38655462184873945</v>
          </cell>
          <cell r="J50">
            <v>0.12903225806451601</v>
          </cell>
          <cell r="L50" t="str">
            <v xml:space="preserve">    NM</v>
          </cell>
          <cell r="M50">
            <v>0.21238938053097312</v>
          </cell>
          <cell r="N50">
            <v>0.5376344086021505</v>
          </cell>
          <cell r="O50">
            <v>8.804984677283656E-2</v>
          </cell>
          <cell r="P50">
            <v>0.30952380952380953</v>
          </cell>
          <cell r="Q50">
            <v>0.20355130181569003</v>
          </cell>
          <cell r="S50">
            <v>2.1845116749617643E-2</v>
          </cell>
          <cell r="T50">
            <v>8.2287610520257459E-3</v>
          </cell>
          <cell r="U50">
            <v>1.3513513513513598E-2</v>
          </cell>
          <cell r="W50">
            <v>1.3513513513513598E-2</v>
          </cell>
        </row>
        <row r="51">
          <cell r="A51" t="str">
            <v xml:space="preserve"> 3Q</v>
          </cell>
          <cell r="B51">
            <v>6.2657091561938882E-2</v>
          </cell>
          <cell r="C51">
            <v>9.2553565156304973E-2</v>
          </cell>
          <cell r="D51">
            <v>4.7204066811910028E-2</v>
          </cell>
          <cell r="E51">
            <v>0.12081015546997564</v>
          </cell>
          <cell r="F51">
            <v>4.8309178743961345E-2</v>
          </cell>
          <cell r="G51">
            <v>-0.1400651465798044</v>
          </cell>
          <cell r="H51">
            <v>-0.1095890410958904</v>
          </cell>
          <cell r="I51">
            <v>0.20384615384615379</v>
          </cell>
          <cell r="J51">
            <v>0.12903225806451601</v>
          </cell>
          <cell r="L51" t="str">
            <v xml:space="preserve">    NM</v>
          </cell>
          <cell r="M51">
            <v>0.23809523809523858</v>
          </cell>
          <cell r="N51">
            <v>1.4409221902017322E-2</v>
          </cell>
          <cell r="O51">
            <v>-0.19622810956443648</v>
          </cell>
          <cell r="P51">
            <v>-0.11401869158878508</v>
          </cell>
          <cell r="Q51">
            <v>0.10227953845350579</v>
          </cell>
          <cell r="S51">
            <v>-0.22222222222222232</v>
          </cell>
          <cell r="T51">
            <v>7.1572280178839875E-3</v>
          </cell>
          <cell r="U51">
            <v>-0.22222222222222221</v>
          </cell>
          <cell r="W51">
            <v>0.25396825396825418</v>
          </cell>
        </row>
        <row r="52">
          <cell r="A52" t="str">
            <v xml:space="preserve"> 4Q</v>
          </cell>
          <cell r="B52">
            <v>8.0897309234613912E-2</v>
          </cell>
          <cell r="C52">
            <v>0.10729829260127222</v>
          </cell>
          <cell r="D52">
            <v>6.6856583281402981E-2</v>
          </cell>
          <cell r="E52">
            <v>6.9290103281474558E-2</v>
          </cell>
          <cell r="F52">
            <v>2.8485757121439192E-2</v>
          </cell>
          <cell r="G52">
            <v>8.133333333333348E-2</v>
          </cell>
          <cell r="H52">
            <v>5.4545454545454453E-2</v>
          </cell>
          <cell r="I52">
            <v>0.1450980392156862</v>
          </cell>
          <cell r="J52">
            <v>0.40625</v>
          </cell>
          <cell r="L52" t="str">
            <v xml:space="preserve">    NM</v>
          </cell>
          <cell r="M52">
            <v>0.66935483870967727</v>
          </cell>
          <cell r="N52">
            <v>0.87958115183246055</v>
          </cell>
          <cell r="O52">
            <v>-8.3379348426283584E-2</v>
          </cell>
          <cell r="P52">
            <v>-1.1520737327188946E-2</v>
          </cell>
          <cell r="Q52">
            <v>7.8395147409915822E-2</v>
          </cell>
          <cell r="S52">
            <v>-0.1060275962236743</v>
          </cell>
          <cell r="T52">
            <v>4.8981351409607132E-3</v>
          </cell>
          <cell r="U52">
            <v>-0.11764705882352955</v>
          </cell>
          <cell r="W52">
            <v>-0.11764705882352955</v>
          </cell>
        </row>
        <row r="54">
          <cell r="A54" t="str">
            <v>95/94</v>
          </cell>
          <cell r="B54">
            <v>9.7089233602179803E-2</v>
          </cell>
          <cell r="C54">
            <v>0.1263978469676581</v>
          </cell>
          <cell r="D54">
            <v>8.2268147578734796E-2</v>
          </cell>
          <cell r="E54">
            <v>8.9347079037800592E-2</v>
          </cell>
          <cell r="F54">
            <v>9.9122807017543835E-2</v>
          </cell>
          <cell r="G54">
            <v>5.699534148433405E-2</v>
          </cell>
          <cell r="H54">
            <v>0</v>
          </cell>
          <cell r="I54">
            <v>0.30949839914621124</v>
          </cell>
          <cell r="J54">
            <v>0.19999999999999996</v>
          </cell>
          <cell r="L54">
            <v>0.37647058823529411</v>
          </cell>
          <cell r="M54" t="str">
            <v xml:space="preserve">    NM</v>
          </cell>
          <cell r="N54" t="str">
            <v xml:space="preserve">NM </v>
          </cell>
          <cell r="O54">
            <v>-1.2574993264569678E-2</v>
          </cell>
          <cell r="P54">
            <v>0.11592879963486991</v>
          </cell>
          <cell r="Q54">
            <v>0.13014030637556151</v>
          </cell>
          <cell r="S54">
            <v>-5.314547063180286E-2</v>
          </cell>
          <cell r="T54">
            <v>6.7114093959732557E-3</v>
          </cell>
          <cell r="U54">
            <v>-6.1776061776061653E-2</v>
          </cell>
          <cell r="W54">
            <v>5.7915057915058021E-2</v>
          </cell>
        </row>
        <row r="56">
          <cell r="A56" t="str">
            <v>1995</v>
          </cell>
        </row>
        <row r="57">
          <cell r="A57" t="str">
            <v xml:space="preserve"> 1Q</v>
          </cell>
          <cell r="B57">
            <v>1604.6</v>
          </cell>
          <cell r="C57">
            <v>532.29999999999995</v>
          </cell>
          <cell r="D57">
            <v>1072.3</v>
          </cell>
          <cell r="E57">
            <v>627.9</v>
          </cell>
          <cell r="F57">
            <v>114.3</v>
          </cell>
          <cell r="G57">
            <v>330.09999999999997</v>
          </cell>
          <cell r="H57">
            <v>12.5</v>
          </cell>
          <cell r="I57">
            <v>-29.2</v>
          </cell>
          <cell r="J57">
            <v>-3.5</v>
          </cell>
          <cell r="L57">
            <v>-0.99999999999999967</v>
          </cell>
          <cell r="M57">
            <v>-21.2</v>
          </cell>
          <cell r="N57">
            <v>-30.3</v>
          </cell>
          <cell r="O57">
            <v>278.59999999999997</v>
          </cell>
          <cell r="P57">
            <v>77.2</v>
          </cell>
          <cell r="Q57">
            <v>0.27709978463747315</v>
          </cell>
          <cell r="S57">
            <v>201.39999999999998</v>
          </cell>
          <cell r="T57">
            <v>807.75</v>
          </cell>
          <cell r="U57">
            <v>0.25</v>
          </cell>
          <cell r="W57">
            <v>0.25</v>
          </cell>
        </row>
        <row r="58">
          <cell r="A58" t="str">
            <v xml:space="preserve"> 2Q</v>
          </cell>
          <cell r="B58">
            <v>1799.6</v>
          </cell>
          <cell r="C58">
            <v>611.6</v>
          </cell>
          <cell r="D58">
            <v>1188</v>
          </cell>
          <cell r="E58">
            <v>748.19999999999993</v>
          </cell>
          <cell r="F58">
            <v>119.5</v>
          </cell>
          <cell r="G58">
            <v>320.30000000000007</v>
          </cell>
          <cell r="H58">
            <v>12.6</v>
          </cell>
          <cell r="I58">
            <v>-33</v>
          </cell>
          <cell r="J58">
            <v>-3.5</v>
          </cell>
          <cell r="L58">
            <v>10.200000000000001</v>
          </cell>
          <cell r="M58">
            <v>-13.699999999999998</v>
          </cell>
          <cell r="N58">
            <v>-28.6</v>
          </cell>
          <cell r="O58">
            <v>278.00000000000006</v>
          </cell>
          <cell r="P58">
            <v>77</v>
          </cell>
          <cell r="Q58">
            <v>0.27697841726618699</v>
          </cell>
          <cell r="S58">
            <v>201.00000000000006</v>
          </cell>
          <cell r="T58">
            <v>809.40000000000009</v>
          </cell>
          <cell r="U58">
            <v>0.25</v>
          </cell>
          <cell r="W58">
            <v>0.25</v>
          </cell>
        </row>
        <row r="59">
          <cell r="A59" t="str">
            <v xml:space="preserve"> 3Q</v>
          </cell>
          <cell r="B59">
            <v>1775.7</v>
          </cell>
          <cell r="C59">
            <v>622.1</v>
          </cell>
          <cell r="D59">
            <v>1153.5999999999999</v>
          </cell>
          <cell r="E59">
            <v>785.8</v>
          </cell>
          <cell r="F59">
            <v>130.19999999999999</v>
          </cell>
          <cell r="G59">
            <v>237.59999999999997</v>
          </cell>
          <cell r="H59">
            <v>13</v>
          </cell>
          <cell r="I59">
            <v>-31.3</v>
          </cell>
          <cell r="J59">
            <v>-3.5</v>
          </cell>
          <cell r="L59">
            <v>-1.6000000000000085</v>
          </cell>
          <cell r="M59">
            <v>-23.400000000000009</v>
          </cell>
          <cell r="N59">
            <v>-35.200000000000003</v>
          </cell>
          <cell r="O59">
            <v>178.99999999999994</v>
          </cell>
          <cell r="P59">
            <v>47.4</v>
          </cell>
          <cell r="Q59">
            <v>0.26480446927374307</v>
          </cell>
          <cell r="S59">
            <v>131.59999999999994</v>
          </cell>
          <cell r="T59">
            <v>810.96300000000008</v>
          </cell>
          <cell r="U59">
            <v>0.16333333333333333</v>
          </cell>
          <cell r="W59">
            <v>0.26333333333333336</v>
          </cell>
        </row>
        <row r="60">
          <cell r="A60" t="str">
            <v xml:space="preserve"> 4Q</v>
          </cell>
          <cell r="B60">
            <v>1859.9</v>
          </cell>
          <cell r="C60">
            <v>661.5</v>
          </cell>
          <cell r="D60">
            <v>1198.4000000000001</v>
          </cell>
          <cell r="E60">
            <v>817.9</v>
          </cell>
          <cell r="F60">
            <v>137.19999999999999</v>
          </cell>
          <cell r="G60">
            <v>243.30000000000013</v>
          </cell>
          <cell r="H60">
            <v>11.6</v>
          </cell>
          <cell r="I60">
            <v>-29.2</v>
          </cell>
          <cell r="J60">
            <v>-4.5</v>
          </cell>
          <cell r="L60">
            <v>-19.299999999999997</v>
          </cell>
          <cell r="M60">
            <v>-41.4</v>
          </cell>
          <cell r="N60">
            <v>-35.9</v>
          </cell>
          <cell r="O60">
            <v>166.00000000000011</v>
          </cell>
          <cell r="P60">
            <v>42.9</v>
          </cell>
          <cell r="Q60">
            <v>0.25843373493975885</v>
          </cell>
          <cell r="S60">
            <v>123.10000000000011</v>
          </cell>
          <cell r="T60">
            <v>811.19999999999993</v>
          </cell>
          <cell r="U60">
            <v>0.15</v>
          </cell>
          <cell r="W60">
            <v>0.15</v>
          </cell>
        </row>
        <row r="62">
          <cell r="A62" t="str">
            <v>1995</v>
          </cell>
          <cell r="B62">
            <v>7039.7999999999993</v>
          </cell>
          <cell r="C62">
            <v>2427.5</v>
          </cell>
          <cell r="D62">
            <v>4612.2999999999993</v>
          </cell>
          <cell r="E62">
            <v>2979.7999999999997</v>
          </cell>
          <cell r="F62">
            <v>501.2</v>
          </cell>
          <cell r="G62">
            <v>1131.2999999999995</v>
          </cell>
          <cell r="H62">
            <v>49.7</v>
          </cell>
          <cell r="I62">
            <v>-122.7</v>
          </cell>
          <cell r="J62">
            <v>-15</v>
          </cell>
          <cell r="L62">
            <v>-11.700000000000005</v>
          </cell>
          <cell r="M62">
            <v>-99.700000000000017</v>
          </cell>
          <cell r="N62">
            <v>-130</v>
          </cell>
          <cell r="O62">
            <v>901.6</v>
          </cell>
          <cell r="P62">
            <v>244.5</v>
          </cell>
          <cell r="Q62">
            <v>0.27118456078083408</v>
          </cell>
          <cell r="S62">
            <v>657.10000000000014</v>
          </cell>
          <cell r="T62">
            <v>810</v>
          </cell>
          <cell r="U62">
            <v>0.81</v>
          </cell>
          <cell r="W62">
            <v>0.91333333333333344</v>
          </cell>
        </row>
        <row r="64">
          <cell r="A64" t="str">
            <v>96/95</v>
          </cell>
        </row>
        <row r="65">
          <cell r="A65" t="str">
            <v xml:space="preserve"> 1Q</v>
          </cell>
          <cell r="B65">
            <v>0.13997257883584702</v>
          </cell>
          <cell r="C65">
            <v>0.10764606424948342</v>
          </cell>
          <cell r="D65">
            <v>0.15601977058658956</v>
          </cell>
          <cell r="E65">
            <v>0.20385411689759514</v>
          </cell>
          <cell r="F65">
            <v>0.13473315835520561</v>
          </cell>
          <cell r="G65">
            <v>7.2402302332626345E-2</v>
          </cell>
          <cell r="H65">
            <v>-3.2000000000000028E-2</v>
          </cell>
          <cell r="I65">
            <v>0</v>
          </cell>
          <cell r="J65" t="str">
            <v xml:space="preserve">NM </v>
          </cell>
          <cell r="L65" t="str">
            <v xml:space="preserve">NM </v>
          </cell>
          <cell r="M65" t="str">
            <v xml:space="preserve">NM </v>
          </cell>
          <cell r="N65">
            <v>7.2607260726072598E-2</v>
          </cell>
          <cell r="O65">
            <v>8.2555635319454534E-2</v>
          </cell>
          <cell r="P65">
            <v>5.569948186528495E-2</v>
          </cell>
          <cell r="Q65">
            <v>-2.4808104616484195E-2</v>
          </cell>
          <cell r="S65">
            <v>9.2850049652432931E-2</v>
          </cell>
          <cell r="T65">
            <v>2.3955431754874468E-2</v>
          </cell>
          <cell r="U65">
            <v>4.0000000000000036E-2</v>
          </cell>
          <cell r="W65">
            <v>0.21333333333333337</v>
          </cell>
        </row>
        <row r="66">
          <cell r="A66" t="str">
            <v xml:space="preserve"> 2Q</v>
          </cell>
          <cell r="B66">
            <v>-4.6677039342075677E-3</v>
          </cell>
          <cell r="C66">
            <v>-6.4748201438848962E-2</v>
          </cell>
          <cell r="D66">
            <v>2.626262626262621E-2</v>
          </cell>
          <cell r="E66">
            <v>2.0181769580326137E-2</v>
          </cell>
          <cell r="F66">
            <v>9.3723849372384871E-2</v>
          </cell>
          <cell r="G66">
            <v>1.5298157976896709E-2</v>
          </cell>
          <cell r="H66">
            <v>0.26984126984126977</v>
          </cell>
          <cell r="I66">
            <v>-4.8484848484848575E-2</v>
          </cell>
          <cell r="J66" t="str">
            <v xml:space="preserve">NM </v>
          </cell>
          <cell r="L66" t="str">
            <v xml:space="preserve">NM </v>
          </cell>
          <cell r="M66" t="str">
            <v xml:space="preserve">NM </v>
          </cell>
          <cell r="N66">
            <v>0.27622377622377625</v>
          </cell>
          <cell r="O66">
            <v>6.2589928057554145E-2</v>
          </cell>
          <cell r="P66">
            <v>6.7532467532467555E-2</v>
          </cell>
          <cell r="Q66">
            <v>4.6514081720578915E-3</v>
          </cell>
          <cell r="S66">
            <v>6.0696517412935469E-2</v>
          </cell>
          <cell r="T66">
            <v>2.1868050407709116E-2</v>
          </cell>
          <cell r="U66">
            <v>2.6666666666666616E-2</v>
          </cell>
          <cell r="W66">
            <v>2.6666666666666616E-2</v>
          </cell>
        </row>
        <row r="67">
          <cell r="A67" t="str">
            <v xml:space="preserve"> 3Q</v>
          </cell>
          <cell r="B67">
            <v>-4.3363180717463923E-3</v>
          </cell>
          <cell r="C67">
            <v>-6.735251567272138E-2</v>
          </cell>
          <cell r="D67">
            <v>2.9646324549237102E-2</v>
          </cell>
          <cell r="E67">
            <v>-9.1626368032577954E-3</v>
          </cell>
          <cell r="F67">
            <v>0.11367127496159757</v>
          </cell>
          <cell r="G67">
            <v>0.1119528619528618</v>
          </cell>
          <cell r="H67">
            <v>0.15384615384615374</v>
          </cell>
          <cell r="I67">
            <v>0.50479233226837072</v>
          </cell>
          <cell r="J67" t="str">
            <v xml:space="preserve">NM </v>
          </cell>
          <cell r="L67" t="str">
            <v xml:space="preserve">NM </v>
          </cell>
          <cell r="M67" t="str">
            <v xml:space="preserve">NM </v>
          </cell>
          <cell r="N67" t="str">
            <v xml:space="preserve">NM </v>
          </cell>
          <cell r="O67">
            <v>0.17318435754189943</v>
          </cell>
          <cell r="P67">
            <v>0.31434599156118148</v>
          </cell>
          <cell r="Q67">
            <v>0.12032348804500703</v>
          </cell>
          <cell r="S67">
            <v>0.12234042553191493</v>
          </cell>
          <cell r="T67">
            <v>1.9898565039341953E-2</v>
          </cell>
          <cell r="U67">
            <v>0.12244897959183687</v>
          </cell>
          <cell r="W67">
            <v>-0.30379746835443044</v>
          </cell>
        </row>
        <row r="68">
          <cell r="A68" t="str">
            <v xml:space="preserve"> 4Q</v>
          </cell>
          <cell r="B68">
            <v>-9.086510027420891E-3</v>
          </cell>
          <cell r="C68">
            <v>-8.5260770975056688E-2</v>
          </cell>
          <cell r="D68">
            <v>3.2960614152202972E-2</v>
          </cell>
          <cell r="E68">
            <v>1.2226433549344939E-4</v>
          </cell>
          <cell r="F68">
            <v>8.8921282798833934E-2</v>
          </cell>
          <cell r="G68">
            <v>0.11179613645704878</v>
          </cell>
          <cell r="H68">
            <v>8.6206896551723755E-3</v>
          </cell>
          <cell r="I68">
            <v>0.31506849315068486</v>
          </cell>
          <cell r="J68" t="str">
            <v xml:space="preserve">NM </v>
          </cell>
          <cell r="L68" t="str">
            <v xml:space="preserve">NM </v>
          </cell>
          <cell r="M68" t="str">
            <v xml:space="preserve">NM </v>
          </cell>
          <cell r="N68" t="str">
            <v xml:space="preserve">NM </v>
          </cell>
          <cell r="O68">
            <v>0.44879518072289115</v>
          </cell>
          <cell r="P68">
            <v>0.62703962703962701</v>
          </cell>
          <cell r="Q68">
            <v>0.12302943072173855</v>
          </cell>
          <cell r="S68">
            <v>0.38667749796913031</v>
          </cell>
          <cell r="T68">
            <v>1.9600591715976279E-2</v>
          </cell>
          <cell r="U68">
            <v>0.37777777777777777</v>
          </cell>
          <cell r="W68">
            <v>0.37777777777777777</v>
          </cell>
        </row>
        <row r="70">
          <cell r="A70" t="str">
            <v>96/95</v>
          </cell>
          <cell r="B70">
            <v>2.7216682292110717E-2</v>
          </cell>
          <cell r="C70">
            <v>-3.3202883625128687E-2</v>
          </cell>
          <cell r="D70">
            <v>5.9016109099581771E-2</v>
          </cell>
          <cell r="E70">
            <v>4.5640647023290182E-2</v>
          </cell>
          <cell r="F70">
            <v>0.10694333599361516</v>
          </cell>
          <cell r="G70">
            <v>7.3013347476355239E-2</v>
          </cell>
          <cell r="H70">
            <v>0.10261569416498983</v>
          </cell>
          <cell r="I70">
            <v>0.19070904645476761</v>
          </cell>
          <cell r="J70">
            <v>1.1000000000000001</v>
          </cell>
          <cell r="L70" t="str">
            <v xml:space="preserve">NM </v>
          </cell>
          <cell r="M70">
            <v>-2.3069207622868682E-2</v>
          </cell>
          <cell r="N70" t="str">
            <v xml:space="preserve">NM </v>
          </cell>
          <cell r="O70">
            <v>0.16182342502218283</v>
          </cell>
          <cell r="P70">
            <v>0.20981595092024552</v>
          </cell>
          <cell r="Q70">
            <v>4.1307934462714302E-2</v>
          </cell>
          <cell r="S70">
            <v>0.14396591082027066</v>
          </cell>
          <cell r="T70">
            <v>2.1111111111111081E-2</v>
          </cell>
          <cell r="U70">
            <v>0.11934156378600824</v>
          </cell>
          <cell r="W70">
            <v>4.014598540145986E-2</v>
          </cell>
        </row>
        <row r="72">
          <cell r="A72" t="str">
            <v>1996 (c)</v>
          </cell>
        </row>
        <row r="73">
          <cell r="A73" t="str">
            <v xml:space="preserve"> 1Q</v>
          </cell>
          <cell r="B73">
            <v>1829.2</v>
          </cell>
          <cell r="C73">
            <v>589.6</v>
          </cell>
          <cell r="D73">
            <v>1239.5999999999999</v>
          </cell>
          <cell r="E73">
            <v>755.9</v>
          </cell>
          <cell r="F73">
            <v>129.69999999999999</v>
          </cell>
          <cell r="G73">
            <v>353.99999999999994</v>
          </cell>
          <cell r="H73">
            <v>12.1</v>
          </cell>
          <cell r="I73">
            <v>-29.2</v>
          </cell>
          <cell r="J73">
            <v>-3.5</v>
          </cell>
          <cell r="L73">
            <v>0.69999999999999785</v>
          </cell>
          <cell r="M73">
            <v>-19.900000000000002</v>
          </cell>
          <cell r="N73">
            <v>-32.5</v>
          </cell>
          <cell r="O73">
            <v>301.59999999999997</v>
          </cell>
          <cell r="P73">
            <v>81.5</v>
          </cell>
          <cell r="Q73">
            <v>0.27022546419098148</v>
          </cell>
          <cell r="S73">
            <v>220.09999999999997</v>
          </cell>
          <cell r="T73">
            <v>827.09999999999991</v>
          </cell>
          <cell r="U73">
            <v>0.26</v>
          </cell>
          <cell r="W73">
            <v>0.30333333333333334</v>
          </cell>
        </row>
        <row r="74">
          <cell r="A74" t="str">
            <v xml:space="preserve"> 2Q</v>
          </cell>
          <cell r="B74">
            <v>1791.2</v>
          </cell>
          <cell r="C74">
            <v>572</v>
          </cell>
          <cell r="D74">
            <v>1219.2</v>
          </cell>
          <cell r="E74">
            <v>763.3</v>
          </cell>
          <cell r="F74">
            <v>130.69999999999999</v>
          </cell>
          <cell r="G74">
            <v>325.2000000000001</v>
          </cell>
          <cell r="H74">
            <v>16</v>
          </cell>
          <cell r="I74">
            <v>-31.4</v>
          </cell>
          <cell r="J74">
            <v>-4</v>
          </cell>
          <cell r="L74">
            <v>26.1</v>
          </cell>
          <cell r="M74">
            <v>6.7000000000000028</v>
          </cell>
          <cell r="N74">
            <v>-36.5</v>
          </cell>
          <cell r="O74">
            <v>295.40000000000009</v>
          </cell>
          <cell r="P74">
            <v>82.2</v>
          </cell>
          <cell r="Q74">
            <v>0.27826675693974262</v>
          </cell>
          <cell r="S74">
            <v>213.2000000000001</v>
          </cell>
          <cell r="T74">
            <v>827.09999999999991</v>
          </cell>
          <cell r="U74">
            <v>0.25666666666666665</v>
          </cell>
          <cell r="W74">
            <v>0.25666666666666665</v>
          </cell>
        </row>
        <row r="75">
          <cell r="A75" t="str">
            <v xml:space="preserve"> 3Q</v>
          </cell>
          <cell r="B75">
            <v>1768</v>
          </cell>
          <cell r="C75">
            <v>580.20000000000005</v>
          </cell>
          <cell r="D75">
            <v>1187.8</v>
          </cell>
          <cell r="E75">
            <v>778.6</v>
          </cell>
          <cell r="F75">
            <v>145</v>
          </cell>
          <cell r="G75">
            <v>264.19999999999993</v>
          </cell>
          <cell r="H75">
            <v>15</v>
          </cell>
          <cell r="I75">
            <v>-47.1</v>
          </cell>
          <cell r="J75">
            <v>-13</v>
          </cell>
          <cell r="L75">
            <v>-9.1</v>
          </cell>
          <cell r="M75">
            <v>-54.2</v>
          </cell>
          <cell r="N75">
            <v>0</v>
          </cell>
          <cell r="O75">
            <v>209.99999999999994</v>
          </cell>
          <cell r="P75">
            <v>62.3</v>
          </cell>
          <cell r="Q75">
            <v>0.29666666666666675</v>
          </cell>
          <cell r="S75">
            <v>147.69999999999993</v>
          </cell>
          <cell r="T75">
            <v>827.09999999999991</v>
          </cell>
          <cell r="U75">
            <v>0.18333333333333335</v>
          </cell>
          <cell r="W75">
            <v>0.18333333333333335</v>
          </cell>
        </row>
        <row r="76">
          <cell r="A76" t="str">
            <v xml:space="preserve"> 4Q</v>
          </cell>
          <cell r="B76">
            <v>1843</v>
          </cell>
          <cell r="C76">
            <v>605.1</v>
          </cell>
          <cell r="D76">
            <v>1237.9000000000001</v>
          </cell>
          <cell r="E76">
            <v>818</v>
          </cell>
          <cell r="F76">
            <v>149.4</v>
          </cell>
          <cell r="G76">
            <v>270.50000000000011</v>
          </cell>
          <cell r="H76">
            <v>11.7</v>
          </cell>
          <cell r="I76">
            <v>-38.4</v>
          </cell>
          <cell r="J76">
            <v>-11</v>
          </cell>
          <cell r="L76">
            <v>7.7</v>
          </cell>
          <cell r="M76">
            <v>-30.000000000000004</v>
          </cell>
          <cell r="N76">
            <v>0</v>
          </cell>
          <cell r="O76">
            <v>240.50000000000011</v>
          </cell>
          <cell r="P76">
            <v>69.8</v>
          </cell>
          <cell r="Q76">
            <v>0.29022869022869008</v>
          </cell>
          <cell r="S76">
            <v>170.7000000000001</v>
          </cell>
          <cell r="T76">
            <v>827.09999999999991</v>
          </cell>
          <cell r="U76">
            <v>0.20666666666666667</v>
          </cell>
          <cell r="W76">
            <v>0.20666666666666667</v>
          </cell>
        </row>
        <row r="78">
          <cell r="A78" t="str">
            <v>1996 (c)</v>
          </cell>
          <cell r="B78">
            <v>7231.4</v>
          </cell>
          <cell r="C78">
            <v>2346.9</v>
          </cell>
          <cell r="D78">
            <v>4884.5</v>
          </cell>
          <cell r="E78">
            <v>3115.7999999999997</v>
          </cell>
          <cell r="F78">
            <v>554.79999999999995</v>
          </cell>
          <cell r="G78">
            <v>1213.9000000000001</v>
          </cell>
          <cell r="H78">
            <v>54.8</v>
          </cell>
          <cell r="I78">
            <v>-146.1</v>
          </cell>
          <cell r="J78">
            <v>-31.5</v>
          </cell>
          <cell r="L78">
            <v>72</v>
          </cell>
          <cell r="M78">
            <v>-97.4</v>
          </cell>
          <cell r="N78">
            <v>-69</v>
          </cell>
          <cell r="O78">
            <v>1047.5</v>
          </cell>
          <cell r="P78">
            <v>295.8</v>
          </cell>
          <cell r="Q78">
            <v>0.28238663484486876</v>
          </cell>
          <cell r="S78">
            <v>751.7</v>
          </cell>
          <cell r="T78">
            <v>827.09999999999991</v>
          </cell>
          <cell r="U78">
            <v>0.90666666666666673</v>
          </cell>
          <cell r="W78">
            <v>0.95000000000000007</v>
          </cell>
        </row>
        <row r="80">
          <cell r="A80" t="str">
            <v>97/96</v>
          </cell>
        </row>
        <row r="81">
          <cell r="A81" t="str">
            <v xml:space="preserve"> 1Q</v>
          </cell>
          <cell r="B81">
            <v>-2.8318390553247252E-2</v>
          </cell>
          <cell r="C81">
            <v>-6.8521031207598337E-2</v>
          </cell>
          <cell r="D81">
            <v>-9.1965150048402E-3</v>
          </cell>
          <cell r="E81">
            <v>8.3344357719274953E-3</v>
          </cell>
          <cell r="F81">
            <v>3.2382420971472703E-2</v>
          </cell>
          <cell r="G81">
            <v>-6.1864406779660763E-2</v>
          </cell>
          <cell r="H81">
            <v>-0.3223140495867769</v>
          </cell>
          <cell r="I81">
            <v>0.34246575342465757</v>
          </cell>
          <cell r="J81" t="str">
            <v xml:space="preserve">NM </v>
          </cell>
          <cell r="L81" t="str">
            <v xml:space="preserve">NM </v>
          </cell>
          <cell r="M81" t="str">
            <v xml:space="preserve">NM </v>
          </cell>
          <cell r="N81" t="str">
            <v xml:space="preserve">NM </v>
          </cell>
          <cell r="O81">
            <v>-3.315649867373982E-2</v>
          </cell>
          <cell r="P81">
            <v>7.361963190184051E-2</v>
          </cell>
          <cell r="Q81">
            <v>0.11043786344854256</v>
          </cell>
          <cell r="S81">
            <v>-7.2694229895501783E-2</v>
          </cell>
          <cell r="T81">
            <v>7.5021158263812726E-3</v>
          </cell>
          <cell r="U81">
            <v>-5.7967970911010913E-2</v>
          </cell>
          <cell r="W81">
            <v>-0.19254397506658072</v>
          </cell>
        </row>
        <row r="82">
          <cell r="A82" t="str">
            <v xml:space="preserve"> 2Q</v>
          </cell>
          <cell r="B82">
            <v>9.7979008485931107E-2</v>
          </cell>
          <cell r="C82">
            <v>3.7762237762237749E-2</v>
          </cell>
          <cell r="D82">
            <v>0.12623031496062986</v>
          </cell>
          <cell r="E82">
            <v>0.12354251277348371</v>
          </cell>
          <cell r="F82">
            <v>0.21040550879877573</v>
          </cell>
          <cell r="G82">
            <v>9.8708487084870233E-2</v>
          </cell>
          <cell r="H82">
            <v>-0.4375</v>
          </cell>
          <cell r="I82">
            <v>0.52866242038216571</v>
          </cell>
          <cell r="J82" t="str">
            <v xml:space="preserve">NM </v>
          </cell>
          <cell r="L82" t="str">
            <v xml:space="preserve">NM </v>
          </cell>
          <cell r="M82" t="str">
            <v xml:space="preserve">NM </v>
          </cell>
          <cell r="N82" t="str">
            <v xml:space="preserve">NM </v>
          </cell>
          <cell r="O82">
            <v>0.11882193635748073</v>
          </cell>
          <cell r="P82">
            <v>0.20559610705596087</v>
          </cell>
          <cell r="Q82">
            <v>7.755851747150122E-2</v>
          </cell>
          <cell r="S82">
            <v>8.5365853658535551E-2</v>
          </cell>
          <cell r="T82">
            <v>1.2173860476363263E-2</v>
          </cell>
          <cell r="U82">
            <v>7.6913313271802064E-2</v>
          </cell>
          <cell r="W82">
            <v>7.6913313271802064E-2</v>
          </cell>
        </row>
        <row r="83">
          <cell r="A83" t="str">
            <v xml:space="preserve"> 3Q</v>
          </cell>
          <cell r="B83">
            <v>0.19247737556561106</v>
          </cell>
          <cell r="C83">
            <v>5.8255773871078942E-2</v>
          </cell>
          <cell r="D83">
            <v>0.25804007408654672</v>
          </cell>
          <cell r="E83">
            <v>0.24389930644746971</v>
          </cell>
          <cell r="F83">
            <v>0.25517241379310351</v>
          </cell>
          <cell r="G83">
            <v>0.30128690386071266</v>
          </cell>
          <cell r="H83">
            <v>-0.28666666666666674</v>
          </cell>
          <cell r="I83">
            <v>-8.7048832271762189E-2</v>
          </cell>
          <cell r="J83" t="str">
            <v xml:space="preserve">NM </v>
          </cell>
          <cell r="L83" t="str">
            <v xml:space="preserve">NM </v>
          </cell>
          <cell r="M83" t="str">
            <v xml:space="preserve">NM </v>
          </cell>
          <cell r="N83" t="str">
            <v xml:space="preserve">NM </v>
          </cell>
          <cell r="O83">
            <v>0.34904761904762038</v>
          </cell>
          <cell r="P83">
            <v>0.36436597110754421</v>
          </cell>
          <cell r="Q83">
            <v>1.1354937990059932E-2</v>
          </cell>
          <cell r="S83">
            <v>0.34258632362897945</v>
          </cell>
          <cell r="T83">
            <v>1.4508523757707614E-2</v>
          </cell>
          <cell r="U83">
            <v>0.30909090909090886</v>
          </cell>
          <cell r="W83">
            <v>0.30909090909090886</v>
          </cell>
        </row>
        <row r="84">
          <cell r="A84" t="str">
            <v xml:space="preserve"> 4Q</v>
          </cell>
          <cell r="B84">
            <v>0.26283233857840482</v>
          </cell>
          <cell r="C84">
            <v>7.5524706660056173E-2</v>
          </cell>
          <cell r="D84">
            <v>0.35439050004039108</v>
          </cell>
          <cell r="E84">
            <v>0.33007334963325174</v>
          </cell>
          <cell r="F84">
            <v>0.32597054886211496</v>
          </cell>
          <cell r="G84">
            <v>0.44362292051755992</v>
          </cell>
          <cell r="H84">
            <v>0.15384615384615397</v>
          </cell>
          <cell r="I84">
            <v>-4.1666666666666741E-2</v>
          </cell>
          <cell r="J84" t="str">
            <v xml:space="preserve">NM </v>
          </cell>
          <cell r="L84" t="str">
            <v xml:space="preserve">NM </v>
          </cell>
          <cell r="M84" t="str">
            <v xml:space="preserve">NM </v>
          </cell>
          <cell r="N84" t="str">
            <v xml:space="preserve">NM </v>
          </cell>
          <cell r="O84">
            <v>0.36382536382536368</v>
          </cell>
          <cell r="P84">
            <v>0.32234957020057298</v>
          </cell>
          <cell r="Q84">
            <v>-3.0411366971835663E-2</v>
          </cell>
          <cell r="S84">
            <v>0.3807850029291151</v>
          </cell>
          <cell r="T84">
            <v>1.4508523757707614E-2</v>
          </cell>
          <cell r="U84">
            <v>0.35483870967741948</v>
          </cell>
          <cell r="W84">
            <v>0.35483870967741948</v>
          </cell>
        </row>
        <row r="86">
          <cell r="A86" t="str">
            <v>Year</v>
          </cell>
          <cell r="B86">
            <v>0.13115026136017938</v>
          </cell>
          <cell r="C86">
            <v>2.5863905577570456E-2</v>
          </cell>
          <cell r="D86">
            <v>0.18173815129491255</v>
          </cell>
          <cell r="E86">
            <v>0.17988959496758472</v>
          </cell>
          <cell r="F86">
            <v>0.21160778658976231</v>
          </cell>
          <cell r="G86">
            <v>0.17283136996457715</v>
          </cell>
          <cell r="H86">
            <v>-0.24452554744525545</v>
          </cell>
          <cell r="I86">
            <v>0.14305270362765232</v>
          </cell>
          <cell r="J86">
            <v>0.79047619047619055</v>
          </cell>
          <cell r="L86" t="str">
            <v xml:space="preserve">NM </v>
          </cell>
          <cell r="M86">
            <v>0.9537987679671458</v>
          </cell>
          <cell r="N86" t="str">
            <v xml:space="preserve">NM </v>
          </cell>
          <cell r="O86">
            <v>0.17747016706443919</v>
          </cell>
          <cell r="P86">
            <v>0.23022312373225162</v>
          </cell>
          <cell r="Q86">
            <v>4.4801947551105448E-2</v>
          </cell>
          <cell r="S86">
            <v>0.15671145403751519</v>
          </cell>
          <cell r="T86">
            <v>1.2173255954539997E-2</v>
          </cell>
          <cell r="U86">
            <v>0.14853243893702173</v>
          </cell>
          <cell r="W86">
            <v>9.6143239967964478E-2</v>
          </cell>
        </row>
        <row r="88">
          <cell r="A88">
            <v>1997</v>
          </cell>
        </row>
        <row r="89">
          <cell r="A89" t="str">
            <v xml:space="preserve"> 1Q</v>
          </cell>
          <cell r="B89">
            <v>1777.4</v>
          </cell>
          <cell r="C89">
            <v>549.20000000000005</v>
          </cell>
          <cell r="D89">
            <v>1228.2</v>
          </cell>
          <cell r="E89">
            <v>762.2</v>
          </cell>
          <cell r="F89">
            <v>133.9</v>
          </cell>
          <cell r="G89">
            <v>332.1</v>
          </cell>
          <cell r="H89">
            <v>8.1999999999999993</v>
          </cell>
          <cell r="I89">
            <v>-39.200000000000003</v>
          </cell>
          <cell r="J89">
            <v>-12.4</v>
          </cell>
          <cell r="L89">
            <v>2.9</v>
          </cell>
          <cell r="M89">
            <v>-40.500000000000007</v>
          </cell>
          <cell r="N89">
            <v>0</v>
          </cell>
          <cell r="O89">
            <v>291.60000000000002</v>
          </cell>
          <cell r="P89">
            <v>87.5</v>
          </cell>
          <cell r="Q89">
            <v>0.30006858710562412</v>
          </cell>
          <cell r="S89">
            <v>204.10000000000002</v>
          </cell>
          <cell r="T89">
            <v>833.30499999999995</v>
          </cell>
          <cell r="U89">
            <v>0.24492832756313718</v>
          </cell>
          <cell r="V89">
            <v>0.13</v>
          </cell>
          <cell r="W89">
            <v>0.24492832756313718</v>
          </cell>
        </row>
        <row r="90">
          <cell r="A90" t="str">
            <v xml:space="preserve"> 2Q</v>
          </cell>
          <cell r="B90">
            <v>1966.7</v>
          </cell>
          <cell r="C90">
            <v>593.6</v>
          </cell>
          <cell r="D90">
            <v>1373.1</v>
          </cell>
          <cell r="E90">
            <v>857.6</v>
          </cell>
          <cell r="F90">
            <v>158.19999999999999</v>
          </cell>
          <cell r="G90">
            <v>357.2999999999999</v>
          </cell>
          <cell r="H90">
            <v>9</v>
          </cell>
          <cell r="I90">
            <v>-48</v>
          </cell>
          <cell r="J90">
            <v>-12.8</v>
          </cell>
          <cell r="L90">
            <v>25</v>
          </cell>
          <cell r="M90">
            <v>-26.799999999999997</v>
          </cell>
          <cell r="N90">
            <v>0</v>
          </cell>
          <cell r="O90">
            <v>330.49999999999989</v>
          </cell>
          <cell r="P90">
            <v>99.1</v>
          </cell>
          <cell r="Q90">
            <v>0.29984871406959163</v>
          </cell>
          <cell r="S90">
            <v>231.39999999999989</v>
          </cell>
          <cell r="T90">
            <v>837.16899999999998</v>
          </cell>
          <cell r="U90">
            <v>0.27640775040642918</v>
          </cell>
          <cell r="V90">
            <v>0.13</v>
          </cell>
          <cell r="W90">
            <v>0.27640775040642918</v>
          </cell>
        </row>
        <row r="91">
          <cell r="A91" t="str">
            <v xml:space="preserve"> 3Q</v>
          </cell>
          <cell r="B91">
            <v>2108.3000000000002</v>
          </cell>
          <cell r="C91">
            <v>614</v>
          </cell>
          <cell r="D91">
            <v>1494.3000000000002</v>
          </cell>
          <cell r="E91">
            <v>968.5</v>
          </cell>
          <cell r="F91">
            <v>182</v>
          </cell>
          <cell r="G91">
            <v>343.80000000000018</v>
          </cell>
          <cell r="H91">
            <v>10.7</v>
          </cell>
          <cell r="I91">
            <v>-43</v>
          </cell>
          <cell r="J91">
            <v>-13.2</v>
          </cell>
          <cell r="L91">
            <v>-15</v>
          </cell>
          <cell r="M91">
            <v>-60.5</v>
          </cell>
          <cell r="N91">
            <v>0</v>
          </cell>
          <cell r="O91">
            <v>283.30000000000018</v>
          </cell>
          <cell r="P91">
            <v>85</v>
          </cell>
          <cell r="Q91">
            <v>0.30003529827038455</v>
          </cell>
          <cell r="S91">
            <v>198.30000000000018</v>
          </cell>
          <cell r="T91">
            <v>839.09999999999991</v>
          </cell>
          <cell r="U91">
            <v>0.24</v>
          </cell>
          <cell r="V91">
            <v>0.13</v>
          </cell>
          <cell r="W91">
            <v>0.24</v>
          </cell>
        </row>
        <row r="92">
          <cell r="A92" t="str">
            <v xml:space="preserve"> 4Q</v>
          </cell>
          <cell r="B92">
            <v>2327.4</v>
          </cell>
          <cell r="C92">
            <v>650.79999999999995</v>
          </cell>
          <cell r="D92">
            <v>1676.6000000000001</v>
          </cell>
          <cell r="E92">
            <v>1088</v>
          </cell>
          <cell r="F92">
            <v>198.1</v>
          </cell>
          <cell r="G92">
            <v>390.50000000000011</v>
          </cell>
          <cell r="H92">
            <v>13.5</v>
          </cell>
          <cell r="I92">
            <v>-36.799999999999997</v>
          </cell>
          <cell r="J92">
            <v>-18</v>
          </cell>
          <cell r="L92">
            <v>-21.2</v>
          </cell>
          <cell r="M92">
            <v>-62.5</v>
          </cell>
          <cell r="N92">
            <v>0</v>
          </cell>
          <cell r="O92">
            <v>328.00000000000011</v>
          </cell>
          <cell r="P92">
            <v>92.3</v>
          </cell>
          <cell r="Q92">
            <v>0.28140243902439016</v>
          </cell>
          <cell r="S92">
            <v>235.7000000000001</v>
          </cell>
          <cell r="T92">
            <v>839.09999999999991</v>
          </cell>
          <cell r="U92">
            <v>0.28000000000000003</v>
          </cell>
          <cell r="V92">
            <v>0.13</v>
          </cell>
          <cell r="W92">
            <v>0.28000000000000003</v>
          </cell>
        </row>
        <row r="94">
          <cell r="A94" t="str">
            <v>Year</v>
          </cell>
          <cell r="B94">
            <v>8179.8000000000011</v>
          </cell>
          <cell r="C94">
            <v>2407.6000000000004</v>
          </cell>
          <cell r="D94">
            <v>5772.2000000000007</v>
          </cell>
          <cell r="E94">
            <v>3676.3</v>
          </cell>
          <cell r="F94">
            <v>672.2</v>
          </cell>
          <cell r="G94">
            <v>1423.7000000000003</v>
          </cell>
          <cell r="H94">
            <v>41.4</v>
          </cell>
          <cell r="I94">
            <v>-167</v>
          </cell>
          <cell r="J94">
            <v>-56.400000000000006</v>
          </cell>
          <cell r="L94">
            <v>-8.3000000000000007</v>
          </cell>
          <cell r="M94">
            <v>-190.3</v>
          </cell>
          <cell r="N94">
            <v>0</v>
          </cell>
          <cell r="O94">
            <v>1233.4000000000001</v>
          </cell>
          <cell r="P94">
            <v>363.90000000000003</v>
          </cell>
          <cell r="Q94">
            <v>0.2950381060483217</v>
          </cell>
          <cell r="S94">
            <v>869.50000000000023</v>
          </cell>
          <cell r="T94">
            <v>837.16849999999988</v>
          </cell>
          <cell r="U94">
            <v>1.0413360779695664</v>
          </cell>
          <cell r="V94">
            <v>0.52</v>
          </cell>
          <cell r="W94">
            <v>1.0413360779695664</v>
          </cell>
        </row>
        <row r="96">
          <cell r="A96" t="str">
            <v>1998/97</v>
          </cell>
        </row>
        <row r="97">
          <cell r="A97" t="str">
            <v xml:space="preserve"> 1Q</v>
          </cell>
          <cell r="B97">
            <v>0.31140992460897943</v>
          </cell>
          <cell r="C97">
            <v>0.19009468317552791</v>
          </cell>
          <cell r="D97">
            <v>0.36565705911089408</v>
          </cell>
          <cell r="E97">
            <v>0.3438729992128049</v>
          </cell>
          <cell r="F97">
            <v>0.55190440627333825</v>
          </cell>
          <cell r="G97">
            <v>0.34056007226738982</v>
          </cell>
          <cell r="H97">
            <v>0.79268292682926833</v>
          </cell>
          <cell r="I97">
            <v>-8.163265306122458E-2</v>
          </cell>
          <cell r="J97" t="str">
            <v xml:space="preserve">NM </v>
          </cell>
          <cell r="L97" t="str">
            <v xml:space="preserve">NM </v>
          </cell>
          <cell r="M97" t="str">
            <v xml:space="preserve">NM </v>
          </cell>
          <cell r="N97" t="str">
            <v xml:space="preserve">NM </v>
          </cell>
          <cell r="O97">
            <v>0.42661179698216811</v>
          </cell>
          <cell r="P97">
            <v>0.40685714285714281</v>
          </cell>
          <cell r="Q97">
            <v>-1.384725274725318E-2</v>
          </cell>
          <cell r="S97">
            <v>0.4350808427241557</v>
          </cell>
          <cell r="T97">
            <v>4.8798036733249006E-2</v>
          </cell>
          <cell r="U97">
            <v>0.34733292503674651</v>
          </cell>
          <cell r="V97">
            <v>0.23076923076923084</v>
          </cell>
          <cell r="W97">
            <v>0.36831000103135558</v>
          </cell>
        </row>
        <row r="98">
          <cell r="A98" t="str">
            <v xml:space="preserve"> 2Q</v>
          </cell>
          <cell r="B98">
            <v>0.36406162607413428</v>
          </cell>
          <cell r="C98">
            <v>0.19086927223719674</v>
          </cell>
          <cell r="D98">
            <v>0.43893379943194222</v>
          </cell>
          <cell r="E98">
            <v>0.38362873134328379</v>
          </cell>
          <cell r="F98">
            <v>0.64854614412136558</v>
          </cell>
          <cell r="G98">
            <v>0.47886929750909535</v>
          </cell>
          <cell r="H98">
            <v>0.57777777777777772</v>
          </cell>
          <cell r="I98">
            <v>-0.45000000000000007</v>
          </cell>
          <cell r="J98" t="str">
            <v xml:space="preserve">NM </v>
          </cell>
          <cell r="L98" t="str">
            <v xml:space="preserve">NM </v>
          </cell>
          <cell r="M98" t="str">
            <v xml:space="preserve">NM </v>
          </cell>
          <cell r="N98" t="str">
            <v xml:space="preserve">NM </v>
          </cell>
          <cell r="O98">
            <v>0.39546142208774526</v>
          </cell>
          <cell r="P98">
            <v>0.33299697275479323</v>
          </cell>
          <cell r="Q98">
            <v>-4.4762576982959046E-2</v>
          </cell>
          <cell r="S98">
            <v>0.42221261884183159</v>
          </cell>
          <cell r="T98">
            <v>4.961059117095834E-2</v>
          </cell>
          <cell r="U98">
            <v>0.44713742437338011</v>
          </cell>
          <cell r="V98">
            <v>0.23076923076923084</v>
          </cell>
          <cell r="W98">
            <v>0.35499072780429342</v>
          </cell>
        </row>
        <row r="99">
          <cell r="A99" t="str">
            <v xml:space="preserve"> 3Q</v>
          </cell>
          <cell r="B99">
            <v>0.27785419532324607</v>
          </cell>
          <cell r="C99">
            <v>0.1454397394136806</v>
          </cell>
          <cell r="D99">
            <v>0.33226259787191315</v>
          </cell>
          <cell r="E99">
            <v>0.25885389778007228</v>
          </cell>
          <cell r="F99">
            <v>0.41043956043956031</v>
          </cell>
          <cell r="G99">
            <v>0.49767306573589187</v>
          </cell>
          <cell r="H99">
            <v>0.14018691588785037</v>
          </cell>
          <cell r="I99">
            <v>-0.39534883720930236</v>
          </cell>
          <cell r="J99" t="str">
            <v xml:space="preserve">NM </v>
          </cell>
          <cell r="L99" t="str">
            <v xml:space="preserve">NM </v>
          </cell>
          <cell r="M99" t="str">
            <v xml:space="preserve">NM </v>
          </cell>
          <cell r="N99" t="str">
            <v xml:space="preserve">NM </v>
          </cell>
          <cell r="O99">
            <v>0.49805859512883721</v>
          </cell>
          <cell r="P99">
            <v>0.43529411764705883</v>
          </cell>
          <cell r="Q99">
            <v>-4.1897211287907243E-2</v>
          </cell>
          <cell r="S99">
            <v>0.52496217851739635</v>
          </cell>
          <cell r="T99">
            <v>4.9970574424979208E-2</v>
          </cell>
          <cell r="U99">
            <v>0.43014376137654531</v>
          </cell>
          <cell r="V99">
            <v>0.23076923076923084</v>
          </cell>
          <cell r="W99">
            <v>0.43014376137654531</v>
          </cell>
        </row>
        <row r="100">
          <cell r="A100" t="str">
            <v xml:space="preserve"> 4Q</v>
          </cell>
          <cell r="B100">
            <v>0.30450287874881843</v>
          </cell>
          <cell r="C100">
            <v>0.11017209588199139</v>
          </cell>
          <cell r="D100">
            <v>0.37993558391983751</v>
          </cell>
          <cell r="E100">
            <v>0.29034926470588251</v>
          </cell>
          <cell r="F100">
            <v>0.33064109035840494</v>
          </cell>
          <cell r="G100">
            <v>0.65454545454545343</v>
          </cell>
          <cell r="H100">
            <v>8.1481481481481488E-2</v>
          </cell>
          <cell r="I100">
            <v>-0.30163043478260865</v>
          </cell>
          <cell r="J100" t="str">
            <v xml:space="preserve">NM </v>
          </cell>
          <cell r="L100" t="str">
            <v xml:space="preserve">NM </v>
          </cell>
          <cell r="M100" t="str">
            <v xml:space="preserve">NM </v>
          </cell>
          <cell r="N100" t="str">
            <v xml:space="preserve">NM </v>
          </cell>
          <cell r="O100">
            <v>0.94695121951219385</v>
          </cell>
          <cell r="P100">
            <v>0.50920910075839676</v>
          </cell>
          <cell r="Q100">
            <v>-0.22483466168375443</v>
          </cell>
          <cell r="S100">
            <v>0.47942299533304977</v>
          </cell>
          <cell r="T100">
            <v>5.1514447622452719E-2</v>
          </cell>
          <cell r="U100">
            <v>0.41144822124236269</v>
          </cell>
          <cell r="V100">
            <v>0.23076923076923084</v>
          </cell>
          <cell r="W100">
            <v>0.41144822124236269</v>
          </cell>
        </row>
        <row r="102">
          <cell r="A102" t="str">
            <v>Year</v>
          </cell>
          <cell r="B102">
            <v>0.31345509670163074</v>
          </cell>
          <cell r="C102">
            <v>0.15729357036052494</v>
          </cell>
          <cell r="D102">
            <v>0.37859048543016516</v>
          </cell>
          <cell r="E102">
            <v>0.31490901177814634</v>
          </cell>
          <cell r="F102">
            <v>0.47113954180303463</v>
          </cell>
          <cell r="G102">
            <v>0.49933272459085409</v>
          </cell>
          <cell r="H102">
            <v>0.34541062801932365</v>
          </cell>
          <cell r="I102">
            <v>-0.3167664670658682</v>
          </cell>
          <cell r="J102">
            <v>6.0283687943262221E-2</v>
          </cell>
          <cell r="L102" t="str">
            <v xml:space="preserve">NM </v>
          </cell>
          <cell r="M102">
            <v>2.1544929059379658E-2</v>
          </cell>
          <cell r="N102" t="str">
            <v xml:space="preserve">NM </v>
          </cell>
          <cell r="O102">
            <v>0.57305010539970747</v>
          </cell>
          <cell r="P102">
            <v>0.41934597416872754</v>
          </cell>
          <cell r="Q102">
            <v>-9.7710893444124647E-2</v>
          </cell>
          <cell r="S102">
            <v>0.46417481311098285</v>
          </cell>
          <cell r="T102">
            <v>4.9975655737166447E-2</v>
          </cell>
          <cell r="U102">
            <v>0.41014993693625623</v>
          </cell>
          <cell r="V102">
            <v>0.23076923076923084</v>
          </cell>
          <cell r="W102">
            <v>0.39062484662615682</v>
          </cell>
        </row>
        <row r="104">
          <cell r="A104" t="str">
            <v>1998 (a)</v>
          </cell>
        </row>
        <row r="105">
          <cell r="A105" t="str">
            <v xml:space="preserve"> 1QR</v>
          </cell>
          <cell r="B105">
            <v>2330.9</v>
          </cell>
          <cell r="C105">
            <v>653.6</v>
          </cell>
          <cell r="D105">
            <v>1677.3000000000002</v>
          </cell>
          <cell r="E105">
            <v>1024.3</v>
          </cell>
          <cell r="F105">
            <v>207.8</v>
          </cell>
          <cell r="G105">
            <v>445.20000000000022</v>
          </cell>
          <cell r="H105">
            <v>14.7</v>
          </cell>
          <cell r="I105">
            <v>-36</v>
          </cell>
          <cell r="J105">
            <v>-14.8</v>
          </cell>
          <cell r="L105">
            <v>6.9</v>
          </cell>
          <cell r="M105">
            <v>-29.200000000000003</v>
          </cell>
          <cell r="N105">
            <v>0</v>
          </cell>
          <cell r="O105">
            <v>416.00000000000023</v>
          </cell>
          <cell r="P105">
            <v>123.1</v>
          </cell>
          <cell r="Q105">
            <v>0.29591346153846138</v>
          </cell>
          <cell r="S105">
            <v>292.9000000000002</v>
          </cell>
          <cell r="T105">
            <v>873.96864800000003</v>
          </cell>
          <cell r="U105">
            <v>0.33</v>
          </cell>
          <cell r="V105">
            <v>0.16</v>
          </cell>
          <cell r="W105">
            <v>0.33513788014052442</v>
          </cell>
        </row>
        <row r="106">
          <cell r="A106" t="str">
            <v xml:space="preserve"> 2QR</v>
          </cell>
          <cell r="B106">
            <v>2682.7</v>
          </cell>
          <cell r="C106">
            <v>706.9</v>
          </cell>
          <cell r="D106">
            <v>1975.7999999999997</v>
          </cell>
          <cell r="E106">
            <v>1186.6000000000001</v>
          </cell>
          <cell r="F106">
            <v>260.8</v>
          </cell>
          <cell r="G106">
            <v>528.39999999999964</v>
          </cell>
          <cell r="H106">
            <v>14.2</v>
          </cell>
          <cell r="I106">
            <v>-26.4</v>
          </cell>
          <cell r="J106">
            <v>-14.7</v>
          </cell>
          <cell r="L106">
            <v>-40.299999999999997</v>
          </cell>
          <cell r="M106">
            <v>-67.199999999999989</v>
          </cell>
          <cell r="N106">
            <v>0</v>
          </cell>
          <cell r="O106">
            <v>461.19999999999965</v>
          </cell>
          <cell r="P106">
            <v>132.1</v>
          </cell>
          <cell r="Q106">
            <v>0.28642671292281024</v>
          </cell>
          <cell r="S106">
            <v>329.09999999999968</v>
          </cell>
          <cell r="T106">
            <v>878.70144900000003</v>
          </cell>
          <cell r="U106">
            <v>0.4</v>
          </cell>
          <cell r="V106">
            <v>0.16</v>
          </cell>
          <cell r="W106">
            <v>0.37452993889395497</v>
          </cell>
        </row>
        <row r="107">
          <cell r="A107" t="str">
            <v xml:space="preserve"> 3QR</v>
          </cell>
          <cell r="B107">
            <v>2694.1</v>
          </cell>
          <cell r="C107">
            <v>703.3</v>
          </cell>
          <cell r="D107">
            <v>1990.8</v>
          </cell>
          <cell r="E107">
            <v>1219.2</v>
          </cell>
          <cell r="F107">
            <v>256.7</v>
          </cell>
          <cell r="G107">
            <v>514.89999999999986</v>
          </cell>
          <cell r="H107">
            <v>12.2</v>
          </cell>
          <cell r="I107">
            <v>-26</v>
          </cell>
          <cell r="J107">
            <v>-14.9</v>
          </cell>
          <cell r="L107">
            <v>-61.8</v>
          </cell>
          <cell r="M107">
            <v>-90.5</v>
          </cell>
          <cell r="N107">
            <v>0</v>
          </cell>
          <cell r="O107">
            <v>424.39999999999986</v>
          </cell>
          <cell r="P107">
            <v>122</v>
          </cell>
          <cell r="Q107">
            <v>0.28746465598491999</v>
          </cell>
          <cell r="S107">
            <v>302.39999999999998</v>
          </cell>
          <cell r="T107">
            <v>881.03030899999999</v>
          </cell>
          <cell r="U107">
            <v>0.34323450273037087</v>
          </cell>
          <cell r="V107">
            <v>0.16</v>
          </cell>
          <cell r="W107">
            <v>0.34323450273037087</v>
          </cell>
        </row>
        <row r="108">
          <cell r="A108" t="str">
            <v xml:space="preserve"> 4Q</v>
          </cell>
          <cell r="B108">
            <v>3036.1</v>
          </cell>
          <cell r="C108">
            <v>722.5</v>
          </cell>
          <cell r="D108">
            <v>2313.6</v>
          </cell>
          <cell r="E108">
            <v>1403.9</v>
          </cell>
          <cell r="F108">
            <v>263.60000000000002</v>
          </cell>
          <cell r="G108">
            <v>646.0999999999998</v>
          </cell>
          <cell r="H108">
            <v>14.6</v>
          </cell>
          <cell r="I108">
            <v>-25.7</v>
          </cell>
          <cell r="J108">
            <v>-15.4</v>
          </cell>
          <cell r="L108">
            <v>19</v>
          </cell>
          <cell r="M108">
            <v>-7.5</v>
          </cell>
          <cell r="N108">
            <v>0</v>
          </cell>
          <cell r="O108">
            <v>638.5999999999998</v>
          </cell>
          <cell r="P108">
            <v>139.30000000000001</v>
          </cell>
          <cell r="Q108">
            <v>0.21813341684935805</v>
          </cell>
          <cell r="S108">
            <v>348.7</v>
          </cell>
          <cell r="T108">
            <v>882.32577300000003</v>
          </cell>
          <cell r="U108">
            <v>0.39520550194786158</v>
          </cell>
          <cell r="V108">
            <v>0.16</v>
          </cell>
          <cell r="W108">
            <v>0.39520550194786158</v>
          </cell>
        </row>
        <row r="110">
          <cell r="A110" t="str">
            <v>Year</v>
          </cell>
          <cell r="B110">
            <v>10743.800000000001</v>
          </cell>
          <cell r="C110">
            <v>2786.3</v>
          </cell>
          <cell r="D110">
            <v>7957.5</v>
          </cell>
          <cell r="E110">
            <v>4834</v>
          </cell>
          <cell r="F110">
            <v>988.9</v>
          </cell>
          <cell r="G110">
            <v>2134.5999999999995</v>
          </cell>
          <cell r="H110">
            <v>55.699999999999996</v>
          </cell>
          <cell r="I110">
            <v>-114.10000000000001</v>
          </cell>
          <cell r="J110">
            <v>-59.8</v>
          </cell>
          <cell r="L110">
            <v>-76.199999999999989</v>
          </cell>
          <cell r="M110">
            <v>-194.39999999999998</v>
          </cell>
          <cell r="N110">
            <v>0</v>
          </cell>
          <cell r="O110">
            <v>1940.1999999999994</v>
          </cell>
          <cell r="P110">
            <v>516.5</v>
          </cell>
          <cell r="Q110">
            <v>0.2662096691062778</v>
          </cell>
          <cell r="S110">
            <v>1273.0999999999999</v>
          </cell>
          <cell r="T110">
            <v>879.00654474999999</v>
          </cell>
          <cell r="U110">
            <v>1.4684400046782324</v>
          </cell>
          <cell r="V110">
            <v>0.64</v>
          </cell>
          <cell r="W110">
            <v>1.4481078237127119</v>
          </cell>
        </row>
        <row r="112">
          <cell r="A112" t="str">
            <v>1999/98</v>
          </cell>
        </row>
        <row r="113">
          <cell r="A113" t="str">
            <v xml:space="preserve"> 1QA</v>
          </cell>
          <cell r="B113">
            <v>0.28963061478398888</v>
          </cell>
          <cell r="C113">
            <v>0.15116279069767424</v>
          </cell>
          <cell r="D113">
            <v>0.34358790913968851</v>
          </cell>
          <cell r="E113">
            <v>0.33115298252465108</v>
          </cell>
          <cell r="F113">
            <v>0.3185755534167467</v>
          </cell>
          <cell r="G113">
            <v>0.38387241689128393</v>
          </cell>
          <cell r="H113">
            <v>0.52380952380952372</v>
          </cell>
          <cell r="I113">
            <v>-9.722222222222221E-2</v>
          </cell>
          <cell r="J113" t="str">
            <v xml:space="preserve">NM </v>
          </cell>
          <cell r="L113" t="str">
            <v xml:space="preserve">NM </v>
          </cell>
          <cell r="M113" t="str">
            <v xml:space="preserve">NM </v>
          </cell>
          <cell r="N113" t="str">
            <v xml:space="preserve">NM </v>
          </cell>
          <cell r="O113">
            <v>0.29278846153846083</v>
          </cell>
          <cell r="P113">
            <v>0.26563769293257522</v>
          </cell>
          <cell r="Q113">
            <v>-3.6880584890332635E-2</v>
          </cell>
          <cell r="S113">
            <v>0.30419938545578584</v>
          </cell>
          <cell r="T113">
            <v>9.9226671572776315E-3</v>
          </cell>
          <cell r="U113">
            <v>0.31149140825272359</v>
          </cell>
          <cell r="V113">
            <v>0.25</v>
          </cell>
          <cell r="W113">
            <v>0.29138539797986329</v>
          </cell>
        </row>
        <row r="114">
          <cell r="A114" t="str">
            <v xml:space="preserve"> 2QA</v>
          </cell>
          <cell r="B114">
            <v>0.17445111268498148</v>
          </cell>
          <cell r="C114">
            <v>2.3058424105248276E-2</v>
          </cell>
          <cell r="D114">
            <v>0.22861625670614449</v>
          </cell>
          <cell r="E114">
            <v>0.22130456767234108</v>
          </cell>
          <cell r="F114">
            <v>8.0521472392637961E-2</v>
          </cell>
          <cell r="G114">
            <v>0.31813020439061401</v>
          </cell>
          <cell r="H114">
            <v>1.2605633802816905</v>
          </cell>
          <cell r="I114">
            <v>0.39393939393939381</v>
          </cell>
          <cell r="J114" t="str">
            <v xml:space="preserve">NM </v>
          </cell>
          <cell r="L114" t="str">
            <v xml:space="preserve">NM </v>
          </cell>
          <cell r="M114" t="str">
            <v xml:space="preserve">NM </v>
          </cell>
          <cell r="N114" t="str">
            <v xml:space="preserve">NM </v>
          </cell>
          <cell r="O114">
            <v>0.36513443191674</v>
          </cell>
          <cell r="P114">
            <v>0.38304314912944726</v>
          </cell>
          <cell r="Q114">
            <v>1.3118647361023861E-2</v>
          </cell>
          <cell r="S114">
            <v>0.35794591309632473</v>
          </cell>
          <cell r="T114">
            <v>4.1727221505925005E-3</v>
          </cell>
          <cell r="U114">
            <v>0.26619501962778513</v>
          </cell>
          <cell r="V114">
            <v>0.25</v>
          </cell>
          <cell r="W114">
            <v>0.35230312788030305</v>
          </cell>
        </row>
        <row r="115">
          <cell r="A115" t="str">
            <v xml:space="preserve"> 3QA</v>
          </cell>
          <cell r="B115">
            <v>0.20173712928250631</v>
          </cell>
          <cell r="C115">
            <v>9.0857386606000512E-2</v>
          </cell>
          <cell r="D115">
            <v>0.24090817761703875</v>
          </cell>
          <cell r="E115">
            <v>0.26667913385826791</v>
          </cell>
          <cell r="F115">
            <v>0.35021425788858607</v>
          </cell>
          <cell r="G115">
            <v>0.22450961351718912</v>
          </cell>
          <cell r="H115">
            <v>1.7049180327868854</v>
          </cell>
          <cell r="I115">
            <v>0.42692307692307696</v>
          </cell>
          <cell r="J115" t="str">
            <v xml:space="preserve">NM </v>
          </cell>
          <cell r="L115" t="str">
            <v xml:space="preserve">NM </v>
          </cell>
          <cell r="M115" t="str">
            <v xml:space="preserve">NM </v>
          </cell>
          <cell r="N115" t="str">
            <v xml:space="preserve">NM </v>
          </cell>
          <cell r="O115">
            <v>0.3840716305372307</v>
          </cell>
          <cell r="P115">
            <v>0.39672131147540979</v>
          </cell>
          <cell r="Q115">
            <v>9.1394698504652094E-3</v>
          </cell>
          <cell r="S115">
            <v>0.37896825396825595</v>
          </cell>
          <cell r="T115">
            <v>2.7707798188814081E-3</v>
          </cell>
          <cell r="U115">
            <v>0.37515799395084359</v>
          </cell>
          <cell r="V115">
            <v>0.25</v>
          </cell>
          <cell r="W115">
            <v>0.37515799395084359</v>
          </cell>
        </row>
        <row r="116">
          <cell r="A116" t="str">
            <v xml:space="preserve"> 4Q</v>
          </cell>
          <cell r="B116">
            <v>0.16422383979447308</v>
          </cell>
          <cell r="C116">
            <v>0.10602076124567472</v>
          </cell>
          <cell r="D116">
            <v>0.18239972337482713</v>
          </cell>
          <cell r="E116">
            <v>0.20097720635372873</v>
          </cell>
          <cell r="F116">
            <v>0.35280728376327763</v>
          </cell>
          <cell r="G116">
            <v>0.12443894134034994</v>
          </cell>
          <cell r="H116">
            <v>1.6712328767123288</v>
          </cell>
          <cell r="I116">
            <v>0.31906614785992216</v>
          </cell>
          <cell r="J116" t="str">
            <v xml:space="preserve">NM </v>
          </cell>
          <cell r="L116" t="str">
            <v xml:space="preserve">NM </v>
          </cell>
          <cell r="M116" t="str">
            <v xml:space="preserve">NM </v>
          </cell>
          <cell r="N116" t="str">
            <v xml:space="preserve">NM </v>
          </cell>
          <cell r="O116">
            <v>7.5007829627310008E-2</v>
          </cell>
          <cell r="P116">
            <v>0.42928930366116269</v>
          </cell>
          <cell r="Q116">
            <v>0.32956176157031081</v>
          </cell>
          <cell r="S116">
            <v>0.39776312016059623</v>
          </cell>
          <cell r="T116">
            <v>7.1588014237911057E-3</v>
          </cell>
          <cell r="U116">
            <v>0.38782793555953576</v>
          </cell>
          <cell r="V116">
            <v>0.25</v>
          </cell>
          <cell r="W116">
            <v>0.41060722050922016</v>
          </cell>
        </row>
        <row r="118">
          <cell r="A118" t="str">
            <v>Year</v>
          </cell>
          <cell r="B118">
            <v>0.20339172359872659</v>
          </cell>
          <cell r="C118">
            <v>9.173455837490585E-2</v>
          </cell>
          <cell r="D118">
            <v>0.24248821866163994</v>
          </cell>
          <cell r="E118">
            <v>0.23262308647083163</v>
          </cell>
          <cell r="F118">
            <v>0.27313176256446559</v>
          </cell>
          <cell r="G118">
            <v>0.25063243699053728</v>
          </cell>
          <cell r="H118">
            <v>1.2710951526032317</v>
          </cell>
          <cell r="I118">
            <v>0.22962313759859776</v>
          </cell>
          <cell r="J118">
            <v>1.5050167224080369E-2</v>
          </cell>
          <cell r="L118" t="str">
            <v xml:space="preserve">NM </v>
          </cell>
          <cell r="M118">
            <v>0.17438271604938294</v>
          </cell>
          <cell r="N118" t="str">
            <v xml:space="preserve">NM </v>
          </cell>
          <cell r="O118">
            <v>0.25827234305741742</v>
          </cell>
          <cell r="P118">
            <v>0.37076476282671833</v>
          </cell>
          <cell r="Q118">
            <v>8.9402282733132887E-2</v>
          </cell>
          <cell r="S118">
            <v>0.36147985232896129</v>
          </cell>
          <cell r="T118">
            <v>6.0000159060249469E-3</v>
          </cell>
          <cell r="U118">
            <v>0.3345789221558424</v>
          </cell>
          <cell r="V118">
            <v>0.25</v>
          </cell>
          <cell r="W118">
            <v>0.35953383111279114</v>
          </cell>
        </row>
        <row r="120">
          <cell r="A120" t="str">
            <v>1999 (a)</v>
          </cell>
        </row>
        <row r="121">
          <cell r="A121" t="str">
            <v xml:space="preserve"> 1QA R</v>
          </cell>
          <cell r="B121">
            <v>3006</v>
          </cell>
          <cell r="C121">
            <v>752.4</v>
          </cell>
          <cell r="D121">
            <v>2253.6</v>
          </cell>
          <cell r="E121">
            <v>1363.5</v>
          </cell>
          <cell r="F121">
            <v>274</v>
          </cell>
          <cell r="G121">
            <v>616.09999999999991</v>
          </cell>
          <cell r="H121">
            <v>22.4</v>
          </cell>
          <cell r="I121">
            <v>-32.5</v>
          </cell>
          <cell r="J121">
            <v>-15.7</v>
          </cell>
          <cell r="K121" t="str">
            <v xml:space="preserve"> </v>
          </cell>
          <cell r="L121">
            <v>-52.5</v>
          </cell>
          <cell r="M121">
            <v>-78.3</v>
          </cell>
          <cell r="N121">
            <v>0</v>
          </cell>
          <cell r="O121">
            <v>537.79999999999995</v>
          </cell>
          <cell r="P121">
            <v>155.80000000000001</v>
          </cell>
          <cell r="Q121">
            <v>0.28499999999999998</v>
          </cell>
          <cell r="S121">
            <v>381.99999999999994</v>
          </cell>
          <cell r="T121">
            <v>882.64074800000003</v>
          </cell>
          <cell r="U121">
            <v>0.43279216472339882</v>
          </cell>
          <cell r="V121">
            <v>0.2</v>
          </cell>
          <cell r="W121">
            <v>0.43279216472339882</v>
          </cell>
        </row>
        <row r="122">
          <cell r="A122" t="str">
            <v xml:space="preserve"> 2QA R</v>
          </cell>
          <cell r="B122">
            <v>3150.7</v>
          </cell>
          <cell r="C122">
            <v>723.2</v>
          </cell>
          <cell r="D122">
            <v>2427.5</v>
          </cell>
          <cell r="E122">
            <v>1449.2</v>
          </cell>
          <cell r="F122">
            <v>281.8</v>
          </cell>
          <cell r="G122">
            <v>696.5</v>
          </cell>
          <cell r="H122">
            <v>32.1</v>
          </cell>
          <cell r="I122">
            <v>-36.799999999999997</v>
          </cell>
          <cell r="J122">
            <v>-15.3</v>
          </cell>
          <cell r="K122" t="str">
            <v xml:space="preserve"> </v>
          </cell>
          <cell r="L122">
            <v>-46.9</v>
          </cell>
          <cell r="M122">
            <v>-66.899999999999991</v>
          </cell>
          <cell r="N122">
            <v>0</v>
          </cell>
          <cell r="O122">
            <v>629.6</v>
          </cell>
          <cell r="P122">
            <v>182.7</v>
          </cell>
          <cell r="Q122">
            <v>0.29018424396442183</v>
          </cell>
          <cell r="S122">
            <v>446.90000000000003</v>
          </cell>
          <cell r="T122">
            <v>882.36802599999999</v>
          </cell>
          <cell r="U122">
            <v>0.50647800785111408</v>
          </cell>
          <cell r="V122">
            <v>0.2</v>
          </cell>
          <cell r="W122">
            <v>0.50647800785111408</v>
          </cell>
        </row>
        <row r="123">
          <cell r="A123" t="str">
            <v xml:space="preserve"> 3QA</v>
          </cell>
          <cell r="B123">
            <v>3237.6000000000004</v>
          </cell>
          <cell r="C123">
            <v>767.2</v>
          </cell>
          <cell r="D123">
            <v>2470.4000000000005</v>
          </cell>
          <cell r="E123">
            <v>1493.3</v>
          </cell>
          <cell r="F123">
            <v>346.6</v>
          </cell>
          <cell r="G123">
            <v>630.50000000000057</v>
          </cell>
          <cell r="H123">
            <v>33</v>
          </cell>
          <cell r="I123">
            <v>-37.1</v>
          </cell>
          <cell r="J123">
            <v>-14.4</v>
          </cell>
          <cell r="L123">
            <v>-24.599999999999998</v>
          </cell>
          <cell r="M123">
            <v>-43.099999999999994</v>
          </cell>
          <cell r="N123">
            <v>0</v>
          </cell>
          <cell r="O123">
            <v>587.40000000000055</v>
          </cell>
          <cell r="P123">
            <v>170.4</v>
          </cell>
          <cell r="Q123">
            <v>0.2900919305413685</v>
          </cell>
          <cell r="S123">
            <v>417.00000000000057</v>
          </cell>
          <cell r="T123">
            <v>883.47145</v>
          </cell>
          <cell r="U123">
            <v>0.47200167022941214</v>
          </cell>
          <cell r="V123">
            <v>0.2</v>
          </cell>
          <cell r="W123">
            <v>0.47200167022941214</v>
          </cell>
        </row>
        <row r="124">
          <cell r="A124" t="str">
            <v xml:space="preserve"> 4Q</v>
          </cell>
          <cell r="B124">
            <v>3534.7</v>
          </cell>
          <cell r="C124">
            <v>799.1</v>
          </cell>
          <cell r="D124">
            <v>2735.6</v>
          </cell>
          <cell r="E124">
            <v>1652.5</v>
          </cell>
          <cell r="F124">
            <v>356.6</v>
          </cell>
          <cell r="G124">
            <v>726.49999999999989</v>
          </cell>
          <cell r="H124">
            <v>39</v>
          </cell>
          <cell r="I124">
            <v>-33.9</v>
          </cell>
          <cell r="J124">
            <v>-15.3</v>
          </cell>
          <cell r="L124">
            <v>-29.8</v>
          </cell>
          <cell r="M124">
            <v>-40</v>
          </cell>
          <cell r="N124">
            <v>0</v>
          </cell>
          <cell r="O124">
            <v>686.49999999999989</v>
          </cell>
          <cell r="P124">
            <v>199.1</v>
          </cell>
          <cell r="Q124">
            <v>0.29002184996358343</v>
          </cell>
          <cell r="S124">
            <v>487.39999999999986</v>
          </cell>
          <cell r="T124">
            <v>888.64216799999997</v>
          </cell>
          <cell r="U124">
            <v>0.5484772358900708</v>
          </cell>
          <cell r="V124">
            <v>0.2</v>
          </cell>
          <cell r="W124">
            <v>0.55747973463262424</v>
          </cell>
        </row>
        <row r="126">
          <cell r="A126" t="str">
            <v>Year</v>
          </cell>
          <cell r="B126">
            <v>12929</v>
          </cell>
          <cell r="C126">
            <v>3041.9</v>
          </cell>
          <cell r="D126">
            <v>9887.1</v>
          </cell>
          <cell r="E126">
            <v>5958.5</v>
          </cell>
          <cell r="F126">
            <v>1259</v>
          </cell>
          <cell r="G126">
            <v>2669.6000000000004</v>
          </cell>
          <cell r="H126">
            <v>126.5</v>
          </cell>
          <cell r="I126">
            <v>-140.30000000000001</v>
          </cell>
          <cell r="J126">
            <v>-60.7</v>
          </cell>
          <cell r="L126">
            <v>-153.80000000000001</v>
          </cell>
          <cell r="M126">
            <v>-228.3</v>
          </cell>
          <cell r="N126">
            <v>0</v>
          </cell>
          <cell r="O126">
            <v>2441.3000000000006</v>
          </cell>
          <cell r="P126">
            <v>708</v>
          </cell>
          <cell r="Q126">
            <v>0.290009421210011</v>
          </cell>
          <cell r="S126">
            <v>1733.3000000000004</v>
          </cell>
          <cell r="T126">
            <v>884.28059799999994</v>
          </cell>
          <cell r="U126">
            <v>1.9597490786939957</v>
          </cell>
          <cell r="V126">
            <v>0.8</v>
          </cell>
          <cell r="W126">
            <v>1.9687515774365494</v>
          </cell>
        </row>
        <row r="128">
          <cell r="A128" t="str">
            <v>2000E</v>
          </cell>
        </row>
        <row r="129">
          <cell r="A129" t="str">
            <v xml:space="preserve"> 1QA</v>
          </cell>
          <cell r="B129">
            <v>0.13339986693280115</v>
          </cell>
          <cell r="C129">
            <v>-2.6581605528963603E-4</v>
          </cell>
          <cell r="D129">
            <v>0.17802626908058228</v>
          </cell>
          <cell r="E129">
            <v>0.14712137880454712</v>
          </cell>
          <cell r="F129">
            <v>0.2729927007299271</v>
          </cell>
          <cell r="G129">
            <v>0.20418763187794253</v>
          </cell>
          <cell r="H129">
            <v>1.4553571428571428</v>
          </cell>
          <cell r="I129">
            <v>0.78153846153846152</v>
          </cell>
          <cell r="J129" t="str">
            <v xml:space="preserve">NM </v>
          </cell>
          <cell r="L129" t="str">
            <v xml:space="preserve">NM </v>
          </cell>
          <cell r="M129" t="str">
            <v xml:space="preserve">NM </v>
          </cell>
          <cell r="N129" t="str">
            <v xml:space="preserve">NM </v>
          </cell>
          <cell r="O129">
            <v>0.34101896615842375</v>
          </cell>
          <cell r="P129">
            <v>0.31926829268292711</v>
          </cell>
          <cell r="Q129">
            <v>0</v>
          </cell>
          <cell r="R129" t="e">
            <v>#DIV/0!</v>
          </cell>
          <cell r="S129">
            <v>0.34989005235602177</v>
          </cell>
          <cell r="T129">
            <v>1.468236315779059E-2</v>
          </cell>
          <cell r="U129">
            <v>0.33035726387815778</v>
          </cell>
          <cell r="V129">
            <v>0.25</v>
          </cell>
        </row>
        <row r="130">
          <cell r="A130" t="str">
            <v xml:space="preserve"> 2QE</v>
          </cell>
          <cell r="B130">
            <v>0.12531659631193093</v>
          </cell>
          <cell r="C130">
            <v>2.9538647676991214E-2</v>
          </cell>
          <cell r="D130">
            <v>0.15385073120494352</v>
          </cell>
          <cell r="E130">
            <v>0.13030442313000301</v>
          </cell>
          <cell r="F130">
            <v>0.22042900993612502</v>
          </cell>
          <cell r="G130">
            <v>0.17590608040200983</v>
          </cell>
          <cell r="H130">
            <v>0.55763239875389403</v>
          </cell>
          <cell r="I130">
            <v>0.63043478260869579</v>
          </cell>
          <cell r="J130" t="str">
            <v xml:space="preserve">NM </v>
          </cell>
          <cell r="L130" t="str">
            <v xml:space="preserve">NM </v>
          </cell>
          <cell r="M130" t="str">
            <v xml:space="preserve">NM </v>
          </cell>
          <cell r="N130" t="str">
            <v xml:space="preserve">NM </v>
          </cell>
          <cell r="O130">
            <v>0.25765340692503136</v>
          </cell>
          <cell r="P130">
            <v>0.23518498481116556</v>
          </cell>
          <cell r="Q130">
            <v>-1.7865353037766818E-2</v>
          </cell>
          <cell r="R130" t="e">
            <v>#DIV/0!</v>
          </cell>
          <cell r="S130">
            <v>0.26683886389572575</v>
          </cell>
          <cell r="T130">
            <v>1.4995980826712385E-2</v>
          </cell>
          <cell r="U130">
            <v>0.24812204957096262</v>
          </cell>
          <cell r="V130">
            <v>0.25</v>
          </cell>
        </row>
        <row r="131">
          <cell r="A131" t="str">
            <v xml:space="preserve"> 3QE</v>
          </cell>
          <cell r="B131">
            <v>0.14365826538176441</v>
          </cell>
          <cell r="C131">
            <v>4.2472533889468256E-2</v>
          </cell>
          <cell r="D131">
            <v>0.17508220207253888</v>
          </cell>
          <cell r="E131">
            <v>0.1505099524542961</v>
          </cell>
          <cell r="F131">
            <v>0.15375783035199087</v>
          </cell>
          <cell r="G131">
            <v>0.24500253132434491</v>
          </cell>
          <cell r="H131">
            <v>0.51515151515151514</v>
          </cell>
          <cell r="I131">
            <v>0.61725067385444743</v>
          </cell>
          <cell r="J131" t="str">
            <v xml:space="preserve">NM </v>
          </cell>
          <cell r="L131" t="str">
            <v xml:space="preserve">NM </v>
          </cell>
          <cell r="M131" t="str">
            <v xml:space="preserve">NM </v>
          </cell>
          <cell r="N131" t="str">
            <v xml:space="preserve">NM </v>
          </cell>
          <cell r="O131">
            <v>0.28783468845760884</v>
          </cell>
          <cell r="P131">
            <v>0.26522956197183101</v>
          </cell>
          <cell r="Q131">
            <v>-1.7552816901407753E-2</v>
          </cell>
          <cell r="R131" t="e">
            <v>#DIV/0!</v>
          </cell>
          <cell r="S131">
            <v>0.29707189122302013</v>
          </cell>
          <cell r="T131">
            <v>1.3728287427963837E-2</v>
          </cell>
          <cell r="U131">
            <v>0.27950645879080382</v>
          </cell>
          <cell r="V131">
            <v>0.25</v>
          </cell>
        </row>
        <row r="132">
          <cell r="A132" t="str">
            <v xml:space="preserve"> 4QE</v>
          </cell>
          <cell r="B132">
            <v>0.16783521158485137</v>
          </cell>
          <cell r="C132">
            <v>0.12203953001629131</v>
          </cell>
          <cell r="D132">
            <v>0.18121265314847035</v>
          </cell>
          <cell r="E132">
            <v>0.17349865947865983</v>
          </cell>
          <cell r="F132">
            <v>0.20599894449260914</v>
          </cell>
          <cell r="G132">
            <v>0.18659267110585831</v>
          </cell>
          <cell r="H132">
            <v>0.41025641025641035</v>
          </cell>
          <cell r="I132">
            <v>0.83185840707964598</v>
          </cell>
          <cell r="J132" t="str">
            <v xml:space="preserve">NM </v>
          </cell>
          <cell r="L132" t="str">
            <v xml:space="preserve">NM </v>
          </cell>
          <cell r="M132" t="str">
            <v xml:space="preserve">NM </v>
          </cell>
          <cell r="N132" t="str">
            <v xml:space="preserve">NM </v>
          </cell>
          <cell r="O132">
            <v>0.21742108602826815</v>
          </cell>
          <cell r="P132">
            <v>0.196340929352816</v>
          </cell>
          <cell r="Q132">
            <v>-1.7315419387242792E-2</v>
          </cell>
          <cell r="R132" t="e">
            <v>#DIV/0!</v>
          </cell>
          <cell r="S132">
            <v>0.22603220460455553</v>
          </cell>
          <cell r="T132">
            <v>7.8297342288624616E-3</v>
          </cell>
          <cell r="U132">
            <v>0.21650727594641772</v>
          </cell>
          <cell r="V132">
            <v>0.25</v>
          </cell>
        </row>
        <row r="134">
          <cell r="A134" t="str">
            <v>Year</v>
          </cell>
          <cell r="B134">
            <v>0.14341326648534114</v>
          </cell>
          <cell r="C134">
            <v>4.9728481026996008E-2</v>
          </cell>
          <cell r="D134">
            <v>0.17223665745799632</v>
          </cell>
          <cell r="E134">
            <v>0.14000000000000001</v>
          </cell>
          <cell r="F134">
            <v>0.2094269917442928</v>
          </cell>
          <cell r="G134">
            <v>0.20166026991249852</v>
          </cell>
          <cell r="H134">
            <v>0.66007905138339917</v>
          </cell>
          <cell r="I134" t="str">
            <v xml:space="preserve">NM </v>
          </cell>
          <cell r="J134" t="str">
            <v xml:space="preserve">NM </v>
          </cell>
          <cell r="L134" t="str">
            <v xml:space="preserve">NM </v>
          </cell>
          <cell r="M134" t="str">
            <v xml:space="preserve">NM </v>
          </cell>
          <cell r="N134" t="str">
            <v xml:space="preserve">NM </v>
          </cell>
          <cell r="O134">
            <v>0.2719666802762486</v>
          </cell>
          <cell r="P134">
            <v>0.24999561175020601</v>
          </cell>
          <cell r="Q134">
            <v>-1.7273305084745672E-2</v>
          </cell>
          <cell r="S134">
            <v>0.2809411893147522</v>
          </cell>
          <cell r="T134">
            <v>0</v>
          </cell>
          <cell r="U134">
            <v>0.2649937331431198</v>
          </cell>
          <cell r="V134">
            <v>0.25</v>
          </cell>
          <cell r="W134">
            <v>0.25920930375016038</v>
          </cell>
        </row>
        <row r="136">
          <cell r="A136" t="str">
            <v>2000E</v>
          </cell>
        </row>
        <row r="137">
          <cell r="A137" t="str">
            <v xml:space="preserve"> 1QA</v>
          </cell>
          <cell r="B137">
            <v>3407</v>
          </cell>
          <cell r="C137">
            <v>752.2</v>
          </cell>
          <cell r="D137">
            <v>2654.8</v>
          </cell>
          <cell r="E137">
            <v>1564.1</v>
          </cell>
          <cell r="F137">
            <v>348.8</v>
          </cell>
          <cell r="G137">
            <v>741.90000000000032</v>
          </cell>
          <cell r="H137">
            <v>55</v>
          </cell>
          <cell r="I137">
            <v>-57.9</v>
          </cell>
          <cell r="J137">
            <v>-14.9</v>
          </cell>
          <cell r="L137">
            <v>-2.9000000000000021</v>
          </cell>
          <cell r="M137">
            <v>-20.7</v>
          </cell>
          <cell r="N137">
            <v>0</v>
          </cell>
          <cell r="O137">
            <v>721.20000000000027</v>
          </cell>
          <cell r="P137">
            <v>205.54200000000006</v>
          </cell>
          <cell r="Q137">
            <v>0.28499999999999998</v>
          </cell>
          <cell r="S137">
            <v>515.65800000000024</v>
          </cell>
          <cell r="T137">
            <v>895.6</v>
          </cell>
          <cell r="U137">
            <v>0.57576820008932583</v>
          </cell>
          <cell r="V137">
            <v>0.25</v>
          </cell>
        </row>
        <row r="138">
          <cell r="A138" t="str">
            <v xml:space="preserve"> 2QE</v>
          </cell>
          <cell r="B138">
            <v>3545.5350000000003</v>
          </cell>
          <cell r="C138">
            <v>744.56235000000004</v>
          </cell>
          <cell r="D138">
            <v>2800.9726500000002</v>
          </cell>
          <cell r="E138">
            <v>1638.0371700000003</v>
          </cell>
          <cell r="F138">
            <v>343.91689500000007</v>
          </cell>
          <cell r="G138">
            <v>819.0185849999998</v>
          </cell>
          <cell r="H138">
            <v>50</v>
          </cell>
          <cell r="I138">
            <v>-60</v>
          </cell>
          <cell r="J138">
            <v>-14.2</v>
          </cell>
          <cell r="L138">
            <v>-3</v>
          </cell>
          <cell r="M138">
            <v>-27.2</v>
          </cell>
          <cell r="N138">
            <v>0</v>
          </cell>
          <cell r="O138">
            <v>791.81858499999976</v>
          </cell>
          <cell r="P138">
            <v>225.66829672499992</v>
          </cell>
          <cell r="Q138">
            <v>0.28499999999999998</v>
          </cell>
          <cell r="S138">
            <v>566.15028827499987</v>
          </cell>
          <cell r="T138">
            <v>895.6</v>
          </cell>
          <cell r="U138">
            <v>0.6321463692217506</v>
          </cell>
          <cell r="V138">
            <v>0.25</v>
          </cell>
        </row>
        <row r="139">
          <cell r="A139" t="str">
            <v xml:space="preserve"> 3QE</v>
          </cell>
          <cell r="B139">
            <v>3702.7080000000005</v>
          </cell>
          <cell r="C139">
            <v>799.78492800000015</v>
          </cell>
          <cell r="D139">
            <v>2902.9230720000005</v>
          </cell>
          <cell r="E139">
            <v>1718.0565120000003</v>
          </cell>
          <cell r="F139">
            <v>399.89246400000007</v>
          </cell>
          <cell r="G139">
            <v>784.97409600000015</v>
          </cell>
          <cell r="H139">
            <v>50</v>
          </cell>
          <cell r="I139">
            <v>-60</v>
          </cell>
          <cell r="J139">
            <v>-15.5</v>
          </cell>
          <cell r="L139">
            <v>-3</v>
          </cell>
          <cell r="M139">
            <v>-28.5</v>
          </cell>
          <cell r="N139">
            <v>0</v>
          </cell>
          <cell r="O139">
            <v>756.47409600000015</v>
          </cell>
          <cell r="P139">
            <v>215.59511736000002</v>
          </cell>
          <cell r="Q139">
            <v>0.28499999999999998</v>
          </cell>
          <cell r="S139">
            <v>540.87897864000013</v>
          </cell>
          <cell r="T139">
            <v>895.6</v>
          </cell>
          <cell r="U139">
            <v>0.60392918561857989</v>
          </cell>
          <cell r="V139">
            <v>0.25</v>
          </cell>
        </row>
        <row r="140">
          <cell r="A140" t="str">
            <v xml:space="preserve"> 4QE</v>
          </cell>
          <cell r="B140">
            <v>4127.9471223889741</v>
          </cell>
          <cell r="C140">
            <v>896.62178843601839</v>
          </cell>
          <cell r="D140">
            <v>3231.3253339529556</v>
          </cell>
          <cell r="E140">
            <v>1939.2065347884852</v>
          </cell>
          <cell r="F140">
            <v>430.05922360606445</v>
          </cell>
          <cell r="G140">
            <v>862.05957555840587</v>
          </cell>
          <cell r="H140">
            <v>55</v>
          </cell>
          <cell r="I140">
            <v>-62.099999999999994</v>
          </cell>
          <cell r="J140">
            <v>-16.100000000000005</v>
          </cell>
          <cell r="K140">
            <v>0</v>
          </cell>
          <cell r="L140">
            <v>-3.0999999999999979</v>
          </cell>
          <cell r="M140">
            <v>-26.299999999999997</v>
          </cell>
          <cell r="N140">
            <v>0</v>
          </cell>
          <cell r="O140">
            <v>835.75957555840591</v>
          </cell>
          <cell r="P140">
            <v>238.19147903414566</v>
          </cell>
          <cell r="Q140">
            <v>0.28499999999999998</v>
          </cell>
          <cell r="S140">
            <v>597.56809652426023</v>
          </cell>
          <cell r="T140">
            <v>895.6</v>
          </cell>
          <cell r="U140">
            <v>0.66722654815125082</v>
          </cell>
          <cell r="V140">
            <v>0.25</v>
          </cell>
        </row>
        <row r="142">
          <cell r="A142" t="str">
            <v>Year</v>
          </cell>
          <cell r="B142">
            <v>14783.190122388976</v>
          </cell>
          <cell r="C142">
            <v>3193.169066436019</v>
          </cell>
          <cell r="D142">
            <v>11590.021055952957</v>
          </cell>
          <cell r="E142">
            <v>6859.4002167884855</v>
          </cell>
          <cell r="F142">
            <v>1522.6685826060645</v>
          </cell>
          <cell r="G142">
            <v>3207.9522565584066</v>
          </cell>
          <cell r="H142">
            <v>210</v>
          </cell>
          <cell r="I142">
            <v>-240</v>
          </cell>
          <cell r="J142">
            <v>-60.7</v>
          </cell>
          <cell r="L142">
            <v>-12</v>
          </cell>
          <cell r="M142">
            <v>-102.7</v>
          </cell>
          <cell r="N142">
            <v>0</v>
          </cell>
          <cell r="O142">
            <v>3105.2522565584068</v>
          </cell>
          <cell r="P142">
            <v>884.99689311914585</v>
          </cell>
          <cell r="Q142">
            <v>0.28499999999999998</v>
          </cell>
          <cell r="S142">
            <v>2220.2553634392607</v>
          </cell>
          <cell r="T142">
            <v>895.6</v>
          </cell>
          <cell r="U142">
            <v>2.4790703030809071</v>
          </cell>
          <cell r="V142">
            <v>1</v>
          </cell>
          <cell r="W142">
            <v>2.4790703030809071</v>
          </cell>
        </row>
        <row r="145">
          <cell r="A145" t="str">
            <v>2001E/00E</v>
          </cell>
          <cell r="B145">
            <v>0.12828424913276026</v>
          </cell>
          <cell r="C145">
            <v>4.9931176276318601E-2</v>
          </cell>
          <cell r="D145">
            <v>0.14987132022586147</v>
          </cell>
          <cell r="E145">
            <v>0.10396777824627823</v>
          </cell>
          <cell r="F145">
            <v>8.8849071493168452E-2</v>
          </cell>
          <cell r="G145">
            <v>0.27698899348850703</v>
          </cell>
          <cell r="H145">
            <v>0.33333333333333326</v>
          </cell>
          <cell r="I145">
            <v>-2.083333333333337E-2</v>
          </cell>
          <cell r="J145" t="str">
            <v xml:space="preserve">NM </v>
          </cell>
          <cell r="L145">
            <v>-0.83333333333333337</v>
          </cell>
          <cell r="M145">
            <v>-0.82765335929892891</v>
          </cell>
          <cell r="N145" t="str">
            <v xml:space="preserve">NM </v>
          </cell>
          <cell r="O145">
            <v>0.31352282721865432</v>
          </cell>
          <cell r="P145">
            <v>0.31352282721865454</v>
          </cell>
          <cell r="Q145">
            <v>0</v>
          </cell>
          <cell r="S145">
            <v>0.31352282721865454</v>
          </cell>
          <cell r="T145">
            <v>0</v>
          </cell>
          <cell r="U145">
            <v>0.31352282721865476</v>
          </cell>
          <cell r="V145">
            <v>0.25</v>
          </cell>
          <cell r="W145">
            <v>0.31352282721865476</v>
          </cell>
        </row>
        <row r="146">
          <cell r="A146" t="str">
            <v>2002E/01E</v>
          </cell>
          <cell r="B146">
            <v>0.11639138913769598</v>
          </cell>
          <cell r="C146">
            <v>8.8620459059643775E-2</v>
          </cell>
          <cell r="D146">
            <v>0.1233775680434388</v>
          </cell>
          <cell r="E146">
            <v>0.10655534165630653</v>
          </cell>
          <cell r="F146">
            <v>8.9436265053888464E-2</v>
          </cell>
          <cell r="G146">
            <v>0.16821085915467382</v>
          </cell>
          <cell r="H146">
            <v>0.28571428571428581</v>
          </cell>
          <cell r="I146">
            <v>0</v>
          </cell>
          <cell r="J146" t="str">
            <v xml:space="preserve">NM </v>
          </cell>
          <cell r="L146">
            <v>-5</v>
          </cell>
          <cell r="M146">
            <v>-5.0847457627118633</v>
          </cell>
          <cell r="N146" t="str">
            <v xml:space="preserve">NM </v>
          </cell>
          <cell r="O146">
            <v>0.19100601523298333</v>
          </cell>
          <cell r="P146">
            <v>0.17011117286047495</v>
          </cell>
          <cell r="Q146">
            <v>-1.754385964912264E-2</v>
          </cell>
          <cell r="S146">
            <v>0.19933472862622081</v>
          </cell>
          <cell r="T146">
            <v>0</v>
          </cell>
          <cell r="U146">
            <v>0.19933472862622059</v>
          </cell>
          <cell r="V146">
            <v>0.25</v>
          </cell>
          <cell r="W146">
            <v>0.19933472862622059</v>
          </cell>
        </row>
        <row r="147">
          <cell r="A147" t="str">
            <v>2003E/02E</v>
          </cell>
          <cell r="B147">
            <v>4.1580886092527747E-2</v>
          </cell>
          <cell r="C147">
            <v>6.2837638869926327E-2</v>
          </cell>
          <cell r="D147">
            <v>3.6398891634356056E-2</v>
          </cell>
          <cell r="E147">
            <v>5.7783255431745006E-2</v>
          </cell>
          <cell r="F147">
            <v>2.010499153391887E-2</v>
          </cell>
          <cell r="G147">
            <v>5.105290859715339E-3</v>
          </cell>
          <cell r="H147">
            <v>0.33333333333333326</v>
          </cell>
          <cell r="I147">
            <v>0</v>
          </cell>
          <cell r="J147" t="str">
            <v xml:space="preserve">NM </v>
          </cell>
          <cell r="L147">
            <v>1.25</v>
          </cell>
          <cell r="M147">
            <v>1.7980636237897651</v>
          </cell>
          <cell r="N147" t="str">
            <v xml:space="preserve">NM </v>
          </cell>
          <cell r="O147">
            <v>3.1789849787038138E-2</v>
          </cell>
          <cell r="P147">
            <v>2.0734958539319726E-2</v>
          </cell>
          <cell r="Q147">
            <v>-1.0714285714285676E-2</v>
          </cell>
          <cell r="S147">
            <v>3.6088974161150755E-2</v>
          </cell>
          <cell r="T147">
            <v>0</v>
          </cell>
          <cell r="U147">
            <v>3.6088974161150755E-2</v>
          </cell>
          <cell r="V147">
            <v>0.25</v>
          </cell>
          <cell r="W147">
            <v>3.6088974161150755E-2</v>
          </cell>
        </row>
        <row r="148">
          <cell r="A148" t="str">
            <v>2004E/03E</v>
          </cell>
          <cell r="B148">
            <v>5.1808359840511242E-2</v>
          </cell>
          <cell r="C148">
            <v>5.9171018359394978E-2</v>
          </cell>
          <cell r="D148">
            <v>4.9967695210790364E-2</v>
          </cell>
          <cell r="E148">
            <v>5.5030529870657041E-2</v>
          </cell>
          <cell r="F148">
            <v>4.0736692894821624E-2</v>
          </cell>
          <cell r="G148">
            <v>4.4174266906185533E-2</v>
          </cell>
          <cell r="H148">
            <v>0.29166666666666674</v>
          </cell>
          <cell r="I148">
            <v>0</v>
          </cell>
          <cell r="J148" t="str">
            <v xml:space="preserve">NM </v>
          </cell>
          <cell r="L148">
            <v>0.55555555555555558</v>
          </cell>
          <cell r="M148">
            <v>0.74147305981216016</v>
          </cell>
          <cell r="N148" t="str">
            <v xml:space="preserve">NM </v>
          </cell>
          <cell r="O148">
            <v>7.2317570743227977E-2</v>
          </cell>
          <cell r="P148">
            <v>5.6832840479787761E-2</v>
          </cell>
          <cell r="Q148">
            <v>-1.4440433212996373E-2</v>
          </cell>
          <cell r="S148">
            <v>7.8250171411240244E-2</v>
          </cell>
          <cell r="T148">
            <v>0</v>
          </cell>
          <cell r="U148">
            <v>7.8250171411240244E-2</v>
          </cell>
          <cell r="V148">
            <v>0.25</v>
          </cell>
          <cell r="W148">
            <v>7.8250171411240244E-2</v>
          </cell>
        </row>
        <row r="149">
          <cell r="A149" t="str">
            <v>2005E/04E</v>
          </cell>
          <cell r="B149">
            <v>5.4959935589752984E-2</v>
          </cell>
          <cell r="C149">
            <v>4.7626549741561996E-2</v>
          </cell>
          <cell r="D149">
            <v>5.680935195567538E-2</v>
          </cell>
          <cell r="E149">
            <v>5.4039377181734238E-2</v>
          </cell>
          <cell r="F149">
            <v>2.7219026421072545E-2</v>
          </cell>
          <cell r="G149">
            <v>7.3264457709644626E-2</v>
          </cell>
          <cell r="H149">
            <v>0.2661290322580645</v>
          </cell>
          <cell r="I149">
            <v>0</v>
          </cell>
          <cell r="J149" t="str">
            <v xml:space="preserve">NM </v>
          </cell>
          <cell r="L149">
            <v>0.35714285714285721</v>
          </cell>
          <cell r="M149">
            <v>0.49673573658813486</v>
          </cell>
          <cell r="N149" t="str">
            <v xml:space="preserve">NM </v>
          </cell>
          <cell r="O149">
            <v>0.10102151773506796</v>
          </cell>
          <cell r="P149">
            <v>9.2955426030049138E-2</v>
          </cell>
          <cell r="Q149">
            <v>-7.3260073260073E-3</v>
          </cell>
          <cell r="S149">
            <v>0.10405046276322483</v>
          </cell>
          <cell r="T149">
            <v>0</v>
          </cell>
          <cell r="U149">
            <v>0.10405046276322505</v>
          </cell>
          <cell r="V149">
            <v>0.25</v>
          </cell>
          <cell r="W149">
            <v>0.10405046276322505</v>
          </cell>
        </row>
        <row r="152">
          <cell r="A152" t="str">
            <v>2001E</v>
          </cell>
          <cell r="B152">
            <v>16679.640567026483</v>
          </cell>
          <cell r="C152">
            <v>3352.6077539723233</v>
          </cell>
          <cell r="D152">
            <v>13327.03281305416</v>
          </cell>
          <cell r="E152">
            <v>7572.5568174300233</v>
          </cell>
          <cell r="F152">
            <v>1657.9562723624324</v>
          </cell>
          <cell r="G152">
            <v>4096.5197232617047</v>
          </cell>
          <cell r="H152">
            <v>280</v>
          </cell>
          <cell r="I152">
            <v>-235</v>
          </cell>
          <cell r="J152">
            <v>-60.7</v>
          </cell>
          <cell r="L152">
            <v>-2</v>
          </cell>
          <cell r="M152">
            <v>-17.700000000000003</v>
          </cell>
          <cell r="N152">
            <v>0</v>
          </cell>
          <cell r="O152">
            <v>4078.8197232617049</v>
          </cell>
          <cell r="P152">
            <v>1162.4636211295858</v>
          </cell>
          <cell r="Q152">
            <v>0.28499999999999998</v>
          </cell>
          <cell r="S152">
            <v>2916.3561021321193</v>
          </cell>
          <cell r="T152">
            <v>895.6</v>
          </cell>
          <cell r="U152">
            <v>3.2563154333766406</v>
          </cell>
          <cell r="V152">
            <v>1.25</v>
          </cell>
          <cell r="W152">
            <v>3.2563154333766406</v>
          </cell>
        </row>
        <row r="153">
          <cell r="A153" t="str">
            <v>2002E</v>
          </cell>
          <cell r="B153">
            <v>18621.007102940162</v>
          </cell>
          <cell r="C153">
            <v>3649.7173921762719</v>
          </cell>
          <cell r="D153">
            <v>14971.289710763891</v>
          </cell>
          <cell r="E153">
            <v>8379.4531963230729</v>
          </cell>
          <cell r="F153">
            <v>1806.2376889851957</v>
          </cell>
          <cell r="G153">
            <v>4785.5988254556223</v>
          </cell>
          <cell r="H153">
            <v>360</v>
          </cell>
          <cell r="I153">
            <v>-235</v>
          </cell>
          <cell r="J153">
            <v>-60.7</v>
          </cell>
          <cell r="L153">
            <v>8</v>
          </cell>
          <cell r="M153">
            <v>72.3</v>
          </cell>
          <cell r="N153">
            <v>0</v>
          </cell>
          <cell r="O153">
            <v>4857.8988254556225</v>
          </cell>
          <cell r="P153">
            <v>1360.2116711275744</v>
          </cell>
          <cell r="Q153">
            <v>0.28000000000000003</v>
          </cell>
          <cell r="S153">
            <v>3497.6871543280481</v>
          </cell>
          <cell r="T153">
            <v>895.6</v>
          </cell>
          <cell r="U153">
            <v>3.9054121866101474</v>
          </cell>
          <cell r="V153">
            <v>1.5625</v>
          </cell>
          <cell r="W153">
            <v>3.9054121866101474</v>
          </cell>
        </row>
        <row r="154">
          <cell r="A154" t="str">
            <v>2003E</v>
          </cell>
          <cell r="B154">
            <v>19395.285078215667</v>
          </cell>
          <cell r="C154">
            <v>3879.0570156431336</v>
          </cell>
          <cell r="D154">
            <v>15516.228062572534</v>
          </cell>
          <cell r="E154">
            <v>8863.6452807445603</v>
          </cell>
          <cell r="F154">
            <v>1842.5520824304883</v>
          </cell>
          <cell r="G154">
            <v>4810.0306993974855</v>
          </cell>
          <cell r="H154">
            <v>480</v>
          </cell>
          <cell r="I154">
            <v>-235</v>
          </cell>
          <cell r="J154">
            <v>-60.7</v>
          </cell>
          <cell r="L154">
            <v>18</v>
          </cell>
          <cell r="M154">
            <v>202.3</v>
          </cell>
          <cell r="N154">
            <v>0</v>
          </cell>
          <cell r="O154">
            <v>5012.3306993974857</v>
          </cell>
          <cell r="P154">
            <v>1388.4156037331036</v>
          </cell>
          <cell r="Q154">
            <v>0.27700000000000002</v>
          </cell>
          <cell r="S154">
            <v>3623.9150956643821</v>
          </cell>
          <cell r="T154">
            <v>895.6</v>
          </cell>
          <cell r="U154">
            <v>4.0463545061013644</v>
          </cell>
          <cell r="V154">
            <v>1.953125</v>
          </cell>
          <cell r="W154">
            <v>4.0463545061013644</v>
          </cell>
        </row>
        <row r="155">
          <cell r="A155" t="str">
            <v>2004E</v>
          </cell>
          <cell r="B155">
            <v>20400.122986757164</v>
          </cell>
          <cell r="C155">
            <v>4108.584769532893</v>
          </cell>
          <cell r="D155">
            <v>16291.538217224272</v>
          </cell>
          <cell r="E155">
            <v>9351.4163771294825</v>
          </cell>
          <cell r="F155">
            <v>1917.6115607551733</v>
          </cell>
          <cell r="G155">
            <v>5022.5102793396163</v>
          </cell>
          <cell r="H155">
            <v>620</v>
          </cell>
          <cell r="I155">
            <v>-235</v>
          </cell>
          <cell r="J155">
            <v>-60.7</v>
          </cell>
          <cell r="L155">
            <v>28</v>
          </cell>
          <cell r="M155">
            <v>352.3</v>
          </cell>
          <cell r="N155">
            <v>0</v>
          </cell>
          <cell r="O155">
            <v>5374.8102793396165</v>
          </cell>
          <cell r="P155">
            <v>1467.3232062597153</v>
          </cell>
          <cell r="Q155">
            <v>0.27300000000000002</v>
          </cell>
          <cell r="S155">
            <v>3907.4870730799012</v>
          </cell>
          <cell r="T155">
            <v>895.6</v>
          </cell>
          <cell r="U155">
            <v>4.3629824397944406</v>
          </cell>
          <cell r="V155">
            <v>2.44140625</v>
          </cell>
          <cell r="W155">
            <v>4.3629824397944406</v>
          </cell>
        </row>
        <row r="156">
          <cell r="A156" t="str">
            <v>2005E</v>
          </cell>
          <cell r="B156">
            <v>21521.312432132378</v>
          </cell>
          <cell r="C156">
            <v>4304.2624864264753</v>
          </cell>
          <cell r="D156">
            <v>17217.049945705901</v>
          </cell>
          <cell r="E156">
            <v>9856.7610939166298</v>
          </cell>
          <cell r="F156">
            <v>1969.8070804927227</v>
          </cell>
          <cell r="G156">
            <v>5390.4817712965487</v>
          </cell>
          <cell r="H156">
            <v>785</v>
          </cell>
          <cell r="I156">
            <v>-235</v>
          </cell>
          <cell r="J156">
            <v>-60.7</v>
          </cell>
          <cell r="L156">
            <v>38</v>
          </cell>
          <cell r="M156">
            <v>527.29999999999995</v>
          </cell>
          <cell r="N156">
            <v>0</v>
          </cell>
          <cell r="O156">
            <v>5917.7817712965489</v>
          </cell>
          <cell r="P156">
            <v>1603.7188600213649</v>
          </cell>
          <cell r="Q156">
            <v>0.27100000000000002</v>
          </cell>
          <cell r="S156">
            <v>4314.062911275184</v>
          </cell>
          <cell r="T156">
            <v>895.6</v>
          </cell>
          <cell r="U156">
            <v>4.8169527816828763</v>
          </cell>
          <cell r="V156">
            <v>3.0517578125</v>
          </cell>
          <cell r="W156">
            <v>4.8169527816828763</v>
          </cell>
        </row>
        <row r="158">
          <cell r="A158" t="str">
            <v xml:space="preserve">(a) First half 1998 and 1999 are fully restated for Agouron pooling-of-interest transaction; Costs are not restated for second half 1998. </v>
          </cell>
        </row>
        <row r="160">
          <cell r="A160" t="str">
            <v>E = Morgan Stanley Dean Witter Research Estimates             NM = Not Meaningful             A = Actual     R = Restated</v>
          </cell>
        </row>
      </sheetData>
      <sheetData sheetId="4" refreshError="1">
        <row r="1">
          <cell r="A1" t="str">
            <v>Table 4</v>
          </cell>
        </row>
        <row r="2">
          <cell r="A2" t="str">
            <v>Warner Lambert</v>
          </cell>
        </row>
        <row r="3">
          <cell r="A3" t="str">
            <v>Quarterly Margin Analysis 1998-2005E</v>
          </cell>
        </row>
        <row r="5">
          <cell r="H5" t="str">
            <v>Non-Operating Items</v>
          </cell>
        </row>
        <row r="6">
          <cell r="D6" t="str">
            <v>Gross</v>
          </cell>
          <cell r="E6" t="str">
            <v/>
          </cell>
          <cell r="F6" t="str">
            <v/>
          </cell>
          <cell r="G6" t="str">
            <v xml:space="preserve">  Oper.</v>
          </cell>
          <cell r="H6" t="str">
            <v>Interest</v>
          </cell>
          <cell r="I6" t="str">
            <v>Interest</v>
          </cell>
          <cell r="J6" t="str">
            <v>Intang.</v>
          </cell>
          <cell r="K6" t="str">
            <v>Other</v>
          </cell>
          <cell r="M6" t="str">
            <v xml:space="preserve">  Pretax</v>
          </cell>
          <cell r="N6" t="str">
            <v xml:space="preserve">Net  </v>
          </cell>
        </row>
        <row r="7">
          <cell r="B7" t="str">
            <v>Sales</v>
          </cell>
          <cell r="C7" t="str">
            <v xml:space="preserve"> COGS</v>
          </cell>
          <cell r="D7" t="str">
            <v>Profit</v>
          </cell>
          <cell r="E7" t="str">
            <v>SG&amp;A</v>
          </cell>
          <cell r="F7" t="str">
            <v>R&amp;D</v>
          </cell>
          <cell r="G7" t="str">
            <v>Income</v>
          </cell>
          <cell r="H7" t="str">
            <v>Income</v>
          </cell>
          <cell r="I7" t="str">
            <v>Expense</v>
          </cell>
          <cell r="J7" t="str">
            <v>Amort.</v>
          </cell>
          <cell r="K7" t="str">
            <v xml:space="preserve">Inc </v>
          </cell>
          <cell r="L7" t="str">
            <v>Total</v>
          </cell>
          <cell r="M7" t="str">
            <v>Income</v>
          </cell>
          <cell r="N7" t="str">
            <v>Income</v>
          </cell>
        </row>
        <row r="9">
          <cell r="A9">
            <v>1993</v>
          </cell>
          <cell r="B9">
            <v>1</v>
          </cell>
          <cell r="C9">
            <v>0.33106650327079412</v>
          </cell>
          <cell r="D9">
            <v>0.66893349672920588</v>
          </cell>
          <cell r="E9">
            <v>0.44809016690543174</v>
          </cell>
          <cell r="F9">
            <v>8.024233218841155E-2</v>
          </cell>
          <cell r="G9">
            <v>0.1406009976353626</v>
          </cell>
          <cell r="H9">
            <v>6.8522705697568057E-3</v>
          </cell>
          <cell r="I9">
            <v>-1.1081001777793122E-2</v>
          </cell>
          <cell r="J9">
            <v>-1.9676545212903673E-3</v>
          </cell>
          <cell r="K9">
            <v>1.1132782159932348E-2</v>
          </cell>
          <cell r="L9">
            <v>4.936396430605664E-3</v>
          </cell>
          <cell r="M9">
            <v>0.14562369470286698</v>
          </cell>
          <cell r="N9">
            <v>0.11139686210884242</v>
          </cell>
        </row>
        <row r="11">
          <cell r="A11">
            <v>1994</v>
          </cell>
        </row>
        <row r="12">
          <cell r="A12" t="str">
            <v xml:space="preserve"> 1Q</v>
          </cell>
          <cell r="B12">
            <v>1</v>
          </cell>
          <cell r="C12">
            <v>0.32520987578883764</v>
          </cell>
          <cell r="D12">
            <v>0.67479012421116236</v>
          </cell>
          <cell r="E12">
            <v>0.41577980779349522</v>
          </cell>
          <cell r="F12">
            <v>6.6467738705067239E-2</v>
          </cell>
          <cell r="G12">
            <v>0.19254257771259992</v>
          </cell>
          <cell r="H12">
            <v>6.5177762162272257E-3</v>
          </cell>
          <cell r="I12">
            <v>-1.2492404414435516E-2</v>
          </cell>
          <cell r="J12">
            <v>-2.104698569823375E-3</v>
          </cell>
          <cell r="K12">
            <v>1.2899765427949708E-3</v>
          </cell>
          <cell r="L12">
            <v>-6.7893502252366934E-3</v>
          </cell>
          <cell r="M12">
            <v>0.17229945108103423</v>
          </cell>
          <cell r="N12">
            <v>0.1292549706530336</v>
          </cell>
        </row>
        <row r="13">
          <cell r="A13" t="str">
            <v xml:space="preserve"> 2Q</v>
          </cell>
          <cell r="B13">
            <v>1</v>
          </cell>
          <cell r="C13">
            <v>0.32811429948273518</v>
          </cell>
          <cell r="D13">
            <v>0.67188570051726482</v>
          </cell>
          <cell r="E13">
            <v>0.42326937906961914</v>
          </cell>
          <cell r="F13">
            <v>6.4746685839416618E-2</v>
          </cell>
          <cell r="G13">
            <v>0.18386963560822905</v>
          </cell>
          <cell r="H13">
            <v>9.3415616385227971E-3</v>
          </cell>
          <cell r="I13">
            <v>-1.5333045999782245E-2</v>
          </cell>
          <cell r="J13">
            <v>-1.9971614537531495E-3</v>
          </cell>
          <cell r="K13">
            <v>7.0867019326724639E-4</v>
          </cell>
          <cell r="L13">
            <v>-7.2799756217453524E-3</v>
          </cell>
          <cell r="M13">
            <v>0.16460669126396485</v>
          </cell>
          <cell r="N13">
            <v>0.12672504820567931</v>
          </cell>
        </row>
        <row r="14">
          <cell r="A14" t="str">
            <v xml:space="preserve"> 3Q</v>
          </cell>
          <cell r="B14">
            <v>1</v>
          </cell>
          <cell r="C14">
            <v>0.34075403949730698</v>
          </cell>
          <cell r="D14">
            <v>0.65924596050269302</v>
          </cell>
          <cell r="E14">
            <v>0.41956912028725313</v>
          </cell>
          <cell r="F14">
            <v>7.4326750448833037E-2</v>
          </cell>
          <cell r="G14">
            <v>0.16535008976660687</v>
          </cell>
          <cell r="H14">
            <v>8.7372830640335131E-3</v>
          </cell>
          <cell r="I14">
            <v>-1.5559545182525433E-2</v>
          </cell>
          <cell r="J14">
            <v>-1.8551765409934172E-3</v>
          </cell>
          <cell r="K14">
            <v>-2.6331538001196889E-3</v>
          </cell>
          <cell r="L14">
            <v>-1.1310592459605025E-2</v>
          </cell>
          <cell r="M14">
            <v>0.13327348892878513</v>
          </cell>
          <cell r="N14">
            <v>0.10125673249551163</v>
          </cell>
        </row>
        <row r="15">
          <cell r="A15" t="str">
            <v xml:space="preserve"> 4Q</v>
          </cell>
          <cell r="B15">
            <v>1</v>
          </cell>
          <cell r="C15">
            <v>0.34718428546521762</v>
          </cell>
          <cell r="D15">
            <v>0.65281571453478238</v>
          </cell>
          <cell r="E15">
            <v>0.44452838960888014</v>
          </cell>
          <cell r="F15">
            <v>7.7526588016504916E-2</v>
          </cell>
          <cell r="G15">
            <v>0.13076073690939732</v>
          </cell>
          <cell r="H15">
            <v>6.3927471377927588E-3</v>
          </cell>
          <cell r="I15">
            <v>-1.4819550183065031E-2</v>
          </cell>
          <cell r="J15">
            <v>-1.8597082582669845E-3</v>
          </cell>
          <cell r="K15">
            <v>-4.1262276980298714E-3</v>
          </cell>
          <cell r="L15">
            <v>-1.4412739001569129E-2</v>
          </cell>
          <cell r="M15">
            <v>0.10524786424129719</v>
          </cell>
          <cell r="N15">
            <v>8.0025570988551217E-2</v>
          </cell>
        </row>
        <row r="17">
          <cell r="A17">
            <v>1994</v>
          </cell>
          <cell r="B17">
            <v>1</v>
          </cell>
          <cell r="C17">
            <v>0.33585286618029742</v>
          </cell>
          <cell r="D17">
            <v>0.66414713381970258</v>
          </cell>
          <cell r="E17">
            <v>0.42628737884533691</v>
          </cell>
          <cell r="F17">
            <v>7.1063480570839221E-2</v>
          </cell>
          <cell r="G17">
            <v>0.16679627440352646</v>
          </cell>
          <cell r="H17">
            <v>7.74529601835682E-3</v>
          </cell>
          <cell r="I17">
            <v>-1.4602298529578148E-2</v>
          </cell>
          <cell r="J17">
            <v>-1.9480120770515139E-3</v>
          </cell>
          <cell r="K17">
            <v>-1.3246482123950301E-3</v>
          </cell>
          <cell r="L17">
            <v>-1.0129662800667872E-2</v>
          </cell>
          <cell r="M17">
            <v>0.14229558106706802</v>
          </cell>
          <cell r="N17">
            <v>0.10815082538050909</v>
          </cell>
        </row>
        <row r="19">
          <cell r="A19" t="str">
            <v>1995</v>
          </cell>
        </row>
        <row r="20">
          <cell r="A20" t="str">
            <v xml:space="preserve"> 1Q </v>
          </cell>
          <cell r="B20">
            <v>1</v>
          </cell>
          <cell r="C20">
            <v>0.3317337654244048</v>
          </cell>
          <cell r="D20">
            <v>0.6682662345755952</v>
          </cell>
          <cell r="E20">
            <v>0.39131247662968965</v>
          </cell>
          <cell r="F20">
            <v>7.1232705970335292E-2</v>
          </cell>
          <cell r="G20">
            <v>0.20572105197557025</v>
          </cell>
          <cell r="H20">
            <v>7.7901034525738504E-3</v>
          </cell>
          <cell r="I20">
            <v>-1.8197681665212514E-2</v>
          </cell>
          <cell r="J20">
            <v>-2.1812289667206782E-3</v>
          </cell>
          <cell r="K20">
            <v>-6.2320827620590785E-4</v>
          </cell>
          <cell r="L20">
            <v>-1.3212015455565251E-2</v>
          </cell>
          <cell r="M20">
            <v>0.17362582575096597</v>
          </cell>
          <cell r="N20">
            <v>0.12551414682786988</v>
          </cell>
        </row>
        <row r="21">
          <cell r="A21" t="str">
            <v xml:space="preserve"> 2Q</v>
          </cell>
          <cell r="B21">
            <v>1</v>
          </cell>
          <cell r="C21">
            <v>0.33985330073349634</v>
          </cell>
          <cell r="D21">
            <v>0.66014669926650371</v>
          </cell>
          <cell r="E21">
            <v>0.41575905756834852</v>
          </cell>
          <cell r="F21">
            <v>6.6403645254501001E-2</v>
          </cell>
          <cell r="G21">
            <v>0.1779839964436542</v>
          </cell>
          <cell r="H21">
            <v>7.0015559013114027E-3</v>
          </cell>
          <cell r="I21">
            <v>-1.8337408312958436E-2</v>
          </cell>
          <cell r="J21">
            <v>-1.9448766392531674E-3</v>
          </cell>
          <cell r="K21">
            <v>5.6679262058235173E-3</v>
          </cell>
          <cell r="L21">
            <v>-7.6128028450766824E-3</v>
          </cell>
          <cell r="M21">
            <v>0.1544787730606802</v>
          </cell>
          <cell r="N21">
            <v>0.11169148699711051</v>
          </cell>
        </row>
        <row r="22">
          <cell r="A22" t="str">
            <v xml:space="preserve"> 3Q</v>
          </cell>
          <cell r="B22">
            <v>1</v>
          </cell>
          <cell r="C22">
            <v>0.35034071070563721</v>
          </cell>
          <cell r="D22">
            <v>0.64965928929436279</v>
          </cell>
          <cell r="E22">
            <v>0.44252970659458241</v>
          </cell>
          <cell r="F22">
            <v>7.3323196485892875E-2</v>
          </cell>
          <cell r="G22">
            <v>0.13380638621388752</v>
          </cell>
          <cell r="H22">
            <v>7.3210564847665709E-3</v>
          </cell>
          <cell r="I22">
            <v>-1.7626851382553359E-2</v>
          </cell>
          <cell r="J22">
            <v>-1.9710536689756153E-3</v>
          </cell>
          <cell r="K22">
            <v>-9.010531058174289E-4</v>
          </cell>
          <cell r="L22">
            <v>-1.3177901672579833E-2</v>
          </cell>
          <cell r="M22">
            <v>0.10080531621332429</v>
          </cell>
          <cell r="N22">
            <v>7.4111617953483103E-2</v>
          </cell>
        </row>
        <row r="23">
          <cell r="A23" t="str">
            <v xml:space="preserve"> 4Q</v>
          </cell>
          <cell r="B23">
            <v>1</v>
          </cell>
          <cell r="C23">
            <v>0.35566428302596914</v>
          </cell>
          <cell r="D23">
            <v>0.64433571697403091</v>
          </cell>
          <cell r="E23">
            <v>0.43975482552825418</v>
          </cell>
          <cell r="F23">
            <v>7.376740684983063E-2</v>
          </cell>
          <cell r="G23">
            <v>0.13081348459594611</v>
          </cell>
          <cell r="H23">
            <v>6.2368944566912193E-3</v>
          </cell>
          <cell r="I23">
            <v>-1.5699768804774448E-2</v>
          </cell>
          <cell r="J23">
            <v>-2.4194849185440077E-3</v>
          </cell>
          <cell r="K23">
            <v>-1.0376901983977631E-2</v>
          </cell>
          <cell r="L23">
            <v>-2.2259261250604869E-2</v>
          </cell>
          <cell r="M23">
            <v>8.9252110328512338E-2</v>
          </cell>
          <cell r="N23">
            <v>6.6186354105059464E-2</v>
          </cell>
        </row>
        <row r="25">
          <cell r="A25" t="str">
            <v>1995</v>
          </cell>
          <cell r="B25">
            <v>1</v>
          </cell>
          <cell r="C25">
            <v>0.34482513707775792</v>
          </cell>
          <cell r="D25">
            <v>0.65517486292224203</v>
          </cell>
          <cell r="E25">
            <v>0.42327907042813717</v>
          </cell>
          <cell r="F25">
            <v>7.1195204409216173E-2</v>
          </cell>
          <cell r="G25">
            <v>0.16070058808488868</v>
          </cell>
          <cell r="H25">
            <v>7.0598596551038392E-3</v>
          </cell>
          <cell r="I25">
            <v>-1.7429472428193985E-2</v>
          </cell>
          <cell r="J25">
            <v>-2.1307423506349613E-3</v>
          </cell>
          <cell r="K25">
            <v>-1.6619790334952706E-3</v>
          </cell>
          <cell r="L25">
            <v>-1.4162334157220379E-2</v>
          </cell>
          <cell r="M25">
            <v>0.12807182022216543</v>
          </cell>
          <cell r="N25">
            <v>9.334071990681557E-2</v>
          </cell>
        </row>
        <row r="27">
          <cell r="A27">
            <v>1996</v>
          </cell>
        </row>
        <row r="28">
          <cell r="A28" t="str">
            <v xml:space="preserve"> 1Q </v>
          </cell>
          <cell r="B28">
            <v>1</v>
          </cell>
          <cell r="C28">
            <v>0.32232670019680737</v>
          </cell>
          <cell r="D28">
            <v>0.67767329980319269</v>
          </cell>
          <cell r="E28">
            <v>0.41324076098841023</v>
          </cell>
          <cell r="F28">
            <v>7.0905313798381803E-2</v>
          </cell>
          <cell r="G28">
            <v>0.19352722501640066</v>
          </cell>
          <cell r="H28">
            <v>6.6149136234419413E-3</v>
          </cell>
          <cell r="I28">
            <v>-1.5963262628471461E-2</v>
          </cell>
          <cell r="J28">
            <v>-1.9134047671113055E-3</v>
          </cell>
          <cell r="K28">
            <v>3.8268095342225991E-4</v>
          </cell>
          <cell r="L28">
            <v>-1.0879072818718567E-2</v>
          </cell>
          <cell r="M28">
            <v>0.16488082221736275</v>
          </cell>
          <cell r="N28">
            <v>0.12032582549748522</v>
          </cell>
        </row>
        <row r="29">
          <cell r="A29" t="str">
            <v xml:space="preserve"> 2Q</v>
          </cell>
          <cell r="B29">
            <v>1</v>
          </cell>
          <cell r="C29">
            <v>0.31933899062081283</v>
          </cell>
          <cell r="D29">
            <v>0.68066100937918717</v>
          </cell>
          <cell r="E29">
            <v>0.42613890129522103</v>
          </cell>
          <cell r="F29">
            <v>7.2967842786958462E-2</v>
          </cell>
          <cell r="G29">
            <v>0.18155426529700769</v>
          </cell>
          <cell r="H29">
            <v>8.9325591782045549E-3</v>
          </cell>
          <cell r="I29">
            <v>-1.7530147387226438E-2</v>
          </cell>
          <cell r="J29">
            <v>-2.2331397945511387E-3</v>
          </cell>
          <cell r="K29">
            <v>1.4571237159446181E-2</v>
          </cell>
          <cell r="L29">
            <v>3.7405091558731594E-3</v>
          </cell>
          <cell r="M29">
            <v>0.16491737382760166</v>
          </cell>
          <cell r="N29">
            <v>0.11902635104957576</v>
          </cell>
        </row>
        <row r="30">
          <cell r="A30" t="str">
            <v xml:space="preserve"> 3Q</v>
          </cell>
          <cell r="B30">
            <v>1</v>
          </cell>
          <cell r="C30">
            <v>0.32816742081447964</v>
          </cell>
          <cell r="D30">
            <v>0.67183257918552042</v>
          </cell>
          <cell r="E30">
            <v>0.44038461538461537</v>
          </cell>
          <cell r="F30">
            <v>8.2013574660633484E-2</v>
          </cell>
          <cell r="G30">
            <v>0.14943438914027157</v>
          </cell>
          <cell r="H30">
            <v>8.4841628959276012E-3</v>
          </cell>
          <cell r="I30">
            <v>-2.6640271493212672E-2</v>
          </cell>
          <cell r="J30">
            <v>-7.3529411764705881E-3</v>
          </cell>
          <cell r="K30">
            <v>-5.1470588235294117E-3</v>
          </cell>
          <cell r="L30">
            <v>-3.065610859728507E-2</v>
          </cell>
          <cell r="M30">
            <v>0.11877828054298639</v>
          </cell>
          <cell r="N30">
            <v>8.3540723981900419E-2</v>
          </cell>
        </row>
        <row r="31">
          <cell r="A31" t="str">
            <v xml:space="preserve"> 4Q</v>
          </cell>
          <cell r="B31">
            <v>1</v>
          </cell>
          <cell r="C31">
            <v>0.32832338578404774</v>
          </cell>
          <cell r="D31">
            <v>0.67167661421595226</v>
          </cell>
          <cell r="E31">
            <v>0.44384156266956049</v>
          </cell>
          <cell r="F31">
            <v>8.1063483450895285E-2</v>
          </cell>
          <cell r="G31">
            <v>0.14677156809549649</v>
          </cell>
          <cell r="H31">
            <v>6.3483450895279432E-3</v>
          </cell>
          <cell r="I31">
            <v>-2.0835594139989148E-2</v>
          </cell>
          <cell r="J31">
            <v>-5.9685295713510578E-3</v>
          </cell>
          <cell r="K31">
            <v>4.1779706999457407E-3</v>
          </cell>
          <cell r="L31">
            <v>-1.6277807921866522E-2</v>
          </cell>
          <cell r="M31">
            <v>0.13049376017363001</v>
          </cell>
          <cell r="N31">
            <v>9.2620727075420572E-2</v>
          </cell>
        </row>
        <row r="33">
          <cell r="A33" t="str">
            <v>Year</v>
          </cell>
          <cell r="B33">
            <v>1</v>
          </cell>
          <cell r="C33">
            <v>0.32454296540089062</v>
          </cell>
          <cell r="D33">
            <v>0.67545703459910933</v>
          </cell>
          <cell r="E33">
            <v>0.43087092402577648</v>
          </cell>
          <cell r="F33">
            <v>7.6720966894377296E-2</v>
          </cell>
          <cell r="G33">
            <v>0.16786514367895569</v>
          </cell>
          <cell r="H33">
            <v>7.5780623392427467E-3</v>
          </cell>
          <cell r="I33">
            <v>-2.0203556711010318E-2</v>
          </cell>
          <cell r="J33">
            <v>-4.3560029869734772E-3</v>
          </cell>
          <cell r="K33">
            <v>9.9565782559393762E-3</v>
          </cell>
          <cell r="L33">
            <v>-1.3469037807340212E-2</v>
          </cell>
          <cell r="M33">
            <v>0.14485438504300691</v>
          </cell>
          <cell r="N33">
            <v>0.1039494427081893</v>
          </cell>
        </row>
        <row r="35">
          <cell r="A35">
            <v>1997</v>
          </cell>
        </row>
        <row r="36">
          <cell r="A36" t="str">
            <v xml:space="preserve"> 1Q </v>
          </cell>
          <cell r="B36">
            <v>1</v>
          </cell>
          <cell r="C36">
            <v>0.30899066051535951</v>
          </cell>
          <cell r="D36">
            <v>0.69100933948464049</v>
          </cell>
          <cell r="E36">
            <v>0.42882862608304267</v>
          </cell>
          <cell r="F36">
            <v>7.5334758636210197E-2</v>
          </cell>
          <cell r="G36">
            <v>0.18684595476538762</v>
          </cell>
          <cell r="H36">
            <v>4.613480364577472E-3</v>
          </cell>
          <cell r="I36">
            <v>-2.2054686620906944E-2</v>
          </cell>
          <cell r="J36">
            <v>-6.9764825025317879E-3</v>
          </cell>
          <cell r="K36">
            <v>1.6315967143017891E-3</v>
          </cell>
          <cell r="L36">
            <v>-2.2786092044559472E-2</v>
          </cell>
          <cell r="M36">
            <v>0.16405986272082818</v>
          </cell>
          <cell r="N36">
            <v>0.11483065151344661</v>
          </cell>
        </row>
        <row r="37">
          <cell r="A37" t="str">
            <v xml:space="preserve"> 2Q</v>
          </cell>
          <cell r="B37">
            <v>1</v>
          </cell>
          <cell r="C37">
            <v>0.30182539278995274</v>
          </cell>
          <cell r="D37">
            <v>0.6981746072100472</v>
          </cell>
          <cell r="E37">
            <v>0.43606040575583466</v>
          </cell>
          <cell r="F37">
            <v>8.0439314587888333E-2</v>
          </cell>
          <cell r="G37">
            <v>0.18167488686632421</v>
          </cell>
          <cell r="H37">
            <v>4.5761936238368842E-3</v>
          </cell>
          <cell r="I37">
            <v>-2.4406365993796714E-2</v>
          </cell>
          <cell r="J37">
            <v>-6.5083642650124573E-3</v>
          </cell>
          <cell r="K37">
            <v>1.2711648955102456E-2</v>
          </cell>
          <cell r="L37">
            <v>-1.3626887679869831E-2</v>
          </cell>
          <cell r="M37">
            <v>0.16804799918645441</v>
          </cell>
          <cell r="N37">
            <v>0.11765902272842828</v>
          </cell>
        </row>
        <row r="38">
          <cell r="A38" t="str">
            <v xml:space="preserve"> 3Q</v>
          </cell>
          <cell r="B38">
            <v>1</v>
          </cell>
          <cell r="C38">
            <v>0.29122990086799788</v>
          </cell>
          <cell r="D38">
            <v>0.70877009913200206</v>
          </cell>
          <cell r="E38">
            <v>0.45937485177631265</v>
          </cell>
          <cell r="F38">
            <v>8.632547550158895E-2</v>
          </cell>
          <cell r="G38">
            <v>0.16306977185410046</v>
          </cell>
          <cell r="H38">
            <v>5.0751790542142954E-3</v>
          </cell>
          <cell r="I38">
            <v>-2.0395579376749039E-2</v>
          </cell>
          <cell r="J38">
            <v>-6.2609685528624949E-3</v>
          </cell>
          <cell r="K38">
            <v>-7.1147369918891992E-3</v>
          </cell>
          <cell r="L38">
            <v>-2.8696105867286437E-2</v>
          </cell>
          <cell r="M38">
            <v>0.13437366598681411</v>
          </cell>
          <cell r="N38">
            <v>9.4056823032775294E-2</v>
          </cell>
        </row>
        <row r="39">
          <cell r="A39" t="str">
            <v xml:space="preserve"> 4Q</v>
          </cell>
          <cell r="B39">
            <v>1</v>
          </cell>
          <cell r="C39">
            <v>0.27962533298960213</v>
          </cell>
          <cell r="D39">
            <v>0.72037466701039787</v>
          </cell>
          <cell r="E39">
            <v>0.46747443499183639</v>
          </cell>
          <cell r="F39">
            <v>8.5116438944745201E-2</v>
          </cell>
          <cell r="G39">
            <v>0.1677837930738163</v>
          </cell>
          <cell r="H39">
            <v>5.8004640371229696E-3</v>
          </cell>
          <cell r="I39">
            <v>-1.5811635301194463E-2</v>
          </cell>
          <cell r="J39">
            <v>-7.7339520494972931E-3</v>
          </cell>
          <cell r="K39">
            <v>-9.1088768582968105E-3</v>
          </cell>
          <cell r="L39">
            <v>-2.6854000171865601E-2</v>
          </cell>
          <cell r="M39">
            <v>0.14092979290195071</v>
          </cell>
          <cell r="N39">
            <v>0.1012718054481396</v>
          </cell>
        </row>
        <row r="41">
          <cell r="A41" t="str">
            <v>Year</v>
          </cell>
          <cell r="B41">
            <v>1</v>
          </cell>
          <cell r="C41">
            <v>0.29433482481234263</v>
          </cell>
          <cell r="D41">
            <v>0.70566517518765737</v>
          </cell>
          <cell r="E41">
            <v>0.44943641653830163</v>
          </cell>
          <cell r="F41">
            <v>8.2178048363040657E-2</v>
          </cell>
          <cell r="G41">
            <v>0.17405071028631508</v>
          </cell>
          <cell r="H41">
            <v>5.0612484412821818E-3</v>
          </cell>
          <cell r="I41">
            <v>-2.0416147094060977E-2</v>
          </cell>
          <cell r="J41">
            <v>-6.895034108413408E-3</v>
          </cell>
          <cell r="K41">
            <v>-1.0146947358126116E-3</v>
          </cell>
          <cell r="L41">
            <v>-2.3264627497004815E-2</v>
          </cell>
          <cell r="M41">
            <v>0.15078608278931024</v>
          </cell>
          <cell r="N41">
            <v>0.10629844250470673</v>
          </cell>
        </row>
        <row r="43">
          <cell r="A43" t="str">
            <v>1998 (a)</v>
          </cell>
        </row>
        <row r="44">
          <cell r="A44" t="str">
            <v xml:space="preserve"> 1Q </v>
          </cell>
          <cell r="B44">
            <v>1</v>
          </cell>
          <cell r="C44">
            <v>0.28040670985456262</v>
          </cell>
          <cell r="D44">
            <v>0.71959329014543738</v>
          </cell>
          <cell r="E44">
            <v>0.43944399159123082</v>
          </cell>
          <cell r="F44">
            <v>8.9150113689990998E-2</v>
          </cell>
          <cell r="G44">
            <v>0.19099918486421558</v>
          </cell>
          <cell r="H44">
            <v>6.3065768587240974E-3</v>
          </cell>
          <cell r="I44">
            <v>-1.5444678021365137E-2</v>
          </cell>
          <cell r="J44">
            <v>-6.349478742116779E-3</v>
          </cell>
          <cell r="K44">
            <v>2.9602299540949849E-3</v>
          </cell>
          <cell r="L44">
            <v>-1.2527349950662835E-2</v>
          </cell>
          <cell r="M44">
            <v>0.17847183491355278</v>
          </cell>
          <cell r="N44">
            <v>0.12565961645716256</v>
          </cell>
        </row>
        <row r="45">
          <cell r="A45" t="str">
            <v xml:space="preserve"> 2Q</v>
          </cell>
          <cell r="B45">
            <v>1</v>
          </cell>
          <cell r="C45">
            <v>0.26350318708763559</v>
          </cell>
          <cell r="D45">
            <v>0.73649681291236435</v>
          </cell>
          <cell r="E45">
            <v>0.44231557758974177</v>
          </cell>
          <cell r="F45">
            <v>9.7215491855220493E-2</v>
          </cell>
          <cell r="G45">
            <v>0.19696574346740209</v>
          </cell>
          <cell r="H45">
            <v>5.2931747865955937E-3</v>
          </cell>
          <cell r="I45">
            <v>-9.8408319976143431E-3</v>
          </cell>
          <cell r="J45">
            <v>-5.4795541804898047E-3</v>
          </cell>
          <cell r="K45">
            <v>-1.5022179147873412E-2</v>
          </cell>
          <cell r="L45">
            <v>-2.5049390539381964E-2</v>
          </cell>
          <cell r="M45">
            <v>0.17191635292802016</v>
          </cell>
          <cell r="N45">
            <v>0.12267491706116961</v>
          </cell>
        </row>
        <row r="46">
          <cell r="A46" t="str">
            <v xml:space="preserve"> 3Q</v>
          </cell>
          <cell r="B46">
            <v>1</v>
          </cell>
          <cell r="C46">
            <v>0.26105192828773988</v>
          </cell>
          <cell r="D46">
            <v>0.73894807171226007</v>
          </cell>
          <cell r="E46">
            <v>0.45254444898110691</v>
          </cell>
          <cell r="F46">
            <v>9.5282283508407256E-2</v>
          </cell>
          <cell r="G46">
            <v>0.19112133922274591</v>
          </cell>
          <cell r="H46">
            <v>4.5284139415760361E-3</v>
          </cell>
          <cell r="I46">
            <v>-9.6507182361456525E-3</v>
          </cell>
          <cell r="J46">
            <v>-5.5306039122527007E-3</v>
          </cell>
          <cell r="K46">
            <v>-2.2939014884376972E-2</v>
          </cell>
          <cell r="L46">
            <v>-3.3591923091199287E-2</v>
          </cell>
          <cell r="M46">
            <v>0.15752941613154667</v>
          </cell>
          <cell r="N46">
            <v>0.11224527671578634</v>
          </cell>
        </row>
        <row r="47">
          <cell r="A47" t="str">
            <v xml:space="preserve"> 4Q</v>
          </cell>
          <cell r="B47">
            <v>1</v>
          </cell>
          <cell r="C47">
            <v>0.23796976384177071</v>
          </cell>
          <cell r="D47">
            <v>0.76203023615822929</v>
          </cell>
          <cell r="E47">
            <v>0.46240242416257704</v>
          </cell>
          <cell r="F47">
            <v>8.6821909686769227E-2</v>
          </cell>
          <cell r="G47">
            <v>0.21280590230888302</v>
          </cell>
          <cell r="H47">
            <v>4.8088007641382035E-3</v>
          </cell>
          <cell r="I47">
            <v>-8.4648068245446462E-3</v>
          </cell>
          <cell r="J47">
            <v>-5.0722966964197496E-3</v>
          </cell>
          <cell r="K47">
            <v>6.2580283916867036E-3</v>
          </cell>
          <cell r="L47">
            <v>-2.4702743651394883E-3</v>
          </cell>
          <cell r="M47">
            <v>0.21033562794374355</v>
          </cell>
          <cell r="N47">
            <v>0.1148512894832186</v>
          </cell>
        </row>
        <row r="49">
          <cell r="A49" t="str">
            <v>Year</v>
          </cell>
          <cell r="B49">
            <v>1</v>
          </cell>
          <cell r="C49">
            <v>0.25934027066773396</v>
          </cell>
          <cell r="D49">
            <v>0.74065972933226598</v>
          </cell>
          <cell r="E49">
            <v>0.44993391537444849</v>
          </cell>
          <cell r="F49">
            <v>9.2043783391351275E-2</v>
          </cell>
          <cell r="G49">
            <v>0.19868203056646616</v>
          </cell>
          <cell r="H49">
            <v>5.1843854129823702E-3</v>
          </cell>
          <cell r="I49">
            <v>-1.0620078556935163E-2</v>
          </cell>
          <cell r="J49">
            <v>-5.566000856307823E-3</v>
          </cell>
          <cell r="K49">
            <v>-7.0924626296096334E-3</v>
          </cell>
          <cell r="L49">
            <v>-1.8094156629870246E-2</v>
          </cell>
          <cell r="M49">
            <v>0.18058787393659592</v>
          </cell>
          <cell r="N49">
            <v>0.1184962489994229</v>
          </cell>
        </row>
        <row r="51">
          <cell r="A51">
            <v>1999</v>
          </cell>
        </row>
        <row r="52">
          <cell r="A52" t="str">
            <v xml:space="preserve"> 1QA (a)</v>
          </cell>
          <cell r="B52">
            <v>1</v>
          </cell>
          <cell r="C52">
            <v>0.2502994011976048</v>
          </cell>
          <cell r="D52">
            <v>0.74970059880239526</v>
          </cell>
          <cell r="E52">
            <v>0.45359281437125748</v>
          </cell>
          <cell r="F52">
            <v>9.1151031270791744E-2</v>
          </cell>
          <cell r="G52">
            <v>0.20495675316034603</v>
          </cell>
          <cell r="H52">
            <v>7.451763140385894E-3</v>
          </cell>
          <cell r="I52">
            <v>-1.081170991350632E-2</v>
          </cell>
          <cell r="J52">
            <v>-5.2228875582168996E-3</v>
          </cell>
          <cell r="K52">
            <v>-1.7465069860279441E-2</v>
          </cell>
          <cell r="L52">
            <v>-2.6047904191616764E-2</v>
          </cell>
          <cell r="M52">
            <v>0.17890884896872919</v>
          </cell>
          <cell r="N52">
            <v>0.12707917498336657</v>
          </cell>
        </row>
        <row r="53">
          <cell r="A53" t="str">
            <v xml:space="preserve"> 2QA</v>
          </cell>
          <cell r="B53">
            <v>1</v>
          </cell>
          <cell r="C53">
            <v>0.2295362935220745</v>
          </cell>
          <cell r="D53">
            <v>0.7704637064779255</v>
          </cell>
          <cell r="E53">
            <v>0.45996127844605966</v>
          </cell>
          <cell r="F53">
            <v>8.9440441806582671E-2</v>
          </cell>
          <cell r="G53">
            <v>0.22106198622528317</v>
          </cell>
          <cell r="H53">
            <v>1.0188212143333229E-2</v>
          </cell>
          <cell r="I53">
            <v>-1.1679944139397594E-2</v>
          </cell>
          <cell r="J53">
            <v>-4.8560637318691086E-3</v>
          </cell>
          <cell r="K53">
            <v>-1.4885580982004E-2</v>
          </cell>
          <cell r="L53">
            <v>-2.1233376709937472E-2</v>
          </cell>
          <cell r="M53">
            <v>0.19982860951534581</v>
          </cell>
          <cell r="N53">
            <v>0.14184149554067352</v>
          </cell>
        </row>
        <row r="54">
          <cell r="A54" t="str">
            <v xml:space="preserve"> 3QA</v>
          </cell>
          <cell r="B54">
            <v>1</v>
          </cell>
          <cell r="C54">
            <v>0.23696565357054608</v>
          </cell>
          <cell r="D54">
            <v>0.76303434642945389</v>
          </cell>
          <cell r="E54">
            <v>0.46123671855695569</v>
          </cell>
          <cell r="F54">
            <v>0.10705460835186557</v>
          </cell>
          <cell r="G54">
            <v>0.19474301952063261</v>
          </cell>
          <cell r="H54">
            <v>1.0192735359525574E-2</v>
          </cell>
          <cell r="I54">
            <v>-1.1459105510254509E-2</v>
          </cell>
          <cell r="J54">
            <v>-4.447739065974796E-3</v>
          </cell>
          <cell r="K54">
            <v>-7.5982209043736083E-3</v>
          </cell>
          <cell r="L54">
            <v>-1.3312330121077338E-2</v>
          </cell>
          <cell r="M54">
            <v>0.18143068939955537</v>
          </cell>
          <cell r="N54">
            <v>0.12879911045218698</v>
          </cell>
        </row>
        <row r="55">
          <cell r="A55" t="str">
            <v xml:space="preserve"> 4Q</v>
          </cell>
          <cell r="B55">
            <v>1</v>
          </cell>
          <cell r="C55">
            <v>0.2260729340538094</v>
          </cell>
          <cell r="D55">
            <v>0.77392706594619054</v>
          </cell>
          <cell r="E55">
            <v>0.46750785073697909</v>
          </cell>
          <cell r="F55">
            <v>0.10088550654935356</v>
          </cell>
          <cell r="G55">
            <v>0.20553370865985787</v>
          </cell>
          <cell r="H55">
            <v>1.1033468186833395E-2</v>
          </cell>
          <cell r="I55">
            <v>-9.5906300393244128E-3</v>
          </cell>
          <cell r="J55">
            <v>-4.3285144425269477E-3</v>
          </cell>
          <cell r="K55">
            <v>-8.4307013325034662E-3</v>
          </cell>
          <cell r="L55">
            <v>-1.1316377627521431E-2</v>
          </cell>
          <cell r="M55">
            <v>0.19421733103233652</v>
          </cell>
          <cell r="N55">
            <v>0.1378900613913486</v>
          </cell>
        </row>
        <row r="57">
          <cell r="A57" t="str">
            <v>Year</v>
          </cell>
          <cell r="B57">
            <v>1</v>
          </cell>
          <cell r="C57">
            <v>0.23527728362595715</v>
          </cell>
          <cell r="D57">
            <v>0.76472271637404288</v>
          </cell>
          <cell r="E57">
            <v>0.46086317580632685</v>
          </cell>
          <cell r="F57">
            <v>9.7377987470028612E-2</v>
          </cell>
          <cell r="G57">
            <v>0.2064815530976874</v>
          </cell>
          <cell r="H57">
            <v>9.7842060484182852E-3</v>
          </cell>
          <cell r="I57">
            <v>-1.0851573980973007E-2</v>
          </cell>
          <cell r="J57">
            <v>-4.6948719931935957E-3</v>
          </cell>
          <cell r="K57">
            <v>-1.1895738262820019E-2</v>
          </cell>
          <cell r="L57">
            <v>-1.7657978188568336E-2</v>
          </cell>
          <cell r="M57">
            <v>0.18882357490911908</v>
          </cell>
          <cell r="N57">
            <v>0.13406295923892028</v>
          </cell>
        </row>
        <row r="59">
          <cell r="A59" t="str">
            <v>2000E</v>
          </cell>
        </row>
        <row r="60">
          <cell r="A60" t="str">
            <v xml:space="preserve"> 1QA</v>
          </cell>
          <cell r="B60">
            <v>1</v>
          </cell>
          <cell r="C60">
            <v>0.22078074552392135</v>
          </cell>
          <cell r="D60">
            <v>0.77921925447607865</v>
          </cell>
          <cell r="E60">
            <v>0.45908423833284412</v>
          </cell>
          <cell r="F60">
            <v>0.10237745817434693</v>
          </cell>
          <cell r="G60">
            <v>0.2177575579688876</v>
          </cell>
          <cell r="H60">
            <v>1.6143234517170531E-2</v>
          </cell>
          <cell r="I60">
            <v>-1.6994423246257703E-2</v>
          </cell>
          <cell r="J60">
            <v>-4.373348987378926E-3</v>
          </cell>
          <cell r="K60">
            <v>-8.5118872908717411E-4</v>
          </cell>
          <cell r="L60">
            <v>-6.0757264455532723E-3</v>
          </cell>
          <cell r="M60">
            <v>0.21168183152333439</v>
          </cell>
          <cell r="N60">
            <v>0.15135250953918411</v>
          </cell>
        </row>
        <row r="61">
          <cell r="A61" t="str">
            <v xml:space="preserve"> 2QE</v>
          </cell>
          <cell r="B61">
            <v>1</v>
          </cell>
          <cell r="C61">
            <v>0.21</v>
          </cell>
          <cell r="D61">
            <v>0.79</v>
          </cell>
          <cell r="E61">
            <v>0.46200000000000002</v>
          </cell>
          <cell r="F61">
            <v>9.7000000000000003E-2</v>
          </cell>
          <cell r="G61">
            <v>0.23100000000000001</v>
          </cell>
          <cell r="H61">
            <v>1.4102244090102056E-2</v>
          </cell>
          <cell r="I61">
            <v>-1.6922692908122469E-2</v>
          </cell>
          <cell r="J61">
            <v>-4.0050373215889841E-3</v>
          </cell>
          <cell r="K61">
            <v>-8.4613464540612342E-4</v>
          </cell>
          <cell r="L61">
            <v>-7.6716207850155184E-3</v>
          </cell>
          <cell r="M61">
            <v>0.22332837921498438</v>
          </cell>
          <cell r="N61">
            <v>0.15967979113871386</v>
          </cell>
        </row>
        <row r="62">
          <cell r="A62" t="str">
            <v xml:space="preserve"> 3QE</v>
          </cell>
          <cell r="B62">
            <v>1</v>
          </cell>
          <cell r="C62">
            <v>0.216</v>
          </cell>
          <cell r="D62">
            <v>0.78400000000000003</v>
          </cell>
          <cell r="E62">
            <v>0.46400000000000002</v>
          </cell>
          <cell r="F62">
            <v>0.108</v>
          </cell>
          <cell r="G62">
            <v>0.21200000000000002</v>
          </cell>
          <cell r="H62">
            <v>1.3503630315974145E-2</v>
          </cell>
          <cell r="I62">
            <v>-1.6204356379168974E-2</v>
          </cell>
          <cell r="J62">
            <v>-4.1861253979519845E-3</v>
          </cell>
          <cell r="K62">
            <v>-8.102178189584487E-4</v>
          </cell>
          <cell r="L62">
            <v>-7.6970692801052627E-3</v>
          </cell>
          <cell r="M62">
            <v>0.20430293071989475</v>
          </cell>
          <cell r="N62">
            <v>0.14607659546472476</v>
          </cell>
        </row>
        <row r="63">
          <cell r="A63" t="str">
            <v xml:space="preserve"> 4QE</v>
          </cell>
          <cell r="B63">
            <v>1</v>
          </cell>
          <cell r="C63">
            <v>0.21720767293092527</v>
          </cell>
          <cell r="D63">
            <v>0.78279232706907476</v>
          </cell>
          <cell r="E63">
            <v>0.46977504248315194</v>
          </cell>
          <cell r="F63">
            <v>0.10418234799412245</v>
          </cell>
          <cell r="G63">
            <v>0.20883493659180036</v>
          </cell>
          <cell r="H63">
            <v>1.3323814082233145E-2</v>
          </cell>
          <cell r="I63">
            <v>-1.5043797354666877E-2</v>
          </cell>
          <cell r="J63">
            <v>-3.9002437586173398E-3</v>
          </cell>
          <cell r="K63">
            <v>-7.5097861190768578E-4</v>
          </cell>
          <cell r="L63">
            <v>-6.3712056429587579E-3</v>
          </cell>
          <cell r="M63">
            <v>0.20246373094884154</v>
          </cell>
          <cell r="N63">
            <v>0.14476156762842171</v>
          </cell>
        </row>
        <row r="65">
          <cell r="A65" t="str">
            <v>Year</v>
          </cell>
          <cell r="B65">
            <v>1</v>
          </cell>
          <cell r="C65">
            <v>0.216</v>
          </cell>
          <cell r="D65">
            <v>0.78400000000000003</v>
          </cell>
          <cell r="E65">
            <v>0.46400000000000002</v>
          </cell>
          <cell r="F65">
            <v>0.10299999999999999</v>
          </cell>
          <cell r="G65">
            <v>0.21700000000000003</v>
          </cell>
          <cell r="H65">
            <v>1.4205323631870048E-2</v>
          </cell>
          <cell r="I65">
            <v>-1.6234655579280055E-2</v>
          </cell>
          <cell r="J65">
            <v>-4.1060149735929145E-3</v>
          </cell>
          <cell r="K65">
            <v>-8.117327789640028E-4</v>
          </cell>
          <cell r="L65">
            <v>-6.9470796999669239E-3</v>
          </cell>
          <cell r="M65">
            <v>0.210052920300033</v>
          </cell>
          <cell r="N65">
            <v>0.15018783801452359</v>
          </cell>
        </row>
        <row r="67">
          <cell r="A67" t="str">
            <v>2001E</v>
          </cell>
          <cell r="B67">
            <v>1</v>
          </cell>
          <cell r="C67">
            <v>0.20100000000000001</v>
          </cell>
          <cell r="D67">
            <v>0.79899999999999993</v>
          </cell>
          <cell r="E67">
            <v>0.45400000000000001</v>
          </cell>
          <cell r="F67">
            <v>9.9400000000000002E-2</v>
          </cell>
          <cell r="G67">
            <v>0.24559999999999993</v>
          </cell>
          <cell r="H67">
            <v>1.6786932480638953E-2</v>
          </cell>
          <cell r="I67">
            <v>-1.4089032617679121E-2</v>
          </cell>
          <cell r="J67">
            <v>-3.6391671484813735E-3</v>
          </cell>
          <cell r="K67">
            <v>-1.1990666057599252E-4</v>
          </cell>
          <cell r="L67">
            <v>-1.061173946097534E-3</v>
          </cell>
          <cell r="M67">
            <v>0.24453882605390251</v>
          </cell>
          <cell r="N67">
            <v>0.17484526062854031</v>
          </cell>
        </row>
        <row r="68">
          <cell r="A68" t="str">
            <v>2002E</v>
          </cell>
          <cell r="B68">
            <v>1</v>
          </cell>
          <cell r="C68">
            <v>0.19600000000000001</v>
          </cell>
          <cell r="D68">
            <v>0.80400000000000005</v>
          </cell>
          <cell r="E68">
            <v>0.45</v>
          </cell>
          <cell r="F68">
            <v>9.7000000000000003E-2</v>
          </cell>
          <cell r="G68">
            <v>0.25700000000000001</v>
          </cell>
          <cell r="H68">
            <v>1.9333003741948941E-2</v>
          </cell>
          <cell r="I68">
            <v>-1.2620155220438894E-2</v>
          </cell>
          <cell r="J68">
            <v>-3.2597592420452802E-3</v>
          </cell>
          <cell r="K68">
            <v>4.2962230537664319E-4</v>
          </cell>
          <cell r="L68">
            <v>3.8827115848414123E-3</v>
          </cell>
          <cell r="M68">
            <v>0.26088271158484144</v>
          </cell>
          <cell r="N68">
            <v>0.18783555234108584</v>
          </cell>
        </row>
        <row r="69">
          <cell r="A69" t="str">
            <v>2003E</v>
          </cell>
          <cell r="B69">
            <v>1</v>
          </cell>
          <cell r="C69">
            <v>0.2</v>
          </cell>
          <cell r="D69">
            <v>0.8</v>
          </cell>
          <cell r="E69">
            <v>0.45700000000000002</v>
          </cell>
          <cell r="F69">
            <v>9.5000000000000001E-2</v>
          </cell>
          <cell r="G69">
            <v>0.24800000000000003</v>
          </cell>
          <cell r="H69">
            <v>2.4748282794725449E-2</v>
          </cell>
          <cell r="I69">
            <v>-1.2116346784917667E-2</v>
          </cell>
          <cell r="J69">
            <v>-3.1296265950829889E-3</v>
          </cell>
          <cell r="K69">
            <v>9.2806060480220428E-4</v>
          </cell>
          <cell r="L69">
            <v>1.0430370019526996E-2</v>
          </cell>
          <cell r="M69">
            <v>0.25843037001952701</v>
          </cell>
          <cell r="N69">
            <v>0.18684515752411801</v>
          </cell>
        </row>
        <row r="70">
          <cell r="A70" t="str">
            <v>2004E</v>
          </cell>
          <cell r="B70">
            <v>1</v>
          </cell>
          <cell r="C70">
            <v>0.2014</v>
          </cell>
          <cell r="D70">
            <v>0.79859999999999998</v>
          </cell>
          <cell r="E70">
            <v>0.45839999999999997</v>
          </cell>
          <cell r="F70">
            <v>9.4E-2</v>
          </cell>
          <cell r="G70">
            <v>0.2462</v>
          </cell>
          <cell r="H70">
            <v>3.0391973636750912E-2</v>
          </cell>
          <cell r="I70">
            <v>-1.1519538394574943E-2</v>
          </cell>
          <cell r="J70">
            <v>-2.9754722576625491E-3</v>
          </cell>
          <cell r="K70">
            <v>1.372540744885525E-3</v>
          </cell>
          <cell r="L70">
            <v>1.7269503729398946E-2</v>
          </cell>
          <cell r="M70">
            <v>0.26346950372939909</v>
          </cell>
          <cell r="N70">
            <v>0.19154232921127312</v>
          </cell>
        </row>
        <row r="71">
          <cell r="A71" t="str">
            <v>2005E</v>
          </cell>
          <cell r="B71">
            <v>1</v>
          </cell>
          <cell r="C71">
            <v>0.2</v>
          </cell>
          <cell r="D71">
            <v>0.8</v>
          </cell>
          <cell r="E71">
            <v>0.45800000000000002</v>
          </cell>
          <cell r="F71">
            <v>9.1528204272138342E-2</v>
          </cell>
          <cell r="G71">
            <v>0.25047179572786171</v>
          </cell>
          <cell r="H71">
            <v>3.647547065149969E-2</v>
          </cell>
          <cell r="I71">
            <v>-1.0919408411595449E-2</v>
          </cell>
          <cell r="J71">
            <v>-2.8204599599312504E-3</v>
          </cell>
          <cell r="K71">
            <v>1.7656915729388385E-3</v>
          </cell>
          <cell r="L71">
            <v>2.4501293852911828E-2</v>
          </cell>
          <cell r="M71">
            <v>0.27497308958077343</v>
          </cell>
          <cell r="N71">
            <v>0.20045538230438381</v>
          </cell>
        </row>
        <row r="73">
          <cell r="A73" t="str">
            <v>(a) Awaiting restatement; only sales, pretax income, shares outstanding, and EPS have been restated for Agouron pooling-of-interest transaction</v>
          </cell>
        </row>
        <row r="75">
          <cell r="A75" t="str">
            <v>E = Morgan Stanley Dean Witter Research Estimates             NM = Not Meaningful             A = Actual</v>
          </cell>
        </row>
      </sheetData>
      <sheetData sheetId="5" refreshError="1"/>
      <sheetData sheetId="6" refreshError="1">
        <row r="2">
          <cell r="A2" t="str">
            <v>Table 5</v>
          </cell>
          <cell r="AH2" t="str">
            <v>Table 5</v>
          </cell>
          <cell r="AI2" t="str">
            <v>(continued)</v>
          </cell>
          <cell r="BS2" t="str">
            <v>Table 5</v>
          </cell>
          <cell r="BT2" t="str">
            <v>(continued)</v>
          </cell>
          <cell r="CV2" t="str">
            <v>Table 5</v>
          </cell>
          <cell r="CW2" t="str">
            <v>(continued)</v>
          </cell>
          <cell r="DR2" t="str">
            <v>Table 5</v>
          </cell>
          <cell r="EM2" t="str">
            <v>Table 4 Continued</v>
          </cell>
        </row>
        <row r="3">
          <cell r="A3" t="str">
            <v>Warner Lambert</v>
          </cell>
          <cell r="AH3" t="str">
            <v>Warner Lambert</v>
          </cell>
          <cell r="BS3" t="str">
            <v>Warner Lambert</v>
          </cell>
          <cell r="CV3" t="str">
            <v>Warner Lambert</v>
          </cell>
          <cell r="DR3" t="str">
            <v>Warner Lambert</v>
          </cell>
          <cell r="EM3" t="str">
            <v>Warner Lambert</v>
          </cell>
        </row>
        <row r="4">
          <cell r="A4" t="str">
            <v>Quarterly/Annual Sales Analysis 1998-2005E -- Pharmaceuticals</v>
          </cell>
          <cell r="AH4" t="str">
            <v>Quarterly/Annual Sales Analysis 1998-2005E -- Pharmaceuticals</v>
          </cell>
          <cell r="BS4" t="str">
            <v>Quarterly/Annual Sales Analysis 1998-2005E -- Consumer Health Products</v>
          </cell>
          <cell r="CV4" t="str">
            <v>Quarterly/Annual Sales Analysis 1998-2005E -- Consumer Health Products</v>
          </cell>
          <cell r="DR4" t="str">
            <v>Quarterly/Annual Sales Analysis 1998-2005E -- Confectionery</v>
          </cell>
          <cell r="EM4" t="str">
            <v>Quarterly/Annual Sales Analysis 1998-2005E -- Confectionery</v>
          </cell>
        </row>
        <row r="5">
          <cell r="A5" t="str">
            <v>($ Millions)</v>
          </cell>
          <cell r="C5" t="str">
            <v xml:space="preserve">                                                                                                                                                                      </v>
          </cell>
          <cell r="G5" t="str">
            <v xml:space="preserve">                                                                                                                                                                      </v>
          </cell>
          <cell r="K5" t="str">
            <v xml:space="preserve">                                                                                                                                                                      </v>
          </cell>
          <cell r="AH5" t="str">
            <v>($ Millions)</v>
          </cell>
          <cell r="BS5" t="str">
            <v>($ Millions)</v>
          </cell>
          <cell r="CV5" t="str">
            <v>($ Millions)</v>
          </cell>
          <cell r="DR5" t="str">
            <v>($ Millions)</v>
          </cell>
          <cell r="EM5" t="str">
            <v>($ Millions)</v>
          </cell>
        </row>
        <row r="6">
          <cell r="B6" t="str">
            <v>Lipitor</v>
          </cell>
          <cell r="F6" t="str">
            <v>Rezulin</v>
          </cell>
          <cell r="J6" t="str">
            <v>Accupril</v>
          </cell>
          <cell r="N6" t="str">
            <v>Lopid/Gemfibrozil</v>
          </cell>
          <cell r="R6" t="str">
            <v>Dilantin</v>
          </cell>
          <cell r="V6" t="str">
            <v>Neurontin</v>
          </cell>
          <cell r="Z6" t="str">
            <v>Viracept (Agouron)</v>
          </cell>
          <cell r="AD6" t="str">
            <v>Loestrin</v>
          </cell>
          <cell r="AI6" t="str">
            <v>Ponstel/Ponstan</v>
          </cell>
          <cell r="AM6" t="str">
            <v>Cognex</v>
          </cell>
          <cell r="AQ6" t="str">
            <v>Capsugel</v>
          </cell>
          <cell r="AU6" t="str">
            <v>Alliance Revenues</v>
          </cell>
          <cell r="AY6" t="str">
            <v>Other</v>
          </cell>
          <cell r="BC6" t="str">
            <v>Total Existing Prods.</v>
          </cell>
          <cell r="BG6" t="str">
            <v>Pregabalin</v>
          </cell>
          <cell r="BK6" t="str">
            <v>Other New Pharma Products</v>
          </cell>
          <cell r="BO6" t="str">
            <v>Total Pharmaceuticals</v>
          </cell>
          <cell r="BT6" t="str">
            <v>Shaving Products</v>
          </cell>
          <cell r="BX6" t="str">
            <v>Listerine</v>
          </cell>
          <cell r="CB6" t="str">
            <v>Pet Lines</v>
          </cell>
          <cell r="CF6" t="str">
            <v>Zantac 75</v>
          </cell>
          <cell r="CJ6" t="str">
            <v>Sudafed</v>
          </cell>
          <cell r="CN6" t="str">
            <v>Benadryl</v>
          </cell>
          <cell r="CR6" t="str">
            <v>Rolaids</v>
          </cell>
          <cell r="CX6" t="str">
            <v>Lubriderm/Lubath</v>
          </cell>
          <cell r="DB6" t="str">
            <v>Neosporin</v>
          </cell>
          <cell r="DF6" t="str">
            <v>Actifed</v>
          </cell>
          <cell r="DJ6" t="str">
            <v>Other</v>
          </cell>
          <cell r="DO6" t="str">
            <v>Total Consumer Health</v>
          </cell>
          <cell r="DS6" t="str">
            <v>Halls</v>
          </cell>
          <cell r="DW6" t="str">
            <v>Trident</v>
          </cell>
          <cell r="EA6" t="str">
            <v>Clorets</v>
          </cell>
          <cell r="EE6" t="str">
            <v>Chiclets/Stick Gum</v>
          </cell>
          <cell r="EI6" t="str">
            <v>Certs</v>
          </cell>
          <cell r="EN6" t="str">
            <v>Bubblicious</v>
          </cell>
          <cell r="ER6" t="str">
            <v>Dentyne</v>
          </cell>
          <cell r="EV6" t="str">
            <v>Bubbaloo</v>
          </cell>
          <cell r="EZ6" t="str">
            <v>Other</v>
          </cell>
          <cell r="FD6" t="str">
            <v>Total</v>
          </cell>
          <cell r="FH6" t="str">
            <v>Total Corporate Sales</v>
          </cell>
        </row>
        <row r="7">
          <cell r="B7" t="str">
            <v>U.S.</v>
          </cell>
          <cell r="C7" t="str">
            <v>Intl</v>
          </cell>
          <cell r="D7" t="str">
            <v>W/W</v>
          </cell>
          <cell r="F7" t="str">
            <v>U.S.</v>
          </cell>
          <cell r="G7" t="str">
            <v>Intl</v>
          </cell>
          <cell r="H7" t="str">
            <v>W/W</v>
          </cell>
          <cell r="J7" t="str">
            <v>U.S.</v>
          </cell>
          <cell r="K7" t="str">
            <v>Intl</v>
          </cell>
          <cell r="L7" t="str">
            <v>W/W</v>
          </cell>
          <cell r="N7" t="str">
            <v>U.S.</v>
          </cell>
          <cell r="O7" t="str">
            <v>Intl</v>
          </cell>
          <cell r="P7" t="str">
            <v>W/W</v>
          </cell>
          <cell r="R7" t="str">
            <v>U.S.</v>
          </cell>
          <cell r="S7" t="str">
            <v>Intl</v>
          </cell>
          <cell r="T7" t="str">
            <v>W/W</v>
          </cell>
          <cell r="V7" t="str">
            <v>U.S.</v>
          </cell>
          <cell r="W7" t="str">
            <v>Intl</v>
          </cell>
          <cell r="X7" t="str">
            <v>W/W</v>
          </cell>
          <cell r="Z7" t="str">
            <v>U.S.</v>
          </cell>
          <cell r="AA7" t="str">
            <v>Intl</v>
          </cell>
          <cell r="AB7" t="str">
            <v>W/W</v>
          </cell>
          <cell r="AD7" t="str">
            <v>U.S.</v>
          </cell>
          <cell r="AE7" t="str">
            <v>Intl</v>
          </cell>
          <cell r="AF7" t="str">
            <v>W/W</v>
          </cell>
          <cell r="AI7" t="str">
            <v>U.S.</v>
          </cell>
          <cell r="AJ7" t="str">
            <v>Intl</v>
          </cell>
          <cell r="AK7" t="str">
            <v>W/W</v>
          </cell>
          <cell r="AM7" t="str">
            <v>U.S.</v>
          </cell>
          <cell r="AN7" t="str">
            <v>Intl</v>
          </cell>
          <cell r="AO7" t="str">
            <v>W/W</v>
          </cell>
          <cell r="AQ7" t="str">
            <v>U.S.</v>
          </cell>
          <cell r="AR7" t="str">
            <v>Intl</v>
          </cell>
          <cell r="AS7" t="str">
            <v>W/W</v>
          </cell>
          <cell r="AU7" t="str">
            <v>U.S.</v>
          </cell>
          <cell r="AV7" t="str">
            <v>Intl</v>
          </cell>
          <cell r="AW7" t="str">
            <v>W/W</v>
          </cell>
          <cell r="AY7" t="str">
            <v>U.S.</v>
          </cell>
          <cell r="AZ7" t="str">
            <v>Intl</v>
          </cell>
          <cell r="BA7" t="str">
            <v>W/W</v>
          </cell>
          <cell r="BC7" t="str">
            <v>U.S.</v>
          </cell>
          <cell r="BD7" t="str">
            <v>Intl</v>
          </cell>
          <cell r="BE7" t="str">
            <v>W/W</v>
          </cell>
          <cell r="BG7" t="str">
            <v>U.S.</v>
          </cell>
          <cell r="BH7" t="str">
            <v>Intl</v>
          </cell>
          <cell r="BI7" t="str">
            <v>W/W</v>
          </cell>
          <cell r="BK7" t="str">
            <v>U.S.</v>
          </cell>
          <cell r="BL7" t="str">
            <v>Intl</v>
          </cell>
          <cell r="BM7" t="str">
            <v>W/W</v>
          </cell>
          <cell r="BO7" t="str">
            <v>U.S.</v>
          </cell>
          <cell r="BP7" t="str">
            <v>Intl</v>
          </cell>
          <cell r="BQ7" t="str">
            <v>W/W</v>
          </cell>
          <cell r="BT7" t="str">
            <v>U.S.</v>
          </cell>
          <cell r="BU7" t="str">
            <v>Intl</v>
          </cell>
          <cell r="BV7" t="str">
            <v>W/W</v>
          </cell>
          <cell r="BX7" t="str">
            <v>U.S.</v>
          </cell>
          <cell r="BY7" t="str">
            <v>Intl</v>
          </cell>
          <cell r="BZ7" t="str">
            <v>W/W</v>
          </cell>
          <cell r="CB7" t="str">
            <v>U.S.</v>
          </cell>
          <cell r="CC7" t="str">
            <v>Intl</v>
          </cell>
          <cell r="CD7" t="str">
            <v>W/W</v>
          </cell>
          <cell r="CF7" t="str">
            <v>U.S.</v>
          </cell>
          <cell r="CG7" t="str">
            <v>Intl</v>
          </cell>
          <cell r="CH7" t="str">
            <v>W/W</v>
          </cell>
          <cell r="CJ7" t="str">
            <v>U.S.</v>
          </cell>
          <cell r="CK7" t="str">
            <v>Intl</v>
          </cell>
          <cell r="CL7" t="str">
            <v>W/W</v>
          </cell>
          <cell r="CN7" t="str">
            <v>U.S.</v>
          </cell>
          <cell r="CO7" t="str">
            <v>Intl</v>
          </cell>
          <cell r="CP7" t="str">
            <v>W/W</v>
          </cell>
          <cell r="CR7" t="str">
            <v>U.S.</v>
          </cell>
          <cell r="CS7" t="str">
            <v>Intl</v>
          </cell>
          <cell r="CT7" t="str">
            <v>W/W</v>
          </cell>
          <cell r="CX7" t="str">
            <v>U.S.</v>
          </cell>
          <cell r="CY7" t="str">
            <v>Intl</v>
          </cell>
          <cell r="CZ7" t="str">
            <v>W/W</v>
          </cell>
          <cell r="DB7" t="str">
            <v>U.S.</v>
          </cell>
          <cell r="DC7" t="str">
            <v>Intl</v>
          </cell>
          <cell r="DD7" t="str">
            <v>W/W</v>
          </cell>
          <cell r="DF7" t="str">
            <v>U.S.</v>
          </cell>
          <cell r="DG7" t="str">
            <v>Intl</v>
          </cell>
          <cell r="DH7" t="str">
            <v>W/W</v>
          </cell>
          <cell r="DJ7" t="str">
            <v>U.S.</v>
          </cell>
          <cell r="DK7" t="str">
            <v>Intl</v>
          </cell>
          <cell r="DL7" t="str">
            <v>W/W</v>
          </cell>
          <cell r="DN7" t="str">
            <v>U.S.</v>
          </cell>
          <cell r="DO7" t="str">
            <v>Intl</v>
          </cell>
          <cell r="DP7" t="str">
            <v>W/W</v>
          </cell>
          <cell r="DS7" t="str">
            <v>U.S.</v>
          </cell>
          <cell r="DT7" t="str">
            <v>Intl</v>
          </cell>
          <cell r="DU7" t="str">
            <v>W/W</v>
          </cell>
          <cell r="DW7" t="str">
            <v>U.S.</v>
          </cell>
          <cell r="DX7" t="str">
            <v>Intl</v>
          </cell>
          <cell r="DY7" t="str">
            <v>W/W</v>
          </cell>
          <cell r="EA7" t="str">
            <v>U.S.</v>
          </cell>
          <cell r="EB7" t="str">
            <v>Intl</v>
          </cell>
          <cell r="EC7" t="str">
            <v>W/W</v>
          </cell>
          <cell r="EE7" t="str">
            <v>U.S.</v>
          </cell>
          <cell r="EF7" t="str">
            <v>Intl</v>
          </cell>
          <cell r="EG7" t="str">
            <v>W/W</v>
          </cell>
          <cell r="EI7" t="str">
            <v>U.S.</v>
          </cell>
          <cell r="EJ7" t="str">
            <v>Intl</v>
          </cell>
          <cell r="EK7" t="str">
            <v>W/W</v>
          </cell>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8">
          <cell r="A8">
            <v>1993</v>
          </cell>
          <cell r="BS8">
            <v>1993</v>
          </cell>
          <cell r="DR8">
            <v>1993</v>
          </cell>
        </row>
        <row r="10">
          <cell r="A10" t="str">
            <v xml:space="preserve">1994 </v>
          </cell>
          <cell r="AH10" t="str">
            <v xml:space="preserve">1994 </v>
          </cell>
          <cell r="BS10" t="str">
            <v xml:space="preserve">1994 </v>
          </cell>
          <cell r="CV10" t="str">
            <v xml:space="preserve">1994 </v>
          </cell>
          <cell r="DR10" t="str">
            <v xml:space="preserve">1994 </v>
          </cell>
          <cell r="EM10" t="str">
            <v xml:space="preserve">1994 </v>
          </cell>
        </row>
        <row r="11">
          <cell r="A11" t="str">
            <v xml:space="preserve"> 1Q</v>
          </cell>
          <cell r="B11">
            <v>0</v>
          </cell>
          <cell r="C11">
            <v>0</v>
          </cell>
          <cell r="D11">
            <v>0</v>
          </cell>
          <cell r="F11">
            <v>0</v>
          </cell>
          <cell r="G11">
            <v>0</v>
          </cell>
          <cell r="H11">
            <v>0</v>
          </cell>
          <cell r="J11">
            <v>26.3</v>
          </cell>
          <cell r="K11">
            <v>28.6</v>
          </cell>
          <cell r="L11">
            <v>54.900000000000006</v>
          </cell>
          <cell r="N11">
            <v>52</v>
          </cell>
          <cell r="O11">
            <v>28</v>
          </cell>
          <cell r="P11">
            <v>80</v>
          </cell>
          <cell r="R11">
            <v>39.9</v>
          </cell>
          <cell r="S11">
            <v>7.2</v>
          </cell>
          <cell r="T11">
            <v>47.1</v>
          </cell>
          <cell r="V11">
            <v>9.3000000000000007</v>
          </cell>
          <cell r="W11">
            <v>0.6</v>
          </cell>
          <cell r="X11">
            <v>9.9</v>
          </cell>
          <cell r="AD11">
            <v>20</v>
          </cell>
          <cell r="AE11">
            <v>1</v>
          </cell>
          <cell r="AF11">
            <v>21</v>
          </cell>
          <cell r="AH11" t="str">
            <v xml:space="preserve"> 1Q</v>
          </cell>
          <cell r="AI11">
            <v>0</v>
          </cell>
          <cell r="AJ11">
            <v>27</v>
          </cell>
          <cell r="AK11">
            <v>27</v>
          </cell>
          <cell r="AM11">
            <v>10.199999999999999</v>
          </cell>
          <cell r="AN11">
            <v>0.1</v>
          </cell>
          <cell r="AO11">
            <v>10.299999999999999</v>
          </cell>
          <cell r="AQ11">
            <v>23</v>
          </cell>
          <cell r="AR11">
            <v>38</v>
          </cell>
          <cell r="AS11">
            <v>61</v>
          </cell>
          <cell r="AU11">
            <v>23</v>
          </cell>
          <cell r="AV11">
            <v>38</v>
          </cell>
          <cell r="AW11">
            <v>61</v>
          </cell>
          <cell r="AY11">
            <v>61.999999999999972</v>
          </cell>
          <cell r="AZ11">
            <v>133.70000000000002</v>
          </cell>
          <cell r="BA11">
            <v>195.7</v>
          </cell>
          <cell r="BC11">
            <v>242.7</v>
          </cell>
          <cell r="BD11">
            <v>264.2</v>
          </cell>
          <cell r="BE11">
            <v>506.9</v>
          </cell>
          <cell r="BG11">
            <v>9.3000000000000007</v>
          </cell>
          <cell r="BH11">
            <v>0.6</v>
          </cell>
          <cell r="BI11">
            <v>9.9</v>
          </cell>
          <cell r="BK11">
            <v>0</v>
          </cell>
          <cell r="BL11">
            <v>0</v>
          </cell>
          <cell r="BM11">
            <v>0</v>
          </cell>
          <cell r="BO11">
            <v>242.7</v>
          </cell>
          <cell r="BP11">
            <v>264.2</v>
          </cell>
          <cell r="BQ11">
            <v>506.9</v>
          </cell>
          <cell r="BS11" t="str">
            <v xml:space="preserve"> 1Q</v>
          </cell>
          <cell r="BT11">
            <v>24.9</v>
          </cell>
          <cell r="BU11">
            <v>110.9</v>
          </cell>
          <cell r="BV11">
            <v>135.80000000000001</v>
          </cell>
          <cell r="BX11">
            <v>63.1</v>
          </cell>
          <cell r="BY11">
            <v>16.3</v>
          </cell>
          <cell r="BZ11">
            <v>79.400000000000006</v>
          </cell>
          <cell r="CB11">
            <v>19</v>
          </cell>
          <cell r="CC11">
            <v>37</v>
          </cell>
          <cell r="CD11">
            <v>56</v>
          </cell>
          <cell r="CJ11">
            <v>26</v>
          </cell>
          <cell r="CK11">
            <v>0</v>
          </cell>
          <cell r="CL11">
            <v>26</v>
          </cell>
          <cell r="CN11">
            <v>23.4</v>
          </cell>
          <cell r="CO11">
            <v>1.7</v>
          </cell>
          <cell r="CP11">
            <v>25.099999999999998</v>
          </cell>
          <cell r="CR11">
            <v>25</v>
          </cell>
          <cell r="CS11">
            <v>2</v>
          </cell>
          <cell r="CT11">
            <v>27</v>
          </cell>
          <cell r="CV11" t="str">
            <v xml:space="preserve"> 1Q</v>
          </cell>
          <cell r="CX11">
            <v>20</v>
          </cell>
          <cell r="CY11">
            <v>0</v>
          </cell>
          <cell r="CZ11">
            <v>20</v>
          </cell>
          <cell r="DB11">
            <v>14</v>
          </cell>
          <cell r="DC11">
            <v>0</v>
          </cell>
          <cell r="DD11">
            <v>14</v>
          </cell>
          <cell r="DF11">
            <v>9</v>
          </cell>
          <cell r="DG11">
            <v>0</v>
          </cell>
          <cell r="DH11">
            <v>9</v>
          </cell>
          <cell r="DJ11">
            <v>61.899999999999977</v>
          </cell>
          <cell r="DK11">
            <v>101.89999999999993</v>
          </cell>
          <cell r="DL11">
            <v>163.7999999999999</v>
          </cell>
          <cell r="DN11">
            <v>286.29999999999995</v>
          </cell>
          <cell r="DO11">
            <v>269.79999999999995</v>
          </cell>
          <cell r="DP11">
            <v>556.09999999999991</v>
          </cell>
          <cell r="DR11" t="str">
            <v xml:space="preserve"> 1Q</v>
          </cell>
          <cell r="DS11">
            <v>20.6</v>
          </cell>
          <cell r="DT11">
            <v>77.099999999999994</v>
          </cell>
          <cell r="DU11">
            <v>97.699999999999989</v>
          </cell>
          <cell r="DW11">
            <v>33</v>
          </cell>
          <cell r="DX11">
            <v>39</v>
          </cell>
          <cell r="DY11">
            <v>72</v>
          </cell>
          <cell r="EA11">
            <v>5.2</v>
          </cell>
          <cell r="EB11">
            <v>45.6</v>
          </cell>
          <cell r="EC11">
            <v>50.800000000000004</v>
          </cell>
          <cell r="EE11">
            <v>3</v>
          </cell>
          <cell r="EF11">
            <v>36</v>
          </cell>
          <cell r="EG11">
            <v>39</v>
          </cell>
          <cell r="EI11">
            <v>25.9</v>
          </cell>
          <cell r="EJ11">
            <v>3.4</v>
          </cell>
          <cell r="EK11">
            <v>29.299999999999997</v>
          </cell>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A12" t="str">
            <v xml:space="preserve"> 2Q</v>
          </cell>
          <cell r="B12">
            <v>0</v>
          </cell>
          <cell r="C12">
            <v>0</v>
          </cell>
          <cell r="D12">
            <v>0</v>
          </cell>
          <cell r="F12">
            <v>0</v>
          </cell>
          <cell r="G12">
            <v>0</v>
          </cell>
          <cell r="H12">
            <v>0</v>
          </cell>
          <cell r="J12">
            <v>28.5</v>
          </cell>
          <cell r="K12">
            <v>31</v>
          </cell>
          <cell r="L12">
            <v>59.5</v>
          </cell>
          <cell r="N12">
            <v>51</v>
          </cell>
          <cell r="O12">
            <v>28</v>
          </cell>
          <cell r="P12">
            <v>79</v>
          </cell>
          <cell r="R12">
            <v>39.700000000000003</v>
          </cell>
          <cell r="S12">
            <v>8.3000000000000007</v>
          </cell>
          <cell r="T12">
            <v>48</v>
          </cell>
          <cell r="V12">
            <v>3</v>
          </cell>
          <cell r="W12">
            <v>1.1000000000000001</v>
          </cell>
          <cell r="X12">
            <v>4.0999999999999996</v>
          </cell>
          <cell r="AD12">
            <v>15</v>
          </cell>
          <cell r="AE12">
            <v>1</v>
          </cell>
          <cell r="AF12">
            <v>16</v>
          </cell>
          <cell r="AH12" t="str">
            <v xml:space="preserve"> 2Q</v>
          </cell>
          <cell r="AI12">
            <v>0</v>
          </cell>
          <cell r="AJ12">
            <v>30</v>
          </cell>
          <cell r="AK12">
            <v>30</v>
          </cell>
          <cell r="AM12">
            <v>17</v>
          </cell>
          <cell r="AN12">
            <v>0</v>
          </cell>
          <cell r="AO12">
            <v>17</v>
          </cell>
          <cell r="AQ12">
            <v>26</v>
          </cell>
          <cell r="AR12">
            <v>44</v>
          </cell>
          <cell r="AS12">
            <v>70</v>
          </cell>
          <cell r="AU12">
            <v>26</v>
          </cell>
          <cell r="AV12">
            <v>44</v>
          </cell>
          <cell r="AW12">
            <v>70</v>
          </cell>
          <cell r="AY12">
            <v>66.600000000000009</v>
          </cell>
          <cell r="AZ12">
            <v>123.70000000000002</v>
          </cell>
          <cell r="BA12">
            <v>190.3</v>
          </cell>
          <cell r="BC12">
            <v>246.8</v>
          </cell>
          <cell r="BD12">
            <v>267.10000000000002</v>
          </cell>
          <cell r="BE12">
            <v>513.90000000000009</v>
          </cell>
          <cell r="BG12">
            <v>3</v>
          </cell>
          <cell r="BH12">
            <v>1.1000000000000001</v>
          </cell>
          <cell r="BI12">
            <v>4.0999999999999996</v>
          </cell>
          <cell r="BK12">
            <v>0</v>
          </cell>
          <cell r="BL12">
            <v>0</v>
          </cell>
          <cell r="BM12">
            <v>0</v>
          </cell>
          <cell r="BO12">
            <v>246.8</v>
          </cell>
          <cell r="BP12">
            <v>267.10000000000002</v>
          </cell>
          <cell r="BQ12">
            <v>513.90000000000009</v>
          </cell>
          <cell r="BS12" t="str">
            <v xml:space="preserve"> 2Q</v>
          </cell>
          <cell r="BT12">
            <v>44.2</v>
          </cell>
          <cell r="BU12">
            <v>110.4</v>
          </cell>
          <cell r="BV12">
            <v>154.60000000000002</v>
          </cell>
          <cell r="BX12">
            <v>65.2</v>
          </cell>
          <cell r="BY12">
            <v>19.7</v>
          </cell>
          <cell r="BZ12">
            <v>84.9</v>
          </cell>
          <cell r="CB12">
            <v>22</v>
          </cell>
          <cell r="CC12">
            <v>36</v>
          </cell>
          <cell r="CD12">
            <v>58</v>
          </cell>
          <cell r="CJ12">
            <v>17</v>
          </cell>
          <cell r="CK12">
            <v>2</v>
          </cell>
          <cell r="CL12">
            <v>19</v>
          </cell>
          <cell r="CN12">
            <v>34.1</v>
          </cell>
          <cell r="CO12">
            <v>2.7</v>
          </cell>
          <cell r="CP12">
            <v>36.800000000000004</v>
          </cell>
          <cell r="CR12">
            <v>24</v>
          </cell>
          <cell r="CS12">
            <v>2</v>
          </cell>
          <cell r="CT12">
            <v>26</v>
          </cell>
          <cell r="CV12" t="str">
            <v xml:space="preserve"> 2Q</v>
          </cell>
          <cell r="CX12">
            <v>20</v>
          </cell>
          <cell r="CY12">
            <v>0</v>
          </cell>
          <cell r="CZ12">
            <v>20</v>
          </cell>
          <cell r="DB12">
            <v>18</v>
          </cell>
          <cell r="DC12">
            <v>0</v>
          </cell>
          <cell r="DD12">
            <v>18</v>
          </cell>
          <cell r="DF12">
            <v>7</v>
          </cell>
          <cell r="DG12">
            <v>1</v>
          </cell>
          <cell r="DH12">
            <v>8</v>
          </cell>
          <cell r="DJ12">
            <v>74.299999999999983</v>
          </cell>
          <cell r="DK12">
            <v>101.59999999999998</v>
          </cell>
          <cell r="DL12">
            <v>175.89999999999998</v>
          </cell>
          <cell r="DN12">
            <v>325.79999999999995</v>
          </cell>
          <cell r="DO12">
            <v>275.39999999999998</v>
          </cell>
          <cell r="DP12">
            <v>601.19999999999993</v>
          </cell>
          <cell r="DR12" t="str">
            <v xml:space="preserve"> 2Q</v>
          </cell>
          <cell r="DS12">
            <v>18.600000000000001</v>
          </cell>
          <cell r="DT12">
            <v>62.1</v>
          </cell>
          <cell r="DU12">
            <v>80.7</v>
          </cell>
          <cell r="DW12">
            <v>46.7</v>
          </cell>
          <cell r="DX12">
            <v>47.7</v>
          </cell>
          <cell r="DY12">
            <v>94.4</v>
          </cell>
          <cell r="EA12">
            <v>5.7</v>
          </cell>
          <cell r="EB12">
            <v>52.2</v>
          </cell>
          <cell r="EC12">
            <v>57.900000000000006</v>
          </cell>
          <cell r="EE12">
            <v>4</v>
          </cell>
          <cell r="EF12">
            <v>40</v>
          </cell>
          <cell r="EG12">
            <v>44</v>
          </cell>
          <cell r="EI12">
            <v>26.2</v>
          </cell>
          <cell r="EJ12">
            <v>4.3</v>
          </cell>
          <cell r="EK12">
            <v>30.5</v>
          </cell>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A13" t="str">
            <v xml:space="preserve"> 3Q</v>
          </cell>
          <cell r="B13">
            <v>0</v>
          </cell>
          <cell r="C13">
            <v>0</v>
          </cell>
          <cell r="D13">
            <v>0</v>
          </cell>
          <cell r="F13">
            <v>0</v>
          </cell>
          <cell r="G13">
            <v>0</v>
          </cell>
          <cell r="H13">
            <v>0</v>
          </cell>
          <cell r="J13">
            <v>29.8</v>
          </cell>
          <cell r="K13">
            <v>32</v>
          </cell>
          <cell r="L13">
            <v>61.8</v>
          </cell>
          <cell r="N13">
            <v>54</v>
          </cell>
          <cell r="O13">
            <v>28</v>
          </cell>
          <cell r="P13">
            <v>82</v>
          </cell>
          <cell r="R13">
            <v>52.1</v>
          </cell>
          <cell r="S13">
            <v>8.4</v>
          </cell>
          <cell r="T13">
            <v>60.5</v>
          </cell>
          <cell r="V13">
            <v>8.9</v>
          </cell>
          <cell r="W13">
            <v>1.2</v>
          </cell>
          <cell r="X13">
            <v>10.1</v>
          </cell>
          <cell r="AD13">
            <v>20</v>
          </cell>
          <cell r="AE13">
            <v>1</v>
          </cell>
          <cell r="AF13">
            <v>21</v>
          </cell>
          <cell r="AH13" t="str">
            <v xml:space="preserve"> 3Q</v>
          </cell>
          <cell r="AI13">
            <v>0</v>
          </cell>
          <cell r="AJ13">
            <v>27</v>
          </cell>
          <cell r="AK13">
            <v>27</v>
          </cell>
          <cell r="AM13">
            <v>14.2</v>
          </cell>
          <cell r="AN13">
            <v>0.1</v>
          </cell>
          <cell r="AO13">
            <v>14.299999999999999</v>
          </cell>
          <cell r="AQ13">
            <v>24</v>
          </cell>
          <cell r="AR13">
            <v>39</v>
          </cell>
          <cell r="AS13">
            <v>63</v>
          </cell>
          <cell r="AU13">
            <v>24</v>
          </cell>
          <cell r="AV13">
            <v>39</v>
          </cell>
          <cell r="AW13">
            <v>63</v>
          </cell>
          <cell r="AY13">
            <v>71.3</v>
          </cell>
          <cell r="AZ13">
            <v>125.10000000000002</v>
          </cell>
          <cell r="BA13">
            <v>196.40000000000003</v>
          </cell>
          <cell r="BC13">
            <v>274.3</v>
          </cell>
          <cell r="BD13">
            <v>261.8</v>
          </cell>
          <cell r="BE13">
            <v>536.1</v>
          </cell>
          <cell r="BG13">
            <v>8.9</v>
          </cell>
          <cell r="BH13">
            <v>1.2</v>
          </cell>
          <cell r="BI13">
            <v>10.1</v>
          </cell>
          <cell r="BK13">
            <v>0</v>
          </cell>
          <cell r="BL13">
            <v>0</v>
          </cell>
          <cell r="BM13">
            <v>0</v>
          </cell>
          <cell r="BO13">
            <v>274.3</v>
          </cell>
          <cell r="BP13">
            <v>261.8</v>
          </cell>
          <cell r="BQ13">
            <v>536.1</v>
          </cell>
          <cell r="BS13" t="str">
            <v xml:space="preserve"> 3Q</v>
          </cell>
          <cell r="BT13">
            <v>38.799999999999997</v>
          </cell>
          <cell r="BU13">
            <v>121.9</v>
          </cell>
          <cell r="BV13">
            <v>160.69999999999999</v>
          </cell>
          <cell r="BX13">
            <v>85</v>
          </cell>
          <cell r="BY13">
            <v>18.3</v>
          </cell>
          <cell r="BZ13">
            <v>103.3</v>
          </cell>
          <cell r="CB13">
            <v>20</v>
          </cell>
          <cell r="CC13">
            <v>31</v>
          </cell>
          <cell r="CD13">
            <v>51</v>
          </cell>
          <cell r="CJ13">
            <v>29</v>
          </cell>
          <cell r="CK13">
            <v>4</v>
          </cell>
          <cell r="CL13">
            <v>33</v>
          </cell>
          <cell r="CN13">
            <v>41.6</v>
          </cell>
          <cell r="CO13">
            <v>2.4</v>
          </cell>
          <cell r="CP13">
            <v>44</v>
          </cell>
          <cell r="CR13">
            <v>24</v>
          </cell>
          <cell r="CS13">
            <v>2</v>
          </cell>
          <cell r="CT13">
            <v>26</v>
          </cell>
          <cell r="CV13" t="str">
            <v xml:space="preserve"> 3Q</v>
          </cell>
          <cell r="CX13">
            <v>24</v>
          </cell>
          <cell r="CY13">
            <v>0</v>
          </cell>
          <cell r="CZ13">
            <v>24</v>
          </cell>
          <cell r="DB13">
            <v>17</v>
          </cell>
          <cell r="DC13">
            <v>1</v>
          </cell>
          <cell r="DD13">
            <v>18</v>
          </cell>
          <cell r="DF13">
            <v>12</v>
          </cell>
          <cell r="DG13">
            <v>4</v>
          </cell>
          <cell r="DH13">
            <v>16</v>
          </cell>
          <cell r="DJ13">
            <v>77.200000000000017</v>
          </cell>
          <cell r="DK13">
            <v>128.69999999999999</v>
          </cell>
          <cell r="DL13">
            <v>205.9</v>
          </cell>
          <cell r="DN13">
            <v>368.6</v>
          </cell>
          <cell r="DO13">
            <v>313.3</v>
          </cell>
          <cell r="DP13">
            <v>681.90000000000009</v>
          </cell>
          <cell r="DR13" t="str">
            <v xml:space="preserve"> 3Q</v>
          </cell>
          <cell r="DS13">
            <v>64.099999999999994</v>
          </cell>
          <cell r="DT13">
            <v>57.2</v>
          </cell>
          <cell r="DU13">
            <v>121.3</v>
          </cell>
          <cell r="DW13">
            <v>31.8</v>
          </cell>
          <cell r="DX13">
            <v>42</v>
          </cell>
          <cell r="DY13">
            <v>73.8</v>
          </cell>
          <cell r="EA13">
            <v>5.4</v>
          </cell>
          <cell r="EB13">
            <v>49</v>
          </cell>
          <cell r="EC13">
            <v>54.4</v>
          </cell>
          <cell r="EE13">
            <v>6</v>
          </cell>
          <cell r="EF13">
            <v>38</v>
          </cell>
          <cell r="EG13">
            <v>44</v>
          </cell>
          <cell r="EI13">
            <v>23</v>
          </cell>
          <cell r="EJ13">
            <v>3.9</v>
          </cell>
          <cell r="EK13">
            <v>26.9</v>
          </cell>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A14" t="str">
            <v xml:space="preserve"> 4Q</v>
          </cell>
          <cell r="B14">
            <v>0</v>
          </cell>
          <cell r="C14">
            <v>0</v>
          </cell>
          <cell r="D14">
            <v>0</v>
          </cell>
          <cell r="F14">
            <v>0</v>
          </cell>
          <cell r="G14">
            <v>0</v>
          </cell>
          <cell r="H14">
            <v>0</v>
          </cell>
          <cell r="J14">
            <v>18.899999999999999</v>
          </cell>
          <cell r="K14">
            <v>33.299999999999997</v>
          </cell>
          <cell r="L14">
            <v>52.199999999999996</v>
          </cell>
          <cell r="N14">
            <v>35</v>
          </cell>
          <cell r="O14">
            <v>33</v>
          </cell>
          <cell r="P14">
            <v>68</v>
          </cell>
          <cell r="R14">
            <v>59</v>
          </cell>
          <cell r="S14">
            <v>8.9</v>
          </cell>
          <cell r="T14">
            <v>67.900000000000006</v>
          </cell>
          <cell r="V14">
            <v>15.4</v>
          </cell>
          <cell r="W14">
            <v>5.8</v>
          </cell>
          <cell r="X14">
            <v>21.2</v>
          </cell>
          <cell r="AD14">
            <v>15</v>
          </cell>
          <cell r="AE14">
            <v>2</v>
          </cell>
          <cell r="AF14">
            <v>17</v>
          </cell>
          <cell r="AH14" t="str">
            <v xml:space="preserve"> 4Q</v>
          </cell>
          <cell r="AI14">
            <v>0</v>
          </cell>
          <cell r="AJ14">
            <v>28</v>
          </cell>
          <cell r="AK14">
            <v>28</v>
          </cell>
          <cell r="AM14">
            <v>9</v>
          </cell>
          <cell r="AN14">
            <v>0.7</v>
          </cell>
          <cell r="AO14">
            <v>9.6999999999999993</v>
          </cell>
          <cell r="AQ14">
            <v>23</v>
          </cell>
          <cell r="AR14">
            <v>45</v>
          </cell>
          <cell r="AS14">
            <v>68</v>
          </cell>
          <cell r="AU14">
            <v>23</v>
          </cell>
          <cell r="AV14">
            <v>45</v>
          </cell>
          <cell r="AW14">
            <v>68</v>
          </cell>
          <cell r="AY14">
            <v>69.699999999999989</v>
          </cell>
          <cell r="AZ14">
            <v>120.1</v>
          </cell>
          <cell r="BA14">
            <v>189.79999999999998</v>
          </cell>
          <cell r="BC14">
            <v>245</v>
          </cell>
          <cell r="BD14">
            <v>276.8</v>
          </cell>
          <cell r="BE14">
            <v>521.79999999999995</v>
          </cell>
          <cell r="BG14">
            <v>15.4</v>
          </cell>
          <cell r="BH14">
            <v>5.8</v>
          </cell>
          <cell r="BI14">
            <v>21.2</v>
          </cell>
          <cell r="BK14">
            <v>0</v>
          </cell>
          <cell r="BL14">
            <v>0</v>
          </cell>
          <cell r="BM14">
            <v>0</v>
          </cell>
          <cell r="BO14">
            <v>245</v>
          </cell>
          <cell r="BP14">
            <v>276.8</v>
          </cell>
          <cell r="BQ14">
            <v>521.79999999999995</v>
          </cell>
          <cell r="BS14" t="str">
            <v xml:space="preserve"> 4Q</v>
          </cell>
          <cell r="BT14">
            <v>31.8</v>
          </cell>
          <cell r="BU14">
            <v>129.30000000000001</v>
          </cell>
          <cell r="BV14">
            <v>161.10000000000002</v>
          </cell>
          <cell r="BX14">
            <v>69.3</v>
          </cell>
          <cell r="BY14">
            <v>20.8</v>
          </cell>
          <cell r="BZ14">
            <v>90.1</v>
          </cell>
          <cell r="CB14">
            <v>23</v>
          </cell>
          <cell r="CC14">
            <v>31</v>
          </cell>
          <cell r="CD14">
            <v>54</v>
          </cell>
          <cell r="CJ14">
            <v>35</v>
          </cell>
          <cell r="CK14">
            <v>7</v>
          </cell>
          <cell r="CL14">
            <v>42</v>
          </cell>
          <cell r="CN14">
            <v>24.1</v>
          </cell>
          <cell r="CO14">
            <v>2.9</v>
          </cell>
          <cell r="CP14">
            <v>27</v>
          </cell>
          <cell r="CR14">
            <v>26</v>
          </cell>
          <cell r="CS14">
            <v>4</v>
          </cell>
          <cell r="CT14">
            <v>30</v>
          </cell>
          <cell r="CV14" t="str">
            <v xml:space="preserve"> 4Q</v>
          </cell>
          <cell r="CX14">
            <v>27</v>
          </cell>
          <cell r="CY14">
            <v>0</v>
          </cell>
          <cell r="CZ14">
            <v>27</v>
          </cell>
          <cell r="DB14">
            <v>10</v>
          </cell>
          <cell r="DC14">
            <v>1</v>
          </cell>
          <cell r="DD14">
            <v>11</v>
          </cell>
          <cell r="DF14">
            <v>9</v>
          </cell>
          <cell r="DG14">
            <v>8</v>
          </cell>
          <cell r="DH14">
            <v>17</v>
          </cell>
          <cell r="DJ14">
            <v>72.899999999999949</v>
          </cell>
          <cell r="DK14">
            <v>155.49999999999997</v>
          </cell>
          <cell r="DL14">
            <v>228.39999999999992</v>
          </cell>
          <cell r="DN14">
            <v>328.09999999999997</v>
          </cell>
          <cell r="DO14">
            <v>359.5</v>
          </cell>
          <cell r="DP14">
            <v>687.59999999999991</v>
          </cell>
          <cell r="DR14" t="str">
            <v xml:space="preserve"> 4Q</v>
          </cell>
          <cell r="DS14">
            <v>54.3</v>
          </cell>
          <cell r="DT14">
            <v>88.8</v>
          </cell>
          <cell r="DU14">
            <v>143.1</v>
          </cell>
          <cell r="DW14">
            <v>37.4</v>
          </cell>
          <cell r="DX14">
            <v>47.8</v>
          </cell>
          <cell r="DY14">
            <v>85.199999999999989</v>
          </cell>
          <cell r="EA14">
            <v>5.9</v>
          </cell>
          <cell r="EB14">
            <v>56.1</v>
          </cell>
          <cell r="EC14">
            <v>62</v>
          </cell>
          <cell r="EE14">
            <v>4</v>
          </cell>
          <cell r="EF14">
            <v>44</v>
          </cell>
          <cell r="EG14">
            <v>48</v>
          </cell>
          <cell r="EI14">
            <v>27.9</v>
          </cell>
          <cell r="EJ14">
            <v>4.2</v>
          </cell>
          <cell r="EK14">
            <v>32.1</v>
          </cell>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A16" t="str">
            <v>1994</v>
          </cell>
          <cell r="B16">
            <v>0</v>
          </cell>
          <cell r="C16">
            <v>0</v>
          </cell>
          <cell r="D16">
            <v>0</v>
          </cell>
          <cell r="F16">
            <v>0</v>
          </cell>
          <cell r="G16">
            <v>0</v>
          </cell>
          <cell r="H16">
            <v>0</v>
          </cell>
          <cell r="J16">
            <v>103.5</v>
          </cell>
          <cell r="K16">
            <v>124.89999999999999</v>
          </cell>
          <cell r="L16">
            <v>228.39999999999998</v>
          </cell>
          <cell r="N16">
            <v>192</v>
          </cell>
          <cell r="O16">
            <v>117</v>
          </cell>
          <cell r="P16">
            <v>309</v>
          </cell>
          <cell r="R16">
            <v>190.7</v>
          </cell>
          <cell r="S16">
            <v>32.799999999999997</v>
          </cell>
          <cell r="T16">
            <v>223.5</v>
          </cell>
          <cell r="V16">
            <v>36.6</v>
          </cell>
          <cell r="W16">
            <v>8.6999999999999993</v>
          </cell>
          <cell r="X16">
            <v>45.3</v>
          </cell>
          <cell r="AD16">
            <v>70</v>
          </cell>
          <cell r="AE16">
            <v>5</v>
          </cell>
          <cell r="AF16">
            <v>75</v>
          </cell>
          <cell r="AH16" t="str">
            <v>1994</v>
          </cell>
          <cell r="AI16">
            <v>0</v>
          </cell>
          <cell r="AJ16">
            <v>112</v>
          </cell>
          <cell r="AK16">
            <v>112</v>
          </cell>
          <cell r="AM16">
            <v>50.4</v>
          </cell>
          <cell r="AN16">
            <v>0.89999999999999991</v>
          </cell>
          <cell r="AO16">
            <v>51.3</v>
          </cell>
          <cell r="AQ16">
            <v>96</v>
          </cell>
          <cell r="AR16">
            <v>166</v>
          </cell>
          <cell r="AS16">
            <v>262</v>
          </cell>
          <cell r="AU16">
            <v>96</v>
          </cell>
          <cell r="AV16">
            <v>166</v>
          </cell>
          <cell r="AW16">
            <v>262</v>
          </cell>
          <cell r="AY16">
            <v>269.59999999999997</v>
          </cell>
          <cell r="AZ16">
            <v>502.6</v>
          </cell>
          <cell r="BA16">
            <v>772.2</v>
          </cell>
          <cell r="BC16">
            <v>1008.8</v>
          </cell>
          <cell r="BD16">
            <v>1069.8999999999999</v>
          </cell>
          <cell r="BE16">
            <v>2078.6999999999998</v>
          </cell>
          <cell r="BG16">
            <v>36.6</v>
          </cell>
          <cell r="BH16">
            <v>8.6999999999999993</v>
          </cell>
          <cell r="BI16">
            <v>45.3</v>
          </cell>
          <cell r="BK16">
            <v>0</v>
          </cell>
          <cell r="BL16">
            <v>0</v>
          </cell>
          <cell r="BM16">
            <v>0</v>
          </cell>
          <cell r="BO16">
            <v>1008.8</v>
          </cell>
          <cell r="BP16">
            <v>1069.8999999999999</v>
          </cell>
          <cell r="BQ16">
            <v>2078.6999999999998</v>
          </cell>
          <cell r="BS16" t="str">
            <v>1994</v>
          </cell>
          <cell r="BT16">
            <v>139.69999999999999</v>
          </cell>
          <cell r="BU16">
            <v>472.50000000000006</v>
          </cell>
          <cell r="BV16">
            <v>612.20000000000005</v>
          </cell>
          <cell r="BX16">
            <v>282.60000000000002</v>
          </cell>
          <cell r="BY16">
            <v>75.099999999999994</v>
          </cell>
          <cell r="BZ16">
            <v>357.70000000000005</v>
          </cell>
          <cell r="CB16">
            <v>84</v>
          </cell>
          <cell r="CC16">
            <v>135</v>
          </cell>
          <cell r="CD16">
            <v>219</v>
          </cell>
          <cell r="CJ16">
            <v>107</v>
          </cell>
          <cell r="CK16">
            <v>13</v>
          </cell>
          <cell r="CL16">
            <v>120</v>
          </cell>
          <cell r="CN16">
            <v>123.19999999999999</v>
          </cell>
          <cell r="CO16">
            <v>9.7000000000000011</v>
          </cell>
          <cell r="CP16">
            <v>132.9</v>
          </cell>
          <cell r="CR16">
            <v>99</v>
          </cell>
          <cell r="CS16">
            <v>10</v>
          </cell>
          <cell r="CT16">
            <v>109</v>
          </cell>
          <cell r="CV16" t="str">
            <v>1994</v>
          </cell>
          <cell r="CX16">
            <v>91</v>
          </cell>
          <cell r="CY16">
            <v>0</v>
          </cell>
          <cell r="CZ16">
            <v>91</v>
          </cell>
          <cell r="DB16">
            <v>59</v>
          </cell>
          <cell r="DC16">
            <v>2</v>
          </cell>
          <cell r="DD16">
            <v>61</v>
          </cell>
          <cell r="DF16">
            <v>37</v>
          </cell>
          <cell r="DG16">
            <v>13</v>
          </cell>
          <cell r="DH16">
            <v>50</v>
          </cell>
          <cell r="DJ16">
            <v>286.29999999999995</v>
          </cell>
          <cell r="DK16">
            <v>487.69999999999993</v>
          </cell>
          <cell r="DL16">
            <v>773.99999999999977</v>
          </cell>
          <cell r="DN16">
            <v>1308.8</v>
          </cell>
          <cell r="DO16">
            <v>1218</v>
          </cell>
          <cell r="DP16">
            <v>2526.7999999999997</v>
          </cell>
          <cell r="DR16" t="str">
            <v>1994</v>
          </cell>
          <cell r="DS16">
            <v>157.6</v>
          </cell>
          <cell r="DT16">
            <v>285.2</v>
          </cell>
          <cell r="DU16">
            <v>442.79999999999995</v>
          </cell>
          <cell r="DW16">
            <v>148.9</v>
          </cell>
          <cell r="DX16">
            <v>176.5</v>
          </cell>
          <cell r="DY16">
            <v>325.39999999999998</v>
          </cell>
          <cell r="EA16">
            <v>22.200000000000003</v>
          </cell>
          <cell r="EB16">
            <v>202.9</v>
          </cell>
          <cell r="EC16">
            <v>225.10000000000002</v>
          </cell>
          <cell r="EE16">
            <v>17</v>
          </cell>
          <cell r="EF16">
            <v>158</v>
          </cell>
          <cell r="EG16">
            <v>175</v>
          </cell>
          <cell r="EI16">
            <v>103</v>
          </cell>
          <cell r="EJ16">
            <v>15.8</v>
          </cell>
          <cell r="EK16">
            <v>118.79999999999998</v>
          </cell>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A18" t="str">
            <v>1995/94 % Change</v>
          </cell>
          <cell r="AH18" t="str">
            <v>1995/94 % Change</v>
          </cell>
          <cell r="BS18" t="str">
            <v>1995/94 % Change</v>
          </cell>
          <cell r="CV18" t="str">
            <v>1995/94 % Change</v>
          </cell>
          <cell r="DR18" t="str">
            <v>1995/94 % Change</v>
          </cell>
          <cell r="EM18" t="str">
            <v>1995/94 % Change</v>
          </cell>
        </row>
        <row r="19">
          <cell r="A19" t="str">
            <v xml:space="preserve"> 1Q</v>
          </cell>
          <cell r="B19" t="str">
            <v>NM</v>
          </cell>
          <cell r="C19" t="str">
            <v>NM</v>
          </cell>
          <cell r="D19" t="str">
            <v>NM</v>
          </cell>
          <cell r="F19" t="str">
            <v>NM</v>
          </cell>
          <cell r="G19" t="str">
            <v>NM</v>
          </cell>
          <cell r="H19" t="str">
            <v>NM</v>
          </cell>
          <cell r="J19">
            <v>0.55513307984790861</v>
          </cell>
          <cell r="K19">
            <v>0.2972027972027973</v>
          </cell>
          <cell r="L19">
            <v>0.42076502732240417</v>
          </cell>
          <cell r="N19">
            <v>-0.23076923076923073</v>
          </cell>
          <cell r="O19">
            <v>7.1428571428571397E-2</v>
          </cell>
          <cell r="P19">
            <v>-0.125</v>
          </cell>
          <cell r="R19">
            <v>0.37092731829573955</v>
          </cell>
          <cell r="S19">
            <v>8.3333333333333259E-2</v>
          </cell>
          <cell r="T19">
            <v>0.3269639065817409</v>
          </cell>
          <cell r="V19">
            <v>1.075268817204301</v>
          </cell>
          <cell r="W19">
            <v>2.1666666666666665</v>
          </cell>
          <cell r="X19">
            <v>1.1414141414141414</v>
          </cell>
          <cell r="AD19">
            <v>0.31000000000000005</v>
          </cell>
          <cell r="AE19">
            <v>0.10000000000000009</v>
          </cell>
          <cell r="AF19">
            <v>0.30000000000000004</v>
          </cell>
          <cell r="AH19" t="str">
            <v xml:space="preserve"> 1Q</v>
          </cell>
          <cell r="AI19" t="str">
            <v>NM</v>
          </cell>
          <cell r="AJ19">
            <v>0.18518518518518512</v>
          </cell>
          <cell r="AK19">
            <v>0.18518518518518512</v>
          </cell>
          <cell r="AM19">
            <v>0.50000000000000022</v>
          </cell>
          <cell r="AN19" t="str">
            <v>NM</v>
          </cell>
          <cell r="AO19">
            <v>0.6407766990291266</v>
          </cell>
          <cell r="AQ19">
            <v>8.6956521739130377E-2</v>
          </cell>
          <cell r="AR19">
            <v>0.28947368421052633</v>
          </cell>
          <cell r="AS19">
            <v>0.21311475409836067</v>
          </cell>
          <cell r="AU19">
            <v>8.6956521739130377E-2</v>
          </cell>
          <cell r="AV19">
            <v>0.28947368421052633</v>
          </cell>
          <cell r="AW19">
            <v>0.21311475409836067</v>
          </cell>
          <cell r="AY19">
            <v>-9.8387096774193328E-2</v>
          </cell>
          <cell r="AZ19">
            <v>8.3769633507852825E-2</v>
          </cell>
          <cell r="BA19">
            <v>2.6060296371997804E-2</v>
          </cell>
          <cell r="BC19">
            <v>0.14256283477544307</v>
          </cell>
          <cell r="BD19">
            <v>0.15594246782740351</v>
          </cell>
          <cell r="BE19">
            <v>0.14953639771158023</v>
          </cell>
          <cell r="BG19">
            <v>1.075268817204301</v>
          </cell>
          <cell r="BH19">
            <v>2.1666666666666665</v>
          </cell>
          <cell r="BI19">
            <v>1.1414141414141414</v>
          </cell>
          <cell r="BK19" t="str">
            <v>NM</v>
          </cell>
          <cell r="BL19" t="str">
            <v>NM</v>
          </cell>
          <cell r="BM19" t="str">
            <v>NM</v>
          </cell>
          <cell r="BO19">
            <v>0.14256283477544307</v>
          </cell>
          <cell r="BP19">
            <v>0.15594246782740351</v>
          </cell>
          <cell r="BQ19">
            <v>0.14953639771158023</v>
          </cell>
          <cell r="BS19" t="str">
            <v xml:space="preserve"> 1Q</v>
          </cell>
          <cell r="BT19">
            <v>0.25702811244979928</v>
          </cell>
          <cell r="BU19">
            <v>0.10189359783588814</v>
          </cell>
          <cell r="BV19">
            <v>0.13033873343151692</v>
          </cell>
          <cell r="BX19">
            <v>-8.8114104595879539E-2</v>
          </cell>
          <cell r="BY19">
            <v>0.1042944785276072</v>
          </cell>
          <cell r="BZ19">
            <v>-4.8614609571788536E-2</v>
          </cell>
          <cell r="CB19">
            <v>0</v>
          </cell>
          <cell r="CC19">
            <v>-2.7027027027026973E-2</v>
          </cell>
          <cell r="CD19">
            <v>-1.7857142857142905E-2</v>
          </cell>
          <cell r="CJ19">
            <v>-0.12307692307692308</v>
          </cell>
          <cell r="CK19" t="str">
            <v>NM</v>
          </cell>
          <cell r="CL19">
            <v>0.14615384615384608</v>
          </cell>
          <cell r="CN19">
            <v>0.19358974358974357</v>
          </cell>
          <cell r="CO19">
            <v>0.20588235294117641</v>
          </cell>
          <cell r="CP19">
            <v>0.19442231075697225</v>
          </cell>
          <cell r="CR19">
            <v>-0.16000000000000003</v>
          </cell>
          <cell r="CS19">
            <v>-0.5</v>
          </cell>
          <cell r="CT19">
            <v>-0.18518518518518523</v>
          </cell>
          <cell r="CV19" t="str">
            <v xml:space="preserve"> 1Q</v>
          </cell>
          <cell r="CX19">
            <v>5.0000000000000044E-2</v>
          </cell>
          <cell r="CY19" t="str">
            <v>NM</v>
          </cell>
          <cell r="CZ19">
            <v>5.0000000000000044E-2</v>
          </cell>
          <cell r="DB19">
            <v>0.28571428571428581</v>
          </cell>
          <cell r="DC19" t="str">
            <v>NM</v>
          </cell>
          <cell r="DD19">
            <v>0.35714285714285721</v>
          </cell>
          <cell r="DF19">
            <v>-0.22222222222222221</v>
          </cell>
          <cell r="DG19" t="str">
            <v>NM</v>
          </cell>
          <cell r="DH19">
            <v>0.44444444444444442</v>
          </cell>
          <cell r="DJ19">
            <v>-5.2827140549273177E-2</v>
          </cell>
          <cell r="DK19">
            <v>0.3481844946025523</v>
          </cell>
          <cell r="DL19">
            <v>0.19664224664224705</v>
          </cell>
          <cell r="DN19">
            <v>-7.3349633251832413E-3</v>
          </cell>
          <cell r="DO19">
            <v>0.22546330615270582</v>
          </cell>
          <cell r="DP19">
            <v>0.10561050170832598</v>
          </cell>
          <cell r="DR19" t="str">
            <v xml:space="preserve"> 1Q</v>
          </cell>
          <cell r="DS19">
            <v>4.8543689320388328E-2</v>
          </cell>
          <cell r="DT19">
            <v>9.0791180285343387E-3</v>
          </cell>
          <cell r="DU19">
            <v>1.7400204708290845E-2</v>
          </cell>
          <cell r="DW19">
            <v>-0.17878787878787872</v>
          </cell>
          <cell r="DX19">
            <v>-4.3589743589743657E-2</v>
          </cell>
          <cell r="DY19">
            <v>-0.10555555555555551</v>
          </cell>
          <cell r="EA19">
            <v>-0.11538461538461553</v>
          </cell>
          <cell r="EB19">
            <v>-0.10526315789473695</v>
          </cell>
          <cell r="EC19">
            <v>-0.10629921259842534</v>
          </cell>
          <cell r="EE19">
            <v>0</v>
          </cell>
          <cell r="EF19">
            <v>0</v>
          </cell>
          <cell r="EG19">
            <v>0</v>
          </cell>
          <cell r="EI19">
            <v>-0.18532818532818518</v>
          </cell>
          <cell r="EJ19">
            <v>-0.32352941176470595</v>
          </cell>
          <cell r="EK19">
            <v>-0.20136518771331047</v>
          </cell>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A20" t="str">
            <v xml:space="preserve"> 2Q</v>
          </cell>
          <cell r="B20" t="str">
            <v>NM</v>
          </cell>
          <cell r="C20" t="str">
            <v>NM</v>
          </cell>
          <cell r="D20" t="str">
            <v>NM</v>
          </cell>
          <cell r="F20" t="str">
            <v>NM</v>
          </cell>
          <cell r="G20" t="str">
            <v>NM</v>
          </cell>
          <cell r="H20" t="str">
            <v>NM</v>
          </cell>
          <cell r="J20">
            <v>0.60350877192982466</v>
          </cell>
          <cell r="K20">
            <v>0.27419354838709675</v>
          </cell>
          <cell r="L20">
            <v>0.43193277310924372</v>
          </cell>
          <cell r="N20">
            <v>-0.33333333333333337</v>
          </cell>
          <cell r="O20">
            <v>0.21428571428571419</v>
          </cell>
          <cell r="P20">
            <v>-0.13924050632911389</v>
          </cell>
          <cell r="R20">
            <v>0.46095717884130982</v>
          </cell>
          <cell r="S20">
            <v>3.6144578313252795E-2</v>
          </cell>
          <cell r="T20">
            <v>0.38749999999999996</v>
          </cell>
          <cell r="V20">
            <v>6.9333333333333336</v>
          </cell>
          <cell r="W20">
            <v>1.7272727272727271</v>
          </cell>
          <cell r="X20">
            <v>5.536585365853659</v>
          </cell>
          <cell r="AD20">
            <v>0.54</v>
          </cell>
          <cell r="AE20">
            <v>0.5</v>
          </cell>
          <cell r="AF20">
            <v>0.53750000000000009</v>
          </cell>
          <cell r="AH20" t="str">
            <v xml:space="preserve"> 2Q</v>
          </cell>
          <cell r="AI20" t="str">
            <v>NM</v>
          </cell>
          <cell r="AJ20">
            <v>0.10000000000000009</v>
          </cell>
          <cell r="AK20">
            <v>0.10000000000000009</v>
          </cell>
          <cell r="AM20">
            <v>0.46470588235294108</v>
          </cell>
          <cell r="AN20" t="str">
            <v>NM</v>
          </cell>
          <cell r="AO20">
            <v>0.59411764705882342</v>
          </cell>
          <cell r="AQ20">
            <v>3.8461538461538547E-2</v>
          </cell>
          <cell r="AR20">
            <v>0.27272727272727271</v>
          </cell>
          <cell r="AS20">
            <v>0.18571428571428572</v>
          </cell>
          <cell r="AU20">
            <v>3.8461538461538547E-2</v>
          </cell>
          <cell r="AV20">
            <v>0.27272727272727271</v>
          </cell>
          <cell r="AW20">
            <v>0.18571428571428572</v>
          </cell>
          <cell r="AY20">
            <v>6.7567567567567766E-2</v>
          </cell>
          <cell r="AZ20">
            <v>0.22473726758286183</v>
          </cell>
          <cell r="BA20">
            <v>0.16973200210194439</v>
          </cell>
          <cell r="BC20">
            <v>0.24635332252836317</v>
          </cell>
          <cell r="BD20">
            <v>0.23287158367652561</v>
          </cell>
          <cell r="BE20">
            <v>0.23934617629889088</v>
          </cell>
          <cell r="BG20">
            <v>6.9333333333333336</v>
          </cell>
          <cell r="BH20">
            <v>1.7272727272727271</v>
          </cell>
          <cell r="BI20">
            <v>5.536585365853659</v>
          </cell>
          <cell r="BK20" t="str">
            <v>NM</v>
          </cell>
          <cell r="BL20" t="str">
            <v>NM</v>
          </cell>
          <cell r="BM20" t="str">
            <v>NM</v>
          </cell>
          <cell r="BO20">
            <v>0.24635332252836317</v>
          </cell>
          <cell r="BP20">
            <v>0.23287158367652561</v>
          </cell>
          <cell r="BQ20">
            <v>0.23934617629889088</v>
          </cell>
          <cell r="BS20" t="str">
            <v xml:space="preserve"> 2Q</v>
          </cell>
          <cell r="BT20">
            <v>-0.1131221719457014</v>
          </cell>
          <cell r="BU20">
            <v>0.36865942028985499</v>
          </cell>
          <cell r="BV20">
            <v>0.23091849935316944</v>
          </cell>
          <cell r="BX20">
            <v>6.9018404907975395E-2</v>
          </cell>
          <cell r="BY20">
            <v>0.10152284263959399</v>
          </cell>
          <cell r="BZ20">
            <v>7.6560659599528957E-2</v>
          </cell>
          <cell r="CB20">
            <v>0</v>
          </cell>
          <cell r="CC20">
            <v>0.25</v>
          </cell>
          <cell r="CD20">
            <v>0.15517241379310343</v>
          </cell>
          <cell r="CJ20">
            <v>0.12941176470588234</v>
          </cell>
          <cell r="CK20" t="str">
            <v>NM</v>
          </cell>
          <cell r="CL20">
            <v>0.36315789473684212</v>
          </cell>
          <cell r="CN20">
            <v>0.11436950146627556</v>
          </cell>
          <cell r="CO20">
            <v>0</v>
          </cell>
          <cell r="CP20">
            <v>0.10597826086956519</v>
          </cell>
          <cell r="CR20">
            <v>-0.125</v>
          </cell>
          <cell r="CS20">
            <v>0</v>
          </cell>
          <cell r="CT20">
            <v>-0.11538461538461542</v>
          </cell>
          <cell r="CV20" t="str">
            <v xml:space="preserve"> 2Q</v>
          </cell>
          <cell r="CX20">
            <v>0</v>
          </cell>
          <cell r="CY20" t="str">
            <v>NM</v>
          </cell>
          <cell r="CZ20">
            <v>0</v>
          </cell>
          <cell r="DB20">
            <v>0.22222222222222232</v>
          </cell>
          <cell r="DC20" t="str">
            <v>NM</v>
          </cell>
          <cell r="DD20">
            <v>0.27777777777777768</v>
          </cell>
          <cell r="DF20">
            <v>0</v>
          </cell>
          <cell r="DG20" t="str">
            <v>NM</v>
          </cell>
          <cell r="DH20">
            <v>0.625</v>
          </cell>
          <cell r="DJ20">
            <v>-7.2678331090174297E-2</v>
          </cell>
          <cell r="DK20">
            <v>0.37923228346456739</v>
          </cell>
          <cell r="DL20">
            <v>0.18834565093803346</v>
          </cell>
          <cell r="DN20">
            <v>3.6832412523022384E-3</v>
          </cell>
          <cell r="DO20">
            <v>0.36648511256354399</v>
          </cell>
          <cell r="DP20">
            <v>0.16987691284098472</v>
          </cell>
          <cell r="DR20" t="str">
            <v xml:space="preserve"> 2Q</v>
          </cell>
          <cell r="DS20">
            <v>-6.9892473118279619E-2</v>
          </cell>
          <cell r="DT20">
            <v>0.22061191626409005</v>
          </cell>
          <cell r="DU20">
            <v>0.15365551425030977</v>
          </cell>
          <cell r="DW20">
            <v>-0.13490364025695945</v>
          </cell>
          <cell r="DX20">
            <v>0.18029350104821784</v>
          </cell>
          <cell r="DY20">
            <v>2.4364406779660897E-2</v>
          </cell>
          <cell r="EA20">
            <v>0.10526315789473673</v>
          </cell>
          <cell r="EB20">
            <v>-6.321839080459779E-2</v>
          </cell>
          <cell r="EC20">
            <v>-4.6632124352331772E-2</v>
          </cell>
          <cell r="EE20">
            <v>-0.25</v>
          </cell>
          <cell r="EF20">
            <v>-5.0000000000000044E-2</v>
          </cell>
          <cell r="EG20">
            <v>-6.8181818181818232E-2</v>
          </cell>
          <cell r="EI20">
            <v>-0.11832061068702282</v>
          </cell>
          <cell r="EJ20">
            <v>-0.32558139534883723</v>
          </cell>
          <cell r="EK20">
            <v>-0.14754098360655743</v>
          </cell>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A21" t="str">
            <v xml:space="preserve"> 3Q</v>
          </cell>
          <cell r="B21" t="str">
            <v>NM</v>
          </cell>
          <cell r="C21" t="str">
            <v>NM</v>
          </cell>
          <cell r="D21" t="str">
            <v>NM</v>
          </cell>
          <cell r="F21" t="str">
            <v>NM</v>
          </cell>
          <cell r="G21" t="str">
            <v>NM</v>
          </cell>
          <cell r="H21" t="str">
            <v>NM</v>
          </cell>
          <cell r="J21">
            <v>-0.24161073825503354</v>
          </cell>
          <cell r="K21">
            <v>0.36250000000000004</v>
          </cell>
          <cell r="L21">
            <v>7.1197411003236288E-2</v>
          </cell>
          <cell r="N21">
            <v>-0.53703703703703698</v>
          </cell>
          <cell r="O21">
            <v>0.10714285714285721</v>
          </cell>
          <cell r="P21">
            <v>-0.31707317073170727</v>
          </cell>
          <cell r="R21">
            <v>-1.8234165067178565E-2</v>
          </cell>
          <cell r="S21">
            <v>4.1666666666666519E-2</v>
          </cell>
          <cell r="T21">
            <v>-9.91735537190086E-3</v>
          </cell>
          <cell r="V21">
            <v>1.2584269662921348</v>
          </cell>
          <cell r="W21">
            <v>2.25</v>
          </cell>
          <cell r="X21">
            <v>1.3762376237623761</v>
          </cell>
          <cell r="AD21">
            <v>0.46500000000000008</v>
          </cell>
          <cell r="AE21">
            <v>1</v>
          </cell>
          <cell r="AF21">
            <v>0.49047619047619051</v>
          </cell>
          <cell r="AH21" t="str">
            <v xml:space="preserve"> 3Q</v>
          </cell>
          <cell r="AI21" t="str">
            <v>NM</v>
          </cell>
          <cell r="AJ21">
            <v>5.555555555555558E-2</v>
          </cell>
          <cell r="AK21">
            <v>5.555555555555558E-2</v>
          </cell>
          <cell r="AM21">
            <v>-0.76760563380281688</v>
          </cell>
          <cell r="AN21" t="str">
            <v>NM</v>
          </cell>
          <cell r="AO21">
            <v>-0.59440559440559437</v>
          </cell>
          <cell r="AQ21">
            <v>0.16666666666666674</v>
          </cell>
          <cell r="AR21">
            <v>0.23076923076923084</v>
          </cell>
          <cell r="AS21">
            <v>0.20634920634920628</v>
          </cell>
          <cell r="AU21">
            <v>0.16666666666666674</v>
          </cell>
          <cell r="AV21">
            <v>0.23076923076923084</v>
          </cell>
          <cell r="AW21">
            <v>0.20634920634920628</v>
          </cell>
          <cell r="AY21">
            <v>-2.1037868162692153E-3</v>
          </cell>
          <cell r="AZ21">
            <v>0.11231015187849658</v>
          </cell>
          <cell r="BA21">
            <v>7.0773930753563752E-2</v>
          </cell>
          <cell r="BC21">
            <v>-8.640174990885896E-2</v>
          </cell>
          <cell r="BD21">
            <v>0.1741787624140565</v>
          </cell>
          <cell r="BE21">
            <v>4.0850587576944486E-2</v>
          </cell>
          <cell r="BG21">
            <v>1.2584269662921348</v>
          </cell>
          <cell r="BH21">
            <v>2.25</v>
          </cell>
          <cell r="BI21">
            <v>1.3762376237623761</v>
          </cell>
          <cell r="BK21" t="str">
            <v>NM</v>
          </cell>
          <cell r="BL21" t="str">
            <v>NM</v>
          </cell>
          <cell r="BM21" t="str">
            <v>NM</v>
          </cell>
          <cell r="BO21">
            <v>-8.640174990885896E-2</v>
          </cell>
          <cell r="BP21">
            <v>0.1741787624140565</v>
          </cell>
          <cell r="BQ21">
            <v>4.0850587576944486E-2</v>
          </cell>
          <cell r="BS21" t="str">
            <v xml:space="preserve"> 3Q</v>
          </cell>
          <cell r="BT21">
            <v>0.1829896907216495</v>
          </cell>
          <cell r="BU21">
            <v>0.17883511074651337</v>
          </cell>
          <cell r="BV21">
            <v>0.17983820784069704</v>
          </cell>
          <cell r="BX21">
            <v>-0.1470588235294118</v>
          </cell>
          <cell r="BY21">
            <v>9.2896174863387859E-2</v>
          </cell>
          <cell r="BZ21">
            <v>-0.10454985479186829</v>
          </cell>
          <cell r="CB21">
            <v>0</v>
          </cell>
          <cell r="CC21">
            <v>6.4516129032258007E-2</v>
          </cell>
          <cell r="CD21">
            <v>3.9215686274509887E-2</v>
          </cell>
          <cell r="CJ21">
            <v>0.23793103448275854</v>
          </cell>
          <cell r="CK21">
            <v>0.17500000000000004</v>
          </cell>
          <cell r="CL21">
            <v>0.23030303030303045</v>
          </cell>
          <cell r="CN21">
            <v>-4.5673076923076872E-2</v>
          </cell>
          <cell r="CO21">
            <v>0</v>
          </cell>
          <cell r="CP21">
            <v>-4.3181818181818099E-2</v>
          </cell>
          <cell r="CR21">
            <v>-0.10416666666666663</v>
          </cell>
          <cell r="CS21">
            <v>-0.44999999999999996</v>
          </cell>
          <cell r="CT21">
            <v>-0.13076923076923075</v>
          </cell>
          <cell r="CV21" t="str">
            <v xml:space="preserve"> 3Q</v>
          </cell>
          <cell r="CX21">
            <v>-0.26666666666666661</v>
          </cell>
          <cell r="CY21" t="str">
            <v>NM</v>
          </cell>
          <cell r="CZ21">
            <v>-0.26666666666666661</v>
          </cell>
          <cell r="DB21">
            <v>0</v>
          </cell>
          <cell r="DC21">
            <v>0</v>
          </cell>
          <cell r="DD21">
            <v>0</v>
          </cell>
          <cell r="DF21">
            <v>-0.33333333333333337</v>
          </cell>
          <cell r="DG21">
            <v>0</v>
          </cell>
          <cell r="DH21">
            <v>-0.25</v>
          </cell>
          <cell r="DJ21">
            <v>0.32383419689119153</v>
          </cell>
          <cell r="DK21">
            <v>9.4017094017094127E-2</v>
          </cell>
          <cell r="DL21">
            <v>0.18018455560951918</v>
          </cell>
          <cell r="DN21">
            <v>3.1741725447639757E-2</v>
          </cell>
          <cell r="DO21">
            <v>0.1193744015320779</v>
          </cell>
          <cell r="DP21">
            <v>7.2004692770200718E-2</v>
          </cell>
          <cell r="DR21" t="str">
            <v xml:space="preserve"> 3Q</v>
          </cell>
          <cell r="DS21">
            <v>-6.7082683307332247E-2</v>
          </cell>
          <cell r="DT21">
            <v>0.30769230769230749</v>
          </cell>
          <cell r="DU21">
            <v>0.1096455070074196</v>
          </cell>
          <cell r="DW21">
            <v>0</v>
          </cell>
          <cell r="DX21">
            <v>6.6666666666666652E-2</v>
          </cell>
          <cell r="DY21">
            <v>3.7940379403794022E-2</v>
          </cell>
          <cell r="EA21">
            <v>-0.12962962962962965</v>
          </cell>
          <cell r="EB21">
            <v>8.7755102040816269E-2</v>
          </cell>
          <cell r="EC21">
            <v>6.6176470588235281E-2</v>
          </cell>
          <cell r="EE21">
            <v>-0.5</v>
          </cell>
          <cell r="EF21">
            <v>2.6315789473684292E-2</v>
          </cell>
          <cell r="EG21">
            <v>-4.5454545454545414E-2</v>
          </cell>
          <cell r="EI21">
            <v>9.565217391304337E-2</v>
          </cell>
          <cell r="EJ21">
            <v>-0.12820512820512819</v>
          </cell>
          <cell r="EK21">
            <v>6.3197026022304703E-2</v>
          </cell>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A22" t="str">
            <v xml:space="preserve"> 4Q</v>
          </cell>
          <cell r="B22" t="str">
            <v>NM</v>
          </cell>
          <cell r="C22" t="str">
            <v>NM</v>
          </cell>
          <cell r="D22" t="str">
            <v>NM</v>
          </cell>
          <cell r="F22" t="str">
            <v>NM</v>
          </cell>
          <cell r="G22" t="str">
            <v>NM</v>
          </cell>
          <cell r="H22" t="str">
            <v>NM</v>
          </cell>
          <cell r="J22">
            <v>0.61375661375661394</v>
          </cell>
          <cell r="K22">
            <v>0.56756756756756777</v>
          </cell>
          <cell r="L22">
            <v>0.58429118773946387</v>
          </cell>
          <cell r="N22">
            <v>-0.4</v>
          </cell>
          <cell r="O22">
            <v>3.0303030303030276E-2</v>
          </cell>
          <cell r="P22">
            <v>-0.19117647058823528</v>
          </cell>
          <cell r="R22">
            <v>-0.16101694915254239</v>
          </cell>
          <cell r="S22">
            <v>6.7415730337078594E-2</v>
          </cell>
          <cell r="T22">
            <v>-0.13107511045655384</v>
          </cell>
          <cell r="V22">
            <v>0.55844155844155852</v>
          </cell>
          <cell r="W22">
            <v>1.7241379310344973E-2</v>
          </cell>
          <cell r="X22">
            <v>0.41037735849056611</v>
          </cell>
          <cell r="AD22">
            <v>0.8</v>
          </cell>
          <cell r="AE22">
            <v>0.5</v>
          </cell>
          <cell r="AF22">
            <v>0.76470588235294112</v>
          </cell>
          <cell r="AH22" t="str">
            <v xml:space="preserve"> 4Q</v>
          </cell>
          <cell r="AI22" t="str">
            <v>NM</v>
          </cell>
          <cell r="AJ22">
            <v>3.5714285714285809E-2</v>
          </cell>
          <cell r="AK22">
            <v>3.5714285714285809E-2</v>
          </cell>
          <cell r="AM22">
            <v>-0.44444444444444442</v>
          </cell>
          <cell r="AN22" t="str">
            <v>NM</v>
          </cell>
          <cell r="AO22">
            <v>-9.2783505154639068E-2</v>
          </cell>
          <cell r="AQ22">
            <v>0.34782608695652173</v>
          </cell>
          <cell r="AR22">
            <v>0.15555555555555545</v>
          </cell>
          <cell r="AS22">
            <v>0.22058823529411775</v>
          </cell>
          <cell r="AU22">
            <v>0.34782608695652173</v>
          </cell>
          <cell r="AV22">
            <v>0.15555555555555545</v>
          </cell>
          <cell r="AW22">
            <v>0.22058823529411775</v>
          </cell>
          <cell r="AY22">
            <v>-0.23959827833572445</v>
          </cell>
          <cell r="AZ22">
            <v>0.22897585345545379</v>
          </cell>
          <cell r="BA22">
            <v>5.6902002107481531E-2</v>
          </cell>
          <cell r="BC22">
            <v>-1.6326530612244872E-2</v>
          </cell>
          <cell r="BD22">
            <v>0.21748554913294793</v>
          </cell>
          <cell r="BE22">
            <v>0.10770410118819473</v>
          </cell>
          <cell r="BG22">
            <v>0.55844155844155852</v>
          </cell>
          <cell r="BH22">
            <v>1.7241379310344973E-2</v>
          </cell>
          <cell r="BI22">
            <v>0.41037735849056611</v>
          </cell>
          <cell r="BK22" t="str">
            <v>NM</v>
          </cell>
          <cell r="BL22" t="str">
            <v>NM</v>
          </cell>
          <cell r="BM22" t="str">
            <v>NM</v>
          </cell>
          <cell r="BO22">
            <v>-1.6326530612244872E-2</v>
          </cell>
          <cell r="BP22">
            <v>0.21748554913294793</v>
          </cell>
          <cell r="BQ22">
            <v>0.10770410118819473</v>
          </cell>
          <cell r="BS22" t="str">
            <v xml:space="preserve"> 4Q</v>
          </cell>
          <cell r="BT22">
            <v>0.24528301886792447</v>
          </cell>
          <cell r="BU22">
            <v>0.12915699922660462</v>
          </cell>
          <cell r="BV22">
            <v>0.1520794537554313</v>
          </cell>
          <cell r="BX22">
            <v>0.37085137085137099</v>
          </cell>
          <cell r="BY22">
            <v>0.14423076923076916</v>
          </cell>
          <cell r="BZ22">
            <v>0.31853496115427316</v>
          </cell>
          <cell r="CB22">
            <v>0</v>
          </cell>
          <cell r="CC22">
            <v>0.12903225806451624</v>
          </cell>
          <cell r="CD22">
            <v>7.4074074074074181E-2</v>
          </cell>
          <cell r="CJ22">
            <v>0.25714285714285712</v>
          </cell>
          <cell r="CK22">
            <v>0</v>
          </cell>
          <cell r="CL22">
            <v>0.21428571428571419</v>
          </cell>
          <cell r="CN22">
            <v>7.4688796680497882E-2</v>
          </cell>
          <cell r="CO22">
            <v>-6.8965517241379226E-2</v>
          </cell>
          <cell r="CP22">
            <v>5.9259259259259123E-2</v>
          </cell>
          <cell r="CR22">
            <v>-0.19230769230769229</v>
          </cell>
          <cell r="CS22">
            <v>-0.25</v>
          </cell>
          <cell r="CT22">
            <v>-0.19999999999999996</v>
          </cell>
          <cell r="CV22" t="str">
            <v xml:space="preserve"> 4Q</v>
          </cell>
          <cell r="CX22">
            <v>-3.703703703703709E-2</v>
          </cell>
          <cell r="CY22" t="str">
            <v>NM</v>
          </cell>
          <cell r="CZ22">
            <v>-3.703703703703709E-2</v>
          </cell>
          <cell r="DB22">
            <v>0.19999999999999996</v>
          </cell>
          <cell r="DC22">
            <v>0</v>
          </cell>
          <cell r="DD22">
            <v>0.18181818181818188</v>
          </cell>
          <cell r="DF22">
            <v>0.22222222222222232</v>
          </cell>
          <cell r="DG22">
            <v>0.125</v>
          </cell>
          <cell r="DH22">
            <v>0.17647058823529416</v>
          </cell>
          <cell r="DJ22">
            <v>-1.508916323731091E-2</v>
          </cell>
          <cell r="DK22">
            <v>-8.8102893890675049E-2</v>
          </cell>
          <cell r="DL22">
            <v>-6.4798598949211583E-2</v>
          </cell>
          <cell r="DN22">
            <v>0.12557147211216102</v>
          </cell>
          <cell r="DO22">
            <v>2.726008344923514E-2</v>
          </cell>
          <cell r="DP22">
            <v>7.4171029668411936E-2</v>
          </cell>
          <cell r="DR22" t="str">
            <v xml:space="preserve"> 4Q</v>
          </cell>
          <cell r="DS22">
            <v>5.1565377532228451E-2</v>
          </cell>
          <cell r="DT22">
            <v>0.18018018018018012</v>
          </cell>
          <cell r="DU22">
            <v>0.13137665967854661</v>
          </cell>
          <cell r="DW22">
            <v>-0.14973262032085555</v>
          </cell>
          <cell r="DX22">
            <v>0.35774058577405876</v>
          </cell>
          <cell r="DY22">
            <v>0.13497652582159647</v>
          </cell>
          <cell r="EA22">
            <v>-8.4745762711864403E-2</v>
          </cell>
          <cell r="EB22">
            <v>-8.9126559714794995E-2</v>
          </cell>
          <cell r="EC22">
            <v>-8.8709677419354871E-2</v>
          </cell>
          <cell r="EE22">
            <v>-0.25</v>
          </cell>
          <cell r="EF22">
            <v>-9.0909090909090939E-2</v>
          </cell>
          <cell r="EG22">
            <v>-0.10416666666666663</v>
          </cell>
          <cell r="EI22">
            <v>-0.15412186379928305</v>
          </cell>
          <cell r="EJ22">
            <v>0.33333333333333326</v>
          </cell>
          <cell r="EK22">
            <v>-9.0342679127725756E-2</v>
          </cell>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A24" t="str">
            <v>1995/94</v>
          </cell>
          <cell r="B24" t="str">
            <v>NM</v>
          </cell>
          <cell r="C24" t="str">
            <v>NM</v>
          </cell>
          <cell r="D24" t="str">
            <v>NM</v>
          </cell>
          <cell r="F24" t="str">
            <v>NM</v>
          </cell>
          <cell r="G24" t="str">
            <v>NM</v>
          </cell>
          <cell r="H24" t="str">
            <v>NM</v>
          </cell>
          <cell r="J24">
            <v>0.34975845410628015</v>
          </cell>
          <cell r="K24">
            <v>0.38030424339471569</v>
          </cell>
          <cell r="L24">
            <v>0.36646234676007006</v>
          </cell>
          <cell r="N24">
            <v>-0.375</v>
          </cell>
          <cell r="O24">
            <v>0.10256410256410264</v>
          </cell>
          <cell r="P24">
            <v>-0.19417475728155342</v>
          </cell>
          <cell r="R24">
            <v>0.11877294179339271</v>
          </cell>
          <cell r="S24">
            <v>5.6402439024390238E-2</v>
          </cell>
          <cell r="T24">
            <v>0.10961968680089496</v>
          </cell>
          <cell r="V24">
            <v>1.3825136612021858</v>
          </cell>
          <cell r="W24">
            <v>0.68965517241379337</v>
          </cell>
          <cell r="X24">
            <v>1.2494481236203092</v>
          </cell>
          <cell r="AD24">
            <v>0.50857142857142845</v>
          </cell>
          <cell r="AE24">
            <v>0.52</v>
          </cell>
          <cell r="AF24">
            <v>0.50933333333333342</v>
          </cell>
          <cell r="AH24" t="str">
            <v>1995/94</v>
          </cell>
          <cell r="AI24" t="str">
            <v>NM</v>
          </cell>
          <cell r="AJ24">
            <v>9.375E-2</v>
          </cell>
          <cell r="AK24">
            <v>9.375E-2</v>
          </cell>
          <cell r="AM24">
            <v>-3.7698412698412676E-2</v>
          </cell>
          <cell r="AN24" t="str">
            <v>NM</v>
          </cell>
          <cell r="AO24">
            <v>0.14230019493177393</v>
          </cell>
          <cell r="AQ24">
            <v>0.15625</v>
          </cell>
          <cell r="AR24">
            <v>0.23493975903614461</v>
          </cell>
          <cell r="AS24">
            <v>0.20610687022900764</v>
          </cell>
          <cell r="AU24">
            <v>0.15625</v>
          </cell>
          <cell r="AV24">
            <v>0.23493975903614461</v>
          </cell>
          <cell r="AW24">
            <v>0.20610687022900764</v>
          </cell>
          <cell r="AY24">
            <v>-6.8434718100889969E-2</v>
          </cell>
          <cell r="AZ24">
            <v>0.16026661360923189</v>
          </cell>
          <cell r="BA24">
            <v>8.0419580419580194E-2</v>
          </cell>
          <cell r="BC24">
            <v>6.7109436954797763E-2</v>
          </cell>
          <cell r="BD24">
            <v>0.19553229273763906</v>
          </cell>
          <cell r="BE24">
            <v>0.13320825515947488</v>
          </cell>
          <cell r="BG24">
            <v>1.3825136612021858</v>
          </cell>
          <cell r="BH24">
            <v>0.68965517241379337</v>
          </cell>
          <cell r="BI24">
            <v>1.2494481236203092</v>
          </cell>
          <cell r="BK24" t="str">
            <v>NM</v>
          </cell>
          <cell r="BL24" t="str">
            <v>NM</v>
          </cell>
          <cell r="BM24" t="str">
            <v>NM</v>
          </cell>
          <cell r="BO24">
            <v>6.7109436954797763E-2</v>
          </cell>
          <cell r="BP24">
            <v>0.19553229273763906</v>
          </cell>
          <cell r="BQ24">
            <v>0.13320825515947488</v>
          </cell>
          <cell r="BS24" t="str">
            <v>Year</v>
          </cell>
          <cell r="BT24">
            <v>0.11667859699355776</v>
          </cell>
          <cell r="BU24">
            <v>0.19153439153439145</v>
          </cell>
          <cell r="BV24">
            <v>0.17445279320483498</v>
          </cell>
          <cell r="BX24">
            <v>4.2958244869072848E-2</v>
          </cell>
          <cell r="BY24">
            <v>0.11185086551264978</v>
          </cell>
          <cell r="BZ24">
            <v>5.7422421023203718E-2</v>
          </cell>
          <cell r="CB24">
            <v>0</v>
          </cell>
          <cell r="CC24">
            <v>0.10370370370370363</v>
          </cell>
          <cell r="CD24">
            <v>6.3926940639269514E-2</v>
          </cell>
          <cell r="CJ24">
            <v>0.13925233644859825</v>
          </cell>
          <cell r="CK24">
            <v>0.95384615384615379</v>
          </cell>
          <cell r="CL24">
            <v>0.22750000000000004</v>
          </cell>
          <cell r="CN24">
            <v>6.7613636363636376E-2</v>
          </cell>
          <cell r="CO24">
            <v>1.5463917525773141E-2</v>
          </cell>
          <cell r="CP24">
            <v>6.3807373965387493E-2</v>
          </cell>
          <cell r="CR24">
            <v>-0.14646464646464652</v>
          </cell>
          <cell r="CS24">
            <v>-0.29000000000000004</v>
          </cell>
          <cell r="CT24">
            <v>-0.15963302752293584</v>
          </cell>
          <cell r="CV24" t="str">
            <v>Year</v>
          </cell>
          <cell r="CX24">
            <v>-7.0329670329670413E-2</v>
          </cell>
          <cell r="CY24" t="str">
            <v>NM</v>
          </cell>
          <cell r="CZ24">
            <v>-7.0329670329670413E-2</v>
          </cell>
          <cell r="DB24">
            <v>0.16949152542372881</v>
          </cell>
          <cell r="DC24">
            <v>1</v>
          </cell>
          <cell r="DD24">
            <v>0.19672131147540983</v>
          </cell>
          <cell r="DF24">
            <v>-0.10810810810810811</v>
          </cell>
          <cell r="DG24">
            <v>0.92307692307692313</v>
          </cell>
          <cell r="DH24">
            <v>0.15999999999999992</v>
          </cell>
          <cell r="DJ24">
            <v>5.319594830597274E-2</v>
          </cell>
          <cell r="DK24">
            <v>0.14847242157063789</v>
          </cell>
          <cell r="DL24">
            <v>0.11322997416020719</v>
          </cell>
          <cell r="DN24">
            <v>3.9731051344743307E-2</v>
          </cell>
          <cell r="DO24">
            <v>0.17155993431855499</v>
          </cell>
          <cell r="DP24">
            <v>0.1032768719328796</v>
          </cell>
          <cell r="DR24" t="str">
            <v>1995/94</v>
          </cell>
          <cell r="DS24">
            <v>-1.1421319796954155E-2</v>
          </cell>
          <cell r="DT24">
            <v>0.16830294530154277</v>
          </cell>
          <cell r="DU24">
            <v>0.10433604336043367</v>
          </cell>
          <cell r="DW24">
            <v>-0.11954331766286108</v>
          </cell>
          <cell r="DX24">
            <v>0.15184135977337099</v>
          </cell>
          <cell r="DY24">
            <v>2.7658266748617155E-2</v>
          </cell>
          <cell r="EA24">
            <v>-5.4054054054054168E-2</v>
          </cell>
          <cell r="EB24">
            <v>-4.3371118777723039E-2</v>
          </cell>
          <cell r="EC24">
            <v>-4.4424700133274264E-2</v>
          </cell>
          <cell r="EE24">
            <v>-0.29411764705882348</v>
          </cell>
          <cell r="EF24">
            <v>-3.1645569620253111E-2</v>
          </cell>
          <cell r="EG24">
            <v>-5.7142857142857162E-2</v>
          </cell>
          <cell r="EI24">
            <v>-9.7087378640776656E-2</v>
          </cell>
          <cell r="EJ24">
            <v>-0.10126582278481022</v>
          </cell>
          <cell r="EK24">
            <v>-9.7643097643097532E-2</v>
          </cell>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A26" t="str">
            <v xml:space="preserve">1995 </v>
          </cell>
          <cell r="AH26" t="str">
            <v xml:space="preserve">1995 </v>
          </cell>
          <cell r="BB26">
            <v>0</v>
          </cell>
          <cell r="BS26" t="str">
            <v xml:space="preserve">1995 </v>
          </cell>
          <cell r="CV26" t="str">
            <v xml:space="preserve">1995 </v>
          </cell>
          <cell r="DR26" t="str">
            <v xml:space="preserve">1995 </v>
          </cell>
          <cell r="EM26" t="str">
            <v xml:space="preserve">1995 </v>
          </cell>
        </row>
        <row r="27">
          <cell r="A27" t="str">
            <v xml:space="preserve"> 1Q</v>
          </cell>
          <cell r="B27">
            <v>0</v>
          </cell>
          <cell r="C27">
            <v>0</v>
          </cell>
          <cell r="D27">
            <v>0</v>
          </cell>
          <cell r="F27">
            <v>0</v>
          </cell>
          <cell r="G27">
            <v>0</v>
          </cell>
          <cell r="H27">
            <v>0</v>
          </cell>
          <cell r="J27">
            <v>40.9</v>
          </cell>
          <cell r="K27">
            <v>37.1</v>
          </cell>
          <cell r="L27">
            <v>78</v>
          </cell>
          <cell r="N27">
            <v>40</v>
          </cell>
          <cell r="O27">
            <v>30</v>
          </cell>
          <cell r="P27">
            <v>70</v>
          </cell>
          <cell r="R27">
            <v>54.7</v>
          </cell>
          <cell r="S27">
            <v>7.8</v>
          </cell>
          <cell r="T27">
            <v>62.5</v>
          </cell>
          <cell r="V27">
            <v>19.3</v>
          </cell>
          <cell r="W27">
            <v>1.9</v>
          </cell>
          <cell r="X27">
            <v>21.2</v>
          </cell>
          <cell r="AD27">
            <v>26.2</v>
          </cell>
          <cell r="AE27">
            <v>1.1000000000000001</v>
          </cell>
          <cell r="AF27">
            <v>27.3</v>
          </cell>
          <cell r="AH27" t="str">
            <v xml:space="preserve"> 1Q</v>
          </cell>
          <cell r="AI27">
            <v>0</v>
          </cell>
          <cell r="AJ27">
            <v>32</v>
          </cell>
          <cell r="AK27">
            <v>32</v>
          </cell>
          <cell r="AM27">
            <v>15.3</v>
          </cell>
          <cell r="AN27">
            <v>1.6</v>
          </cell>
          <cell r="AO27">
            <v>16.900000000000002</v>
          </cell>
          <cell r="AQ27">
            <v>25</v>
          </cell>
          <cell r="AR27">
            <v>49</v>
          </cell>
          <cell r="AS27">
            <v>74</v>
          </cell>
          <cell r="AU27">
            <v>25</v>
          </cell>
          <cell r="AV27">
            <v>49</v>
          </cell>
          <cell r="AW27">
            <v>74</v>
          </cell>
          <cell r="AY27">
            <v>55.899999999999991</v>
          </cell>
          <cell r="AZ27">
            <v>144.89999999999995</v>
          </cell>
          <cell r="BA27">
            <v>200.79999999999995</v>
          </cell>
          <cell r="BC27">
            <v>277.3</v>
          </cell>
          <cell r="BD27">
            <v>305.39999999999998</v>
          </cell>
          <cell r="BE27">
            <v>582.70000000000005</v>
          </cell>
          <cell r="BG27">
            <v>19.3</v>
          </cell>
          <cell r="BH27">
            <v>1.9</v>
          </cell>
          <cell r="BI27">
            <v>21.2</v>
          </cell>
          <cell r="BK27">
            <v>0</v>
          </cell>
          <cell r="BL27">
            <v>0</v>
          </cell>
          <cell r="BM27">
            <v>0</v>
          </cell>
          <cell r="BO27">
            <v>277.3</v>
          </cell>
          <cell r="BP27">
            <v>305.39999999999998</v>
          </cell>
          <cell r="BQ27">
            <v>582.70000000000005</v>
          </cell>
          <cell r="BS27" t="str">
            <v xml:space="preserve"> 1Q</v>
          </cell>
          <cell r="BT27">
            <v>31.3</v>
          </cell>
          <cell r="BU27">
            <v>122.2</v>
          </cell>
          <cell r="BV27">
            <v>153.5</v>
          </cell>
          <cell r="BX27">
            <v>57.54</v>
          </cell>
          <cell r="BY27">
            <v>18</v>
          </cell>
          <cell r="BZ27">
            <v>75.539999999999992</v>
          </cell>
          <cell r="CB27">
            <v>19</v>
          </cell>
          <cell r="CC27">
            <v>36</v>
          </cell>
          <cell r="CD27">
            <v>55</v>
          </cell>
          <cell r="CJ27">
            <v>22.8</v>
          </cell>
          <cell r="CK27">
            <v>7</v>
          </cell>
          <cell r="CL27">
            <v>29.8</v>
          </cell>
          <cell r="CN27">
            <v>27.93</v>
          </cell>
          <cell r="CO27">
            <v>2.0499999999999998</v>
          </cell>
          <cell r="CP27">
            <v>29.98</v>
          </cell>
          <cell r="CR27">
            <v>21</v>
          </cell>
          <cell r="CS27">
            <v>1</v>
          </cell>
          <cell r="CT27">
            <v>22</v>
          </cell>
          <cell r="CV27" t="str">
            <v xml:space="preserve"> 1Q</v>
          </cell>
          <cell r="CX27">
            <v>21</v>
          </cell>
          <cell r="CY27">
            <v>0</v>
          </cell>
          <cell r="CZ27">
            <v>21</v>
          </cell>
          <cell r="DB27">
            <v>18</v>
          </cell>
          <cell r="DC27">
            <v>1</v>
          </cell>
          <cell r="DD27">
            <v>19</v>
          </cell>
          <cell r="DF27">
            <v>7</v>
          </cell>
          <cell r="DG27">
            <v>6</v>
          </cell>
          <cell r="DH27">
            <v>13</v>
          </cell>
          <cell r="DJ27">
            <v>58.629999999999967</v>
          </cell>
          <cell r="DK27">
            <v>137.38</v>
          </cell>
          <cell r="DL27">
            <v>196.00999999999996</v>
          </cell>
          <cell r="DN27">
            <v>284.2</v>
          </cell>
          <cell r="DO27">
            <v>330.63</v>
          </cell>
          <cell r="DP27">
            <v>614.82999999999993</v>
          </cell>
          <cell r="DR27" t="str">
            <v xml:space="preserve"> 1Q</v>
          </cell>
          <cell r="DS27">
            <v>21.6</v>
          </cell>
          <cell r="DT27">
            <v>77.8</v>
          </cell>
          <cell r="DU27">
            <v>99.4</v>
          </cell>
          <cell r="DW27">
            <v>27.1</v>
          </cell>
          <cell r="DX27">
            <v>37.299999999999997</v>
          </cell>
          <cell r="DY27">
            <v>64.400000000000006</v>
          </cell>
          <cell r="EA27">
            <v>4.5999999999999996</v>
          </cell>
          <cell r="EB27">
            <v>40.799999999999997</v>
          </cell>
          <cell r="EC27">
            <v>45.4</v>
          </cell>
          <cell r="EE27">
            <v>3</v>
          </cell>
          <cell r="EF27">
            <v>36</v>
          </cell>
          <cell r="EG27">
            <v>39</v>
          </cell>
          <cell r="EI27">
            <v>21.1</v>
          </cell>
          <cell r="EJ27">
            <v>2.2999999999999998</v>
          </cell>
          <cell r="EK27">
            <v>23.400000000000002</v>
          </cell>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A28" t="str">
            <v xml:space="preserve"> 2Q</v>
          </cell>
          <cell r="B28">
            <v>0</v>
          </cell>
          <cell r="C28">
            <v>0</v>
          </cell>
          <cell r="D28">
            <v>0</v>
          </cell>
          <cell r="F28">
            <v>0</v>
          </cell>
          <cell r="G28">
            <v>0</v>
          </cell>
          <cell r="H28">
            <v>0</v>
          </cell>
          <cell r="J28">
            <v>45.7</v>
          </cell>
          <cell r="K28">
            <v>39.5</v>
          </cell>
          <cell r="L28">
            <v>85.2</v>
          </cell>
          <cell r="N28">
            <v>34</v>
          </cell>
          <cell r="O28">
            <v>34</v>
          </cell>
          <cell r="P28">
            <v>68</v>
          </cell>
          <cell r="R28">
            <v>58</v>
          </cell>
          <cell r="S28">
            <v>8.6</v>
          </cell>
          <cell r="T28">
            <v>66.599999999999994</v>
          </cell>
          <cell r="V28">
            <v>23.8</v>
          </cell>
          <cell r="W28">
            <v>3</v>
          </cell>
          <cell r="X28">
            <v>26.8</v>
          </cell>
          <cell r="AD28">
            <v>23.1</v>
          </cell>
          <cell r="AE28">
            <v>1.5</v>
          </cell>
          <cell r="AF28">
            <v>24.6</v>
          </cell>
          <cell r="AH28" t="str">
            <v xml:space="preserve"> 2Q</v>
          </cell>
          <cell r="AI28">
            <v>0</v>
          </cell>
          <cell r="AJ28">
            <v>33</v>
          </cell>
          <cell r="AK28">
            <v>33</v>
          </cell>
          <cell r="AM28">
            <v>24.9</v>
          </cell>
          <cell r="AN28">
            <v>2.2000000000000002</v>
          </cell>
          <cell r="AO28">
            <v>27.099999999999998</v>
          </cell>
          <cell r="AQ28">
            <v>27</v>
          </cell>
          <cell r="AR28">
            <v>56</v>
          </cell>
          <cell r="AS28">
            <v>83</v>
          </cell>
          <cell r="AU28">
            <v>27</v>
          </cell>
          <cell r="AV28">
            <v>56</v>
          </cell>
          <cell r="AW28">
            <v>83</v>
          </cell>
          <cell r="AY28">
            <v>71.100000000000023</v>
          </cell>
          <cell r="AZ28">
            <v>151.50000000000003</v>
          </cell>
          <cell r="BA28">
            <v>222.60000000000005</v>
          </cell>
          <cell r="BC28">
            <v>307.60000000000002</v>
          </cell>
          <cell r="BD28">
            <v>329.3</v>
          </cell>
          <cell r="BE28">
            <v>636.90000000000009</v>
          </cell>
          <cell r="BG28">
            <v>23.8</v>
          </cell>
          <cell r="BH28">
            <v>3</v>
          </cell>
          <cell r="BI28">
            <v>26.8</v>
          </cell>
          <cell r="BK28">
            <v>0</v>
          </cell>
          <cell r="BL28">
            <v>0</v>
          </cell>
          <cell r="BM28">
            <v>0</v>
          </cell>
          <cell r="BO28">
            <v>307.60000000000002</v>
          </cell>
          <cell r="BP28">
            <v>329.3</v>
          </cell>
          <cell r="BQ28">
            <v>636.90000000000009</v>
          </cell>
          <cell r="BS28" t="str">
            <v xml:space="preserve"> 2Q</v>
          </cell>
          <cell r="BT28">
            <v>39.200000000000003</v>
          </cell>
          <cell r="BU28">
            <v>151.1</v>
          </cell>
          <cell r="BV28">
            <v>190.3</v>
          </cell>
          <cell r="BX28">
            <v>69.7</v>
          </cell>
          <cell r="BY28">
            <v>21.7</v>
          </cell>
          <cell r="BZ28">
            <v>91.4</v>
          </cell>
          <cell r="CB28">
            <v>22</v>
          </cell>
          <cell r="CC28">
            <v>45</v>
          </cell>
          <cell r="CD28">
            <v>67</v>
          </cell>
          <cell r="CJ28">
            <v>19.2</v>
          </cell>
          <cell r="CK28">
            <v>6.7</v>
          </cell>
          <cell r="CL28">
            <v>25.9</v>
          </cell>
          <cell r="CN28">
            <v>38</v>
          </cell>
          <cell r="CO28">
            <v>2.7</v>
          </cell>
          <cell r="CP28">
            <v>40.700000000000003</v>
          </cell>
          <cell r="CR28">
            <v>21</v>
          </cell>
          <cell r="CS28">
            <v>2</v>
          </cell>
          <cell r="CT28">
            <v>23</v>
          </cell>
          <cell r="CV28" t="str">
            <v xml:space="preserve"> 2Q</v>
          </cell>
          <cell r="CX28">
            <v>20</v>
          </cell>
          <cell r="CY28">
            <v>0</v>
          </cell>
          <cell r="CZ28">
            <v>20</v>
          </cell>
          <cell r="DB28">
            <v>22</v>
          </cell>
          <cell r="DC28">
            <v>1</v>
          </cell>
          <cell r="DD28">
            <v>23</v>
          </cell>
          <cell r="DF28">
            <v>7</v>
          </cell>
          <cell r="DG28">
            <v>6</v>
          </cell>
          <cell r="DH28">
            <v>13</v>
          </cell>
          <cell r="DJ28">
            <v>68.900000000000034</v>
          </cell>
          <cell r="DK28">
            <v>140.13000000000002</v>
          </cell>
          <cell r="DL28">
            <v>209.03000000000006</v>
          </cell>
          <cell r="DN28">
            <v>327</v>
          </cell>
          <cell r="DO28">
            <v>376.33</v>
          </cell>
          <cell r="DP28">
            <v>703.32999999999993</v>
          </cell>
          <cell r="DR28" t="str">
            <v xml:space="preserve"> 2Q</v>
          </cell>
          <cell r="DS28">
            <v>17.3</v>
          </cell>
          <cell r="DT28">
            <v>75.8</v>
          </cell>
          <cell r="DU28">
            <v>93.1</v>
          </cell>
          <cell r="DW28">
            <v>40.4</v>
          </cell>
          <cell r="DX28">
            <v>56.3</v>
          </cell>
          <cell r="DY28">
            <v>96.699999999999989</v>
          </cell>
          <cell r="EA28">
            <v>6.3</v>
          </cell>
          <cell r="EB28">
            <v>48.9</v>
          </cell>
          <cell r="EC28">
            <v>55.199999999999996</v>
          </cell>
          <cell r="EE28">
            <v>3</v>
          </cell>
          <cell r="EF28">
            <v>38</v>
          </cell>
          <cell r="EG28">
            <v>41</v>
          </cell>
          <cell r="EI28">
            <v>23.1</v>
          </cell>
          <cell r="EJ28">
            <v>2.9</v>
          </cell>
          <cell r="EK28">
            <v>26</v>
          </cell>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A29" t="str">
            <v xml:space="preserve"> 3Q</v>
          </cell>
          <cell r="B29">
            <v>0</v>
          </cell>
          <cell r="C29">
            <v>0</v>
          </cell>
          <cell r="D29">
            <v>0</v>
          </cell>
          <cell r="F29">
            <v>0</v>
          </cell>
          <cell r="G29">
            <v>0</v>
          </cell>
          <cell r="H29">
            <v>0</v>
          </cell>
          <cell r="J29">
            <v>22.6</v>
          </cell>
          <cell r="K29">
            <v>43.6</v>
          </cell>
          <cell r="L29">
            <v>66.2</v>
          </cell>
          <cell r="N29">
            <v>25</v>
          </cell>
          <cell r="O29">
            <v>31</v>
          </cell>
          <cell r="P29">
            <v>56</v>
          </cell>
          <cell r="R29">
            <v>51.15</v>
          </cell>
          <cell r="S29">
            <v>8.75</v>
          </cell>
          <cell r="T29">
            <v>59.9</v>
          </cell>
          <cell r="V29">
            <v>20.100000000000001</v>
          </cell>
          <cell r="W29">
            <v>3.9</v>
          </cell>
          <cell r="X29">
            <v>24</v>
          </cell>
          <cell r="AD29">
            <v>29.3</v>
          </cell>
          <cell r="AE29">
            <v>2</v>
          </cell>
          <cell r="AF29">
            <v>31.3</v>
          </cell>
          <cell r="AH29" t="str">
            <v xml:space="preserve"> 3Q</v>
          </cell>
          <cell r="AI29">
            <v>0</v>
          </cell>
          <cell r="AJ29">
            <v>28.5</v>
          </cell>
          <cell r="AK29">
            <v>28.5</v>
          </cell>
          <cell r="AM29">
            <v>3.3</v>
          </cell>
          <cell r="AN29">
            <v>2.5</v>
          </cell>
          <cell r="AO29">
            <v>5.8</v>
          </cell>
          <cell r="AQ29">
            <v>28</v>
          </cell>
          <cell r="AR29">
            <v>48</v>
          </cell>
          <cell r="AS29">
            <v>76</v>
          </cell>
          <cell r="AU29">
            <v>28</v>
          </cell>
          <cell r="AV29">
            <v>48</v>
          </cell>
          <cell r="AW29">
            <v>76</v>
          </cell>
          <cell r="AY29">
            <v>71.150000000000006</v>
          </cell>
          <cell r="AZ29">
            <v>139.14999999999995</v>
          </cell>
          <cell r="BA29">
            <v>210.29999999999995</v>
          </cell>
          <cell r="BC29">
            <v>250.6</v>
          </cell>
          <cell r="BD29">
            <v>307.39999999999998</v>
          </cell>
          <cell r="BE29">
            <v>558</v>
          </cell>
          <cell r="BG29">
            <v>20.100000000000001</v>
          </cell>
          <cell r="BH29">
            <v>3.9</v>
          </cell>
          <cell r="BI29">
            <v>24</v>
          </cell>
          <cell r="BK29">
            <v>0</v>
          </cell>
          <cell r="BL29">
            <v>0</v>
          </cell>
          <cell r="BM29">
            <v>0</v>
          </cell>
          <cell r="BO29">
            <v>250.6</v>
          </cell>
          <cell r="BP29">
            <v>307.39999999999998</v>
          </cell>
          <cell r="BQ29">
            <v>558</v>
          </cell>
          <cell r="BS29" t="str">
            <v xml:space="preserve"> 3Q</v>
          </cell>
          <cell r="BT29">
            <v>45.9</v>
          </cell>
          <cell r="BU29">
            <v>143.69999999999999</v>
          </cell>
          <cell r="BV29">
            <v>189.6</v>
          </cell>
          <cell r="BX29">
            <v>72.5</v>
          </cell>
          <cell r="BY29">
            <v>20</v>
          </cell>
          <cell r="BZ29">
            <v>92.5</v>
          </cell>
          <cell r="CB29">
            <v>20</v>
          </cell>
          <cell r="CC29">
            <v>33</v>
          </cell>
          <cell r="CD29">
            <v>53</v>
          </cell>
          <cell r="CJ29">
            <v>35.9</v>
          </cell>
          <cell r="CK29">
            <v>4.7</v>
          </cell>
          <cell r="CL29">
            <v>40.6</v>
          </cell>
          <cell r="CN29">
            <v>39.700000000000003</v>
          </cell>
          <cell r="CO29">
            <v>2.4</v>
          </cell>
          <cell r="CP29">
            <v>42.1</v>
          </cell>
          <cell r="CR29">
            <v>21.5</v>
          </cell>
          <cell r="CS29">
            <v>1.1000000000000001</v>
          </cell>
          <cell r="CT29">
            <v>22.6</v>
          </cell>
          <cell r="CV29" t="str">
            <v xml:space="preserve"> 3Q</v>
          </cell>
          <cell r="CX29">
            <v>17.600000000000001</v>
          </cell>
          <cell r="CY29">
            <v>0</v>
          </cell>
          <cell r="CZ29">
            <v>17.600000000000001</v>
          </cell>
          <cell r="DB29">
            <v>17</v>
          </cell>
          <cell r="DC29">
            <v>1</v>
          </cell>
          <cell r="DD29">
            <v>18</v>
          </cell>
          <cell r="DF29">
            <v>8</v>
          </cell>
          <cell r="DG29">
            <v>4</v>
          </cell>
          <cell r="DH29">
            <v>12</v>
          </cell>
          <cell r="DJ29">
            <v>102.20000000000002</v>
          </cell>
          <cell r="DK29">
            <v>140.80000000000001</v>
          </cell>
          <cell r="DL29">
            <v>243.00000000000003</v>
          </cell>
          <cell r="DN29">
            <v>380.3</v>
          </cell>
          <cell r="DO29">
            <v>350.7</v>
          </cell>
          <cell r="DP29">
            <v>731</v>
          </cell>
          <cell r="DR29" t="str">
            <v xml:space="preserve"> 3Q</v>
          </cell>
          <cell r="DS29">
            <v>59.8</v>
          </cell>
          <cell r="DT29">
            <v>74.8</v>
          </cell>
          <cell r="DU29">
            <v>134.6</v>
          </cell>
          <cell r="DW29">
            <v>31.8</v>
          </cell>
          <cell r="DX29">
            <v>44.8</v>
          </cell>
          <cell r="DY29">
            <v>76.599999999999994</v>
          </cell>
          <cell r="EA29">
            <v>4.7</v>
          </cell>
          <cell r="EB29">
            <v>53.3</v>
          </cell>
          <cell r="EC29">
            <v>58</v>
          </cell>
          <cell r="EE29">
            <v>3</v>
          </cell>
          <cell r="EF29">
            <v>39</v>
          </cell>
          <cell r="EG29">
            <v>42</v>
          </cell>
          <cell r="EI29">
            <v>25.2</v>
          </cell>
          <cell r="EJ29">
            <v>3.4</v>
          </cell>
          <cell r="EK29">
            <v>28.599999999999998</v>
          </cell>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A30" t="str">
            <v xml:space="preserve"> 4Q</v>
          </cell>
          <cell r="B30">
            <v>0</v>
          </cell>
          <cell r="C30">
            <v>0</v>
          </cell>
          <cell r="D30">
            <v>0</v>
          </cell>
          <cell r="F30">
            <v>0</v>
          </cell>
          <cell r="G30">
            <v>0</v>
          </cell>
          <cell r="H30">
            <v>0</v>
          </cell>
          <cell r="J30">
            <v>30.5</v>
          </cell>
          <cell r="K30">
            <v>52.2</v>
          </cell>
          <cell r="L30">
            <v>82.7</v>
          </cell>
          <cell r="N30">
            <v>21</v>
          </cell>
          <cell r="O30">
            <v>34</v>
          </cell>
          <cell r="P30">
            <v>55</v>
          </cell>
          <cell r="R30">
            <v>49.5</v>
          </cell>
          <cell r="S30">
            <v>9.5</v>
          </cell>
          <cell r="T30">
            <v>59</v>
          </cell>
          <cell r="V30">
            <v>24</v>
          </cell>
          <cell r="W30">
            <v>5.9</v>
          </cell>
          <cell r="X30">
            <v>29.9</v>
          </cell>
          <cell r="AD30">
            <v>27</v>
          </cell>
          <cell r="AE30">
            <v>3</v>
          </cell>
          <cell r="AF30">
            <v>30</v>
          </cell>
          <cell r="AH30" t="str">
            <v xml:space="preserve"> 4Q</v>
          </cell>
          <cell r="AI30">
            <v>0</v>
          </cell>
          <cell r="AJ30">
            <v>29</v>
          </cell>
          <cell r="AK30">
            <v>29</v>
          </cell>
          <cell r="AM30">
            <v>5</v>
          </cell>
          <cell r="AN30">
            <v>3.8</v>
          </cell>
          <cell r="AO30">
            <v>8.8000000000000007</v>
          </cell>
          <cell r="AQ30">
            <v>31</v>
          </cell>
          <cell r="AR30">
            <v>52</v>
          </cell>
          <cell r="AS30">
            <v>83</v>
          </cell>
          <cell r="AU30">
            <v>31</v>
          </cell>
          <cell r="AV30">
            <v>52</v>
          </cell>
          <cell r="AW30">
            <v>83</v>
          </cell>
          <cell r="AY30">
            <v>53</v>
          </cell>
          <cell r="AZ30">
            <v>147.6</v>
          </cell>
          <cell r="BA30">
            <v>200.6</v>
          </cell>
          <cell r="BC30">
            <v>241</v>
          </cell>
          <cell r="BD30">
            <v>337</v>
          </cell>
          <cell r="BE30">
            <v>578</v>
          </cell>
          <cell r="BG30">
            <v>24</v>
          </cell>
          <cell r="BH30">
            <v>5.9</v>
          </cell>
          <cell r="BI30">
            <v>29.9</v>
          </cell>
          <cell r="BK30">
            <v>0</v>
          </cell>
          <cell r="BL30">
            <v>0</v>
          </cell>
          <cell r="BM30">
            <v>0</v>
          </cell>
          <cell r="BO30">
            <v>241</v>
          </cell>
          <cell r="BP30">
            <v>337</v>
          </cell>
          <cell r="BQ30">
            <v>578</v>
          </cell>
          <cell r="BS30" t="str">
            <v xml:space="preserve"> 4Q</v>
          </cell>
          <cell r="BT30">
            <v>39.6</v>
          </cell>
          <cell r="BU30">
            <v>146</v>
          </cell>
          <cell r="BV30">
            <v>185.6</v>
          </cell>
          <cell r="BX30">
            <v>95</v>
          </cell>
          <cell r="BY30">
            <v>23.8</v>
          </cell>
          <cell r="BZ30">
            <v>118.8</v>
          </cell>
          <cell r="CB30">
            <v>23</v>
          </cell>
          <cell r="CC30">
            <v>35</v>
          </cell>
          <cell r="CD30">
            <v>58</v>
          </cell>
          <cell r="CJ30">
            <v>44</v>
          </cell>
          <cell r="CK30">
            <v>7</v>
          </cell>
          <cell r="CL30">
            <v>51</v>
          </cell>
          <cell r="CN30">
            <v>25.9</v>
          </cell>
          <cell r="CO30">
            <v>2.7</v>
          </cell>
          <cell r="CP30">
            <v>28.599999999999998</v>
          </cell>
          <cell r="CR30">
            <v>21</v>
          </cell>
          <cell r="CS30">
            <v>3</v>
          </cell>
          <cell r="CT30">
            <v>24</v>
          </cell>
          <cell r="CV30" t="str">
            <v xml:space="preserve"> 4Q</v>
          </cell>
          <cell r="CX30">
            <v>26</v>
          </cell>
          <cell r="CY30">
            <v>0</v>
          </cell>
          <cell r="CZ30">
            <v>26</v>
          </cell>
          <cell r="DB30">
            <v>12</v>
          </cell>
          <cell r="DC30">
            <v>1</v>
          </cell>
          <cell r="DD30">
            <v>13</v>
          </cell>
          <cell r="DF30">
            <v>11</v>
          </cell>
          <cell r="DG30">
            <v>9</v>
          </cell>
          <cell r="DH30">
            <v>20</v>
          </cell>
          <cell r="DJ30">
            <v>71.799999999999983</v>
          </cell>
          <cell r="DK30">
            <v>141.80000000000001</v>
          </cell>
          <cell r="DL30">
            <v>213.6</v>
          </cell>
          <cell r="DN30">
            <v>369.3</v>
          </cell>
          <cell r="DO30">
            <v>369.3</v>
          </cell>
          <cell r="DP30">
            <v>738.6</v>
          </cell>
          <cell r="DR30" t="str">
            <v xml:space="preserve"> 4Q</v>
          </cell>
          <cell r="DS30">
            <v>57.1</v>
          </cell>
          <cell r="DT30">
            <v>104.8</v>
          </cell>
          <cell r="DU30">
            <v>161.9</v>
          </cell>
          <cell r="DW30">
            <v>31.8</v>
          </cell>
          <cell r="DX30">
            <v>64.900000000000006</v>
          </cell>
          <cell r="DY30">
            <v>96.7</v>
          </cell>
          <cell r="EA30">
            <v>5.4</v>
          </cell>
          <cell r="EB30">
            <v>51.1</v>
          </cell>
          <cell r="EC30">
            <v>56.5</v>
          </cell>
          <cell r="EE30">
            <v>3</v>
          </cell>
          <cell r="EF30">
            <v>40</v>
          </cell>
          <cell r="EG30">
            <v>43</v>
          </cell>
          <cell r="EI30">
            <v>23.6</v>
          </cell>
          <cell r="EJ30">
            <v>5.6</v>
          </cell>
          <cell r="EK30">
            <v>29.200000000000003</v>
          </cell>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A32" t="str">
            <v xml:space="preserve">1995 </v>
          </cell>
          <cell r="B32">
            <v>0</v>
          </cell>
          <cell r="C32">
            <v>0</v>
          </cell>
          <cell r="D32">
            <v>0</v>
          </cell>
          <cell r="F32">
            <v>0</v>
          </cell>
          <cell r="G32">
            <v>0</v>
          </cell>
          <cell r="H32">
            <v>0</v>
          </cell>
          <cell r="J32">
            <v>139.69999999999999</v>
          </cell>
          <cell r="K32">
            <v>172.39999999999998</v>
          </cell>
          <cell r="L32">
            <v>312.09999999999997</v>
          </cell>
          <cell r="N32">
            <v>120</v>
          </cell>
          <cell r="O32">
            <v>129</v>
          </cell>
          <cell r="P32">
            <v>249</v>
          </cell>
          <cell r="R32">
            <v>213.35</v>
          </cell>
          <cell r="S32">
            <v>34.65</v>
          </cell>
          <cell r="T32">
            <v>248</v>
          </cell>
          <cell r="V32">
            <v>87.2</v>
          </cell>
          <cell r="W32">
            <v>14.700000000000001</v>
          </cell>
          <cell r="X32">
            <v>101.9</v>
          </cell>
          <cell r="AD32">
            <v>105.6</v>
          </cell>
          <cell r="AE32">
            <v>7.6</v>
          </cell>
          <cell r="AF32">
            <v>113.2</v>
          </cell>
          <cell r="AH32" t="str">
            <v xml:space="preserve">1995 </v>
          </cell>
          <cell r="AI32" t="str">
            <v>NA</v>
          </cell>
          <cell r="AJ32">
            <v>122.5</v>
          </cell>
          <cell r="AK32">
            <v>122.5</v>
          </cell>
          <cell r="AM32">
            <v>48.5</v>
          </cell>
          <cell r="AN32">
            <v>10.100000000000001</v>
          </cell>
          <cell r="AO32">
            <v>58.599999999999994</v>
          </cell>
          <cell r="AQ32">
            <v>111</v>
          </cell>
          <cell r="AR32">
            <v>205</v>
          </cell>
          <cell r="AS32">
            <v>316</v>
          </cell>
          <cell r="AU32">
            <v>111</v>
          </cell>
          <cell r="AV32">
            <v>205</v>
          </cell>
          <cell r="AW32">
            <v>316</v>
          </cell>
          <cell r="AY32">
            <v>251.15000000000003</v>
          </cell>
          <cell r="AZ32">
            <v>583.15</v>
          </cell>
          <cell r="BA32">
            <v>834.3</v>
          </cell>
          <cell r="BC32">
            <v>1076.5</v>
          </cell>
          <cell r="BD32">
            <v>1279.0999999999999</v>
          </cell>
          <cell r="BE32">
            <v>2355.6000000000004</v>
          </cell>
          <cell r="BG32">
            <v>87.2</v>
          </cell>
          <cell r="BH32">
            <v>14.700000000000001</v>
          </cell>
          <cell r="BI32">
            <v>101.9</v>
          </cell>
          <cell r="BK32">
            <v>0</v>
          </cell>
          <cell r="BL32">
            <v>0</v>
          </cell>
          <cell r="BM32">
            <v>0</v>
          </cell>
          <cell r="BO32">
            <v>1076.5</v>
          </cell>
          <cell r="BP32">
            <v>1279.0999999999999</v>
          </cell>
          <cell r="BQ32">
            <v>2355.6000000000004</v>
          </cell>
          <cell r="BS32" t="str">
            <v>Year</v>
          </cell>
          <cell r="BT32">
            <v>156</v>
          </cell>
          <cell r="BU32">
            <v>563</v>
          </cell>
          <cell r="BV32">
            <v>719</v>
          </cell>
          <cell r="BX32">
            <v>294.74</v>
          </cell>
          <cell r="BY32">
            <v>83.5</v>
          </cell>
          <cell r="BZ32">
            <v>378.24</v>
          </cell>
          <cell r="CB32">
            <v>84</v>
          </cell>
          <cell r="CC32">
            <v>149</v>
          </cell>
          <cell r="CD32">
            <v>233</v>
          </cell>
          <cell r="CJ32">
            <v>121.9</v>
          </cell>
          <cell r="CK32">
            <v>25.4</v>
          </cell>
          <cell r="CL32">
            <v>147.30000000000001</v>
          </cell>
          <cell r="CN32">
            <v>131.53</v>
          </cell>
          <cell r="CO32">
            <v>9.8500000000000014</v>
          </cell>
          <cell r="CP32">
            <v>141.38</v>
          </cell>
          <cell r="CR32">
            <v>84.5</v>
          </cell>
          <cell r="CS32">
            <v>7.1</v>
          </cell>
          <cell r="CT32">
            <v>91.6</v>
          </cell>
          <cell r="CV32" t="str">
            <v>Year</v>
          </cell>
          <cell r="CX32">
            <v>84.6</v>
          </cell>
          <cell r="CY32">
            <v>0</v>
          </cell>
          <cell r="CZ32">
            <v>84.6</v>
          </cell>
          <cell r="DB32">
            <v>69</v>
          </cell>
          <cell r="DC32">
            <v>4</v>
          </cell>
          <cell r="DD32">
            <v>73</v>
          </cell>
          <cell r="DF32">
            <v>33</v>
          </cell>
          <cell r="DG32">
            <v>25</v>
          </cell>
          <cell r="DH32">
            <v>58</v>
          </cell>
          <cell r="DJ32">
            <v>301.52999999999997</v>
          </cell>
          <cell r="DK32">
            <v>560.11</v>
          </cell>
          <cell r="DL32">
            <v>861.6400000000001</v>
          </cell>
          <cell r="DN32">
            <v>1360.8</v>
          </cell>
          <cell r="DO32">
            <v>1426.96</v>
          </cell>
          <cell r="DP32">
            <v>2787.7599999999998</v>
          </cell>
          <cell r="DR32" t="str">
            <v xml:space="preserve">1995 </v>
          </cell>
          <cell r="DS32">
            <v>155.80000000000001</v>
          </cell>
          <cell r="DT32">
            <v>333.2</v>
          </cell>
          <cell r="DU32">
            <v>489</v>
          </cell>
          <cell r="DW32">
            <v>131.1</v>
          </cell>
          <cell r="DX32">
            <v>203.29999999999998</v>
          </cell>
          <cell r="DY32">
            <v>334.4</v>
          </cell>
          <cell r="EA32">
            <v>21</v>
          </cell>
          <cell r="EB32">
            <v>194.1</v>
          </cell>
          <cell r="EC32">
            <v>215.1</v>
          </cell>
          <cell r="EE32">
            <v>12</v>
          </cell>
          <cell r="EF32">
            <v>153</v>
          </cell>
          <cell r="EG32">
            <v>165</v>
          </cell>
          <cell r="EI32">
            <v>93</v>
          </cell>
          <cell r="EJ32">
            <v>14.2</v>
          </cell>
          <cell r="EK32">
            <v>107.2</v>
          </cell>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A34" t="str">
            <v xml:space="preserve">1996/95 </v>
          </cell>
          <cell r="AH34" t="str">
            <v xml:space="preserve">1996/95 </v>
          </cell>
          <cell r="BS34" t="str">
            <v xml:space="preserve">1996/95 </v>
          </cell>
          <cell r="CV34" t="str">
            <v xml:space="preserve">1996/95 </v>
          </cell>
          <cell r="DR34" t="str">
            <v xml:space="preserve">1996/95 </v>
          </cell>
          <cell r="EM34" t="str">
            <v xml:space="preserve">1996/95 </v>
          </cell>
        </row>
        <row r="35">
          <cell r="A35" t="str">
            <v xml:space="preserve"> 1Q</v>
          </cell>
          <cell r="B35" t="str">
            <v>NM</v>
          </cell>
          <cell r="C35" t="str">
            <v>NM</v>
          </cell>
          <cell r="D35" t="str">
            <v>NM</v>
          </cell>
          <cell r="F35" t="str">
            <v>NM</v>
          </cell>
          <cell r="G35" t="str">
            <v>NM</v>
          </cell>
          <cell r="H35" t="str">
            <v>NM</v>
          </cell>
          <cell r="J35">
            <v>0.24938875305623487</v>
          </cell>
          <cell r="K35">
            <v>0.29649595687331542</v>
          </cell>
          <cell r="L35">
            <v>0.27179487179487194</v>
          </cell>
          <cell r="N35">
            <v>-0.4</v>
          </cell>
          <cell r="O35">
            <v>6.6666666666666652E-2</v>
          </cell>
          <cell r="P35">
            <v>-0.19999999999999996</v>
          </cell>
          <cell r="R35">
            <v>0.30712979890310788</v>
          </cell>
          <cell r="S35">
            <v>0.10256410256410264</v>
          </cell>
          <cell r="T35">
            <v>0.28159999999999985</v>
          </cell>
          <cell r="V35">
            <v>1.0362694300518132</v>
          </cell>
          <cell r="W35">
            <v>3.2105263157894735</v>
          </cell>
          <cell r="X35">
            <v>1.2311320754716979</v>
          </cell>
          <cell r="AD35">
            <v>0.46183206106870212</v>
          </cell>
          <cell r="AE35">
            <v>1.0909090909090904</v>
          </cell>
          <cell r="AF35">
            <v>0.487179487179487</v>
          </cell>
          <cell r="AH35" t="str">
            <v xml:space="preserve"> 1Q</v>
          </cell>
          <cell r="AI35" t="str">
            <v>NM</v>
          </cell>
          <cell r="AJ35">
            <v>-0.125</v>
          </cell>
          <cell r="AK35">
            <v>-0.125</v>
          </cell>
          <cell r="AM35">
            <v>-8.496732026143794E-2</v>
          </cell>
          <cell r="AN35">
            <v>1.5</v>
          </cell>
          <cell r="AO35">
            <v>6.5088757396449592E-2</v>
          </cell>
          <cell r="AQ35">
            <v>0.28000000000000003</v>
          </cell>
          <cell r="AR35">
            <v>0.20408163265306123</v>
          </cell>
          <cell r="AS35">
            <v>0.22972972972972983</v>
          </cell>
          <cell r="AU35">
            <v>0.28000000000000003</v>
          </cell>
          <cell r="AV35">
            <v>0.20408163265306123</v>
          </cell>
          <cell r="AW35">
            <v>0.22972972972972983</v>
          </cell>
          <cell r="AY35">
            <v>-4.651162790697716E-2</v>
          </cell>
          <cell r="AZ35">
            <v>6.2111801242239473E-3</v>
          </cell>
          <cell r="BA35">
            <v>-8.4661354581673232E-3</v>
          </cell>
          <cell r="BC35">
            <v>0.1666065632888567</v>
          </cell>
          <cell r="BD35">
            <v>9.9541584806810857E-2</v>
          </cell>
          <cell r="BE35">
            <v>0.13145701046850844</v>
          </cell>
          <cell r="BG35">
            <v>1.0362694300518132</v>
          </cell>
          <cell r="BH35">
            <v>3.2105263157894735</v>
          </cell>
          <cell r="BI35">
            <v>1.2311320754716979</v>
          </cell>
          <cell r="BK35" t="str">
            <v>NM</v>
          </cell>
          <cell r="BL35" t="str">
            <v>NM</v>
          </cell>
          <cell r="BM35" t="str">
            <v>NM</v>
          </cell>
          <cell r="BO35">
            <v>0.1666065632888567</v>
          </cell>
          <cell r="BP35">
            <v>9.9541584806810857E-2</v>
          </cell>
          <cell r="BQ35">
            <v>0.13145701046850844</v>
          </cell>
          <cell r="BS35" t="str">
            <v xml:space="preserve"> 1Q</v>
          </cell>
          <cell r="BT35">
            <v>0.10223642172523961</v>
          </cell>
          <cell r="BU35">
            <v>0.15220949263502459</v>
          </cell>
          <cell r="BV35">
            <v>0.14201954397394134</v>
          </cell>
          <cell r="BX35">
            <v>0.23044838373305532</v>
          </cell>
          <cell r="BY35">
            <v>0.21111111111111125</v>
          </cell>
          <cell r="BZ35">
            <v>0.22584061424410917</v>
          </cell>
          <cell r="CB35">
            <v>0.10526315789473695</v>
          </cell>
          <cell r="CC35">
            <v>0.16666666666666674</v>
          </cell>
          <cell r="CD35">
            <v>0.1454545454545455</v>
          </cell>
          <cell r="CJ35">
            <v>0.30701754385964919</v>
          </cell>
          <cell r="CK35">
            <v>0.19999999999999996</v>
          </cell>
          <cell r="CL35">
            <v>0.28187919463087252</v>
          </cell>
          <cell r="CN35">
            <v>0.18152524167561768</v>
          </cell>
          <cell r="CO35">
            <v>-7.3170731707317027E-2</v>
          </cell>
          <cell r="CP35">
            <v>0.16410940627084725</v>
          </cell>
          <cell r="CR35">
            <v>9.52380952380949E-3</v>
          </cell>
          <cell r="CS35">
            <v>1</v>
          </cell>
          <cell r="CT35">
            <v>5.4545454545454453E-2</v>
          </cell>
          <cell r="CV35" t="str">
            <v xml:space="preserve"> 1Q</v>
          </cell>
          <cell r="CX35">
            <v>0.12857142857142856</v>
          </cell>
          <cell r="CY35" t="str">
            <v>NM</v>
          </cell>
          <cell r="CZ35">
            <v>0.12857142857142856</v>
          </cell>
          <cell r="DB35">
            <v>0.16111111111111098</v>
          </cell>
          <cell r="DC35">
            <v>0</v>
          </cell>
          <cell r="DD35">
            <v>0.15263157894736845</v>
          </cell>
          <cell r="DF35">
            <v>-0.2857142857142857</v>
          </cell>
          <cell r="DG35">
            <v>0.5</v>
          </cell>
          <cell r="DH35">
            <v>7.6923076923076872E-2</v>
          </cell>
          <cell r="DJ35">
            <v>0.19563363465802497</v>
          </cell>
          <cell r="DK35">
            <v>4.7459601106420113E-2</v>
          </cell>
          <cell r="DL35">
            <v>9.1781031580021377E-2</v>
          </cell>
          <cell r="DN35">
            <v>0.16115411681914149</v>
          </cell>
          <cell r="DO35">
            <v>0.12149532710280386</v>
          </cell>
          <cell r="DP35">
            <v>0.1398272693264806</v>
          </cell>
          <cell r="DR35" t="str">
            <v xml:space="preserve"> 1Q</v>
          </cell>
          <cell r="DS35">
            <v>0.23611111111111094</v>
          </cell>
          <cell r="DT35">
            <v>0.3176092544987148</v>
          </cell>
          <cell r="DU35">
            <v>0.29989939637826968</v>
          </cell>
          <cell r="DW35">
            <v>4.7970479704796842E-2</v>
          </cell>
          <cell r="DX35">
            <v>0.28150134048257369</v>
          </cell>
          <cell r="DY35">
            <v>0.18322981366459601</v>
          </cell>
          <cell r="EA35">
            <v>0.10869565217391308</v>
          </cell>
          <cell r="EB35">
            <v>0.15196078431372562</v>
          </cell>
          <cell r="EC35">
            <v>0.14757709251101336</v>
          </cell>
          <cell r="EE35">
            <v>-3.3333333333333326E-2</v>
          </cell>
          <cell r="EF35">
            <v>0.16666666666666674</v>
          </cell>
          <cell r="EG35">
            <v>0.15128205128205119</v>
          </cell>
          <cell r="EI35">
            <v>0.20379146919431257</v>
          </cell>
          <cell r="EJ35">
            <v>0.73913043478260887</v>
          </cell>
          <cell r="EK35">
            <v>0.25641025641025617</v>
          </cell>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A36" t="str">
            <v xml:space="preserve"> 2Q</v>
          </cell>
          <cell r="B36" t="str">
            <v>NM</v>
          </cell>
          <cell r="C36" t="str">
            <v>NM</v>
          </cell>
          <cell r="D36" t="str">
            <v>NM</v>
          </cell>
          <cell r="F36" t="str">
            <v>NM</v>
          </cell>
          <cell r="G36" t="str">
            <v>NM</v>
          </cell>
          <cell r="H36" t="str">
            <v>NM</v>
          </cell>
          <cell r="J36">
            <v>9.1903719912472592E-2</v>
          </cell>
          <cell r="K36">
            <v>0.3645569620253164</v>
          </cell>
          <cell r="L36">
            <v>0.21830985915492951</v>
          </cell>
          <cell r="N36">
            <v>-0.7</v>
          </cell>
          <cell r="O36">
            <v>-9.7058823529411753E-2</v>
          </cell>
          <cell r="P36">
            <v>-0.39852941176470591</v>
          </cell>
          <cell r="R36">
            <v>8.6206896551724199E-2</v>
          </cell>
          <cell r="S36">
            <v>8.1395348837209447E-2</v>
          </cell>
          <cell r="T36">
            <v>8.55855855855856E-2</v>
          </cell>
          <cell r="V36">
            <v>0.89495798319327724</v>
          </cell>
          <cell r="W36">
            <v>1.7666666666666671</v>
          </cell>
          <cell r="X36">
            <v>0.99253731343283591</v>
          </cell>
          <cell r="AD36">
            <v>0.51082251082251062</v>
          </cell>
          <cell r="AE36">
            <v>0.73333333333333339</v>
          </cell>
          <cell r="AF36">
            <v>0.52439024390243905</v>
          </cell>
          <cell r="AH36" t="str">
            <v xml:space="preserve"> 2Q</v>
          </cell>
          <cell r="AI36" t="str">
            <v>NM</v>
          </cell>
          <cell r="AJ36">
            <v>-0.12121212121212122</v>
          </cell>
          <cell r="AK36">
            <v>-0.12121212121212122</v>
          </cell>
          <cell r="AM36">
            <v>-0.59036144578313254</v>
          </cell>
          <cell r="AN36">
            <v>1.1363636363636362</v>
          </cell>
          <cell r="AO36">
            <v>-0.45018450184501846</v>
          </cell>
          <cell r="AQ36">
            <v>0.14074074074074083</v>
          </cell>
          <cell r="AR36">
            <v>1.2499999999999956E-2</v>
          </cell>
          <cell r="AS36">
            <v>5.4216867469879526E-2</v>
          </cell>
          <cell r="AU36">
            <v>0.14074074074074083</v>
          </cell>
          <cell r="AV36">
            <v>1.2499999999999956E-2</v>
          </cell>
          <cell r="AW36">
            <v>5.4216867469879526E-2</v>
          </cell>
          <cell r="AY36">
            <v>-0.50773558368495053</v>
          </cell>
          <cell r="AZ36">
            <v>-5.6765676567656742E-2</v>
          </cell>
          <cell r="BA36">
            <v>-0.20080862533692712</v>
          </cell>
          <cell r="BC36">
            <v>-9.2652795838751634E-2</v>
          </cell>
          <cell r="BD36">
            <v>2.6723352566049297E-2</v>
          </cell>
          <cell r="BE36">
            <v>-3.0931072381849667E-2</v>
          </cell>
          <cell r="BG36">
            <v>0.89495798319327724</v>
          </cell>
          <cell r="BH36">
            <v>1.7666666666666671</v>
          </cell>
          <cell r="BI36">
            <v>0.99253731343283591</v>
          </cell>
          <cell r="BK36" t="str">
            <v>NM</v>
          </cell>
          <cell r="BL36" t="str">
            <v>NM</v>
          </cell>
          <cell r="BM36" t="str">
            <v>NM</v>
          </cell>
          <cell r="BO36">
            <v>-9.2652795838751634E-2</v>
          </cell>
          <cell r="BP36">
            <v>2.6723352566049297E-2</v>
          </cell>
          <cell r="BQ36">
            <v>-3.0931072381849667E-2</v>
          </cell>
          <cell r="BS36" t="str">
            <v xml:space="preserve"> 2Q</v>
          </cell>
          <cell r="BT36">
            <v>9.4387755102040671E-2</v>
          </cell>
          <cell r="BU36">
            <v>-3.9046988749172784E-2</v>
          </cell>
          <cell r="BV36">
            <v>-1.1560693641618602E-2</v>
          </cell>
          <cell r="BX36">
            <v>1.4347202295552419E-2</v>
          </cell>
          <cell r="BY36">
            <v>0.11059907834101401</v>
          </cell>
          <cell r="BZ36">
            <v>3.7199124726477129E-2</v>
          </cell>
          <cell r="CB36">
            <v>-4.5454545454545414E-2</v>
          </cell>
          <cell r="CC36">
            <v>-0.22222222222222221</v>
          </cell>
          <cell r="CD36">
            <v>-0.16417910447761197</v>
          </cell>
          <cell r="CJ36">
            <v>2.0833333333333481E-2</v>
          </cell>
          <cell r="CK36">
            <v>-0.17910447761194037</v>
          </cell>
          <cell r="CL36">
            <v>-3.0888030888030826E-2</v>
          </cell>
          <cell r="CN36">
            <v>-0.20526315789473681</v>
          </cell>
          <cell r="CO36">
            <v>-0.11111111111111116</v>
          </cell>
          <cell r="CP36">
            <v>-0.19901719901719905</v>
          </cell>
          <cell r="CR36">
            <v>-0.14761904761904765</v>
          </cell>
          <cell r="CS36">
            <v>0.14999999999999991</v>
          </cell>
          <cell r="CT36">
            <v>-0.12173913043478268</v>
          </cell>
          <cell r="CV36" t="str">
            <v xml:space="preserve"> 2Q</v>
          </cell>
          <cell r="CX36">
            <v>-4.0000000000000036E-2</v>
          </cell>
          <cell r="CY36" t="str">
            <v>NM</v>
          </cell>
          <cell r="CZ36">
            <v>-4.0000000000000036E-2</v>
          </cell>
          <cell r="DB36">
            <v>-0.14090909090909098</v>
          </cell>
          <cell r="DC36">
            <v>1</v>
          </cell>
          <cell r="DD36">
            <v>-9.1304347826086985E-2</v>
          </cell>
          <cell r="DF36">
            <v>-0.2857142857142857</v>
          </cell>
          <cell r="DG36">
            <v>0</v>
          </cell>
          <cell r="DH36">
            <v>-0.15384615384615385</v>
          </cell>
          <cell r="DJ36">
            <v>0.62989840348330883</v>
          </cell>
          <cell r="DK36">
            <v>-8.3707985442089794E-2</v>
          </cell>
          <cell r="DL36">
            <v>0.15150935272448907</v>
          </cell>
          <cell r="DN36">
            <v>9.3883792048929715E-2</v>
          </cell>
          <cell r="DO36">
            <v>-6.7573672043153676E-2</v>
          </cell>
          <cell r="DP36">
            <v>7.4929265067606998E-3</v>
          </cell>
          <cell r="DR36" t="str">
            <v xml:space="preserve"> 2Q</v>
          </cell>
          <cell r="DS36">
            <v>0.32369942196531776</v>
          </cell>
          <cell r="DT36">
            <v>0.14907651715039583</v>
          </cell>
          <cell r="DU36">
            <v>0.18152524167561768</v>
          </cell>
          <cell r="DW36">
            <v>4.7029702970297071E-2</v>
          </cell>
          <cell r="DX36">
            <v>-6.2166962699822359E-2</v>
          </cell>
          <cell r="DY36">
            <v>-1.6546018614270852E-2</v>
          </cell>
          <cell r="EA36">
            <v>-0.19047619047619047</v>
          </cell>
          <cell r="EB36">
            <v>-1.8404907975460127E-2</v>
          </cell>
          <cell r="EC36">
            <v>-3.8043478260869512E-2</v>
          </cell>
          <cell r="EE36">
            <v>-3.3333333333333326E-2</v>
          </cell>
          <cell r="EF36">
            <v>0.13157894736842102</v>
          </cell>
          <cell r="EG36">
            <v>0.1195121951219511</v>
          </cell>
          <cell r="EI36">
            <v>-7.3593073593073766E-2</v>
          </cell>
          <cell r="EJ36">
            <v>0.44827586206896552</v>
          </cell>
          <cell r="EK36">
            <v>-1.5384615384615441E-2</v>
          </cell>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A37" t="str">
            <v xml:space="preserve"> 3Q</v>
          </cell>
          <cell r="B37" t="str">
            <v>NM</v>
          </cell>
          <cell r="C37" t="str">
            <v>NM</v>
          </cell>
          <cell r="D37" t="str">
            <v>NM</v>
          </cell>
          <cell r="F37" t="str">
            <v>NM</v>
          </cell>
          <cell r="G37" t="str">
            <v>NM</v>
          </cell>
          <cell r="H37" t="str">
            <v>NM</v>
          </cell>
          <cell r="J37">
            <v>1.3362831858407076</v>
          </cell>
          <cell r="K37">
            <v>0.11009174311926606</v>
          </cell>
          <cell r="L37">
            <v>0.52870090634441058</v>
          </cell>
          <cell r="N37">
            <v>-0.56000000000000005</v>
          </cell>
          <cell r="O37">
            <v>-3.2258064516129004E-2</v>
          </cell>
          <cell r="P37">
            <v>-0.2678571428571429</v>
          </cell>
          <cell r="R37">
            <v>-5.1808406647116279E-2</v>
          </cell>
          <cell r="S37">
            <v>6.2857142857142945E-2</v>
          </cell>
          <cell r="T37">
            <v>-3.5058430717863076E-2</v>
          </cell>
          <cell r="V37">
            <v>1.5472636815920398</v>
          </cell>
          <cell r="W37">
            <v>1.2051282051282053</v>
          </cell>
          <cell r="X37">
            <v>1.4916666666666667</v>
          </cell>
          <cell r="AD37">
            <v>0.23549488054607526</v>
          </cell>
          <cell r="AE37">
            <v>0.25</v>
          </cell>
          <cell r="AF37">
            <v>0.23642172523961658</v>
          </cell>
          <cell r="AH37" t="str">
            <v xml:space="preserve"> 3Q</v>
          </cell>
          <cell r="AI37" t="str">
            <v>NM</v>
          </cell>
          <cell r="AJ37">
            <v>-8.7719298245614086E-2</v>
          </cell>
          <cell r="AK37">
            <v>-8.7719298245614086E-2</v>
          </cell>
          <cell r="AM37">
            <v>2.9393939393939394</v>
          </cell>
          <cell r="AN37">
            <v>1</v>
          </cell>
          <cell r="AO37">
            <v>2.103448275862069</v>
          </cell>
          <cell r="AQ37">
            <v>3.5714285714285809E-2</v>
          </cell>
          <cell r="AR37">
            <v>2.0833333333333259E-2</v>
          </cell>
          <cell r="AS37">
            <v>2.6315789473684292E-2</v>
          </cell>
          <cell r="AU37">
            <v>3.5714285714285809E-2</v>
          </cell>
          <cell r="AV37">
            <v>2.0833333333333259E-2</v>
          </cell>
          <cell r="AW37">
            <v>2.6315789473684292E-2</v>
          </cell>
          <cell r="AY37">
            <v>-0.32255797610681725</v>
          </cell>
          <cell r="AZ37">
            <v>-2.8386633129715677E-2</v>
          </cell>
          <cell r="BA37">
            <v>-0.12791250594388959</v>
          </cell>
          <cell r="BC37">
            <v>0.15682362330407007</v>
          </cell>
          <cell r="BD37">
            <v>2.1470396877033338E-2</v>
          </cell>
          <cell r="BE37">
            <v>8.2258064516129048E-2</v>
          </cell>
          <cell r="BG37">
            <v>1.5472636815920398</v>
          </cell>
          <cell r="BH37">
            <v>1.2051282051282053</v>
          </cell>
          <cell r="BI37">
            <v>1.4916666666666667</v>
          </cell>
          <cell r="BK37" t="str">
            <v>NM</v>
          </cell>
          <cell r="BL37" t="str">
            <v>NM</v>
          </cell>
          <cell r="BM37" t="str">
            <v>NM</v>
          </cell>
          <cell r="BO37">
            <v>0.15682362330407007</v>
          </cell>
          <cell r="BP37">
            <v>2.1470396877033338E-2</v>
          </cell>
          <cell r="BQ37">
            <v>8.2258064516129048E-2</v>
          </cell>
          <cell r="BS37" t="str">
            <v xml:space="preserve"> 3Q</v>
          </cell>
          <cell r="BT37">
            <v>-2.1786492374727628E-2</v>
          </cell>
          <cell r="BU37">
            <v>1.1830201809325036E-2</v>
          </cell>
          <cell r="BV37">
            <v>3.6919831223629629E-3</v>
          </cell>
          <cell r="BX37">
            <v>2.7586206896551779E-2</v>
          </cell>
          <cell r="BY37">
            <v>0.16500000000000004</v>
          </cell>
          <cell r="BZ37">
            <v>5.7297297297297156E-2</v>
          </cell>
          <cell r="CB37">
            <v>-5.0000000000000044E-2</v>
          </cell>
          <cell r="CC37">
            <v>-3.0303030303030276E-2</v>
          </cell>
          <cell r="CD37">
            <v>-3.7735849056603765E-2</v>
          </cell>
          <cell r="CJ37">
            <v>5.0139275766016844E-2</v>
          </cell>
          <cell r="CK37">
            <v>0.1914893617021276</v>
          </cell>
          <cell r="CL37">
            <v>6.6502463054187277E-2</v>
          </cell>
          <cell r="CN37">
            <v>-5.0377833753149082E-3</v>
          </cell>
          <cell r="CO37">
            <v>-0.29166666666666663</v>
          </cell>
          <cell r="CP37">
            <v>-2.1377672209026088E-2</v>
          </cell>
          <cell r="CR37">
            <v>-9.7674418604651203E-2</v>
          </cell>
          <cell r="CS37">
            <v>0.90909090909090895</v>
          </cell>
          <cell r="CT37">
            <v>-4.8672566371681492E-2</v>
          </cell>
          <cell r="CV37" t="str">
            <v xml:space="preserve"> 3Q</v>
          </cell>
          <cell r="CX37">
            <v>0.10795454545454541</v>
          </cell>
          <cell r="CY37" t="str">
            <v>NM</v>
          </cell>
          <cell r="CZ37">
            <v>0.10795454545454541</v>
          </cell>
          <cell r="DB37">
            <v>0.11176470588235277</v>
          </cell>
          <cell r="DC37">
            <v>0</v>
          </cell>
          <cell r="DD37">
            <v>0.1055555555555554</v>
          </cell>
          <cell r="DF37">
            <v>-1.2499999999999956E-2</v>
          </cell>
          <cell r="DG37">
            <v>0.75</v>
          </cell>
          <cell r="DH37">
            <v>0.2416666666666667</v>
          </cell>
          <cell r="DJ37">
            <v>-0.21135029354207457</v>
          </cell>
          <cell r="DK37">
            <v>-0.20951704545454575</v>
          </cell>
          <cell r="DL37">
            <v>-0.21028806584362159</v>
          </cell>
          <cell r="DN37">
            <v>-4.8382855640284106E-2</v>
          </cell>
          <cell r="DO37">
            <v>-6.0735671514114631E-2</v>
          </cell>
          <cell r="DP37">
            <v>-5.4309165526675862E-2</v>
          </cell>
          <cell r="DR37" t="str">
            <v xml:space="preserve"> 3Q</v>
          </cell>
          <cell r="DS37">
            <v>-5.3511705685618693E-2</v>
          </cell>
          <cell r="DT37">
            <v>0.20454545454545459</v>
          </cell>
          <cell r="DU37">
            <v>8.9895988112927094E-2</v>
          </cell>
          <cell r="DW37">
            <v>-0.12264150943396235</v>
          </cell>
          <cell r="DX37">
            <v>5.5803571428571397E-2</v>
          </cell>
          <cell r="DY37">
            <v>-1.8276762402088864E-2</v>
          </cell>
          <cell r="EA37">
            <v>6.3829787234042534E-2</v>
          </cell>
          <cell r="EB37">
            <v>-0.17448405253283295</v>
          </cell>
          <cell r="EC37">
            <v>-0.15517241379310343</v>
          </cell>
          <cell r="EE37">
            <v>0</v>
          </cell>
          <cell r="EF37">
            <v>0.15384615384615374</v>
          </cell>
          <cell r="EG37">
            <v>0.14285714285714279</v>
          </cell>
          <cell r="EI37">
            <v>-9.5238095238095233E-2</v>
          </cell>
          <cell r="EJ37">
            <v>0.17647058823529416</v>
          </cell>
          <cell r="EK37">
            <v>-6.2937062937062804E-2</v>
          </cell>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A38" t="str">
            <v xml:space="preserve"> 4Q</v>
          </cell>
          <cell r="B38" t="str">
            <v>NM</v>
          </cell>
          <cell r="C38" t="str">
            <v>NM</v>
          </cell>
          <cell r="D38" t="str">
            <v>NM</v>
          </cell>
          <cell r="F38" t="str">
            <v>NM</v>
          </cell>
          <cell r="G38" t="str">
            <v>NM</v>
          </cell>
          <cell r="H38" t="str">
            <v>NM</v>
          </cell>
          <cell r="J38">
            <v>0.6163934426229507</v>
          </cell>
          <cell r="K38">
            <v>5.7471264367816577E-3</v>
          </cell>
          <cell r="L38">
            <v>0.23095525997581623</v>
          </cell>
          <cell r="N38">
            <v>-0.52380952380952384</v>
          </cell>
          <cell r="O38">
            <v>-8.8235294117647078E-2</v>
          </cell>
          <cell r="P38">
            <v>-0.25454545454545452</v>
          </cell>
          <cell r="R38">
            <v>0.15353535353535364</v>
          </cell>
          <cell r="S38">
            <v>5.2631578947368363E-2</v>
          </cell>
          <cell r="T38">
            <v>0.13728813559322028</v>
          </cell>
          <cell r="V38">
            <v>1.5041666666666669</v>
          </cell>
          <cell r="W38">
            <v>0.76271186440677963</v>
          </cell>
          <cell r="X38">
            <v>1.3578595317725752</v>
          </cell>
          <cell r="AD38">
            <v>0.39999999999999991</v>
          </cell>
          <cell r="AE38">
            <v>-9.9999999999999978E-2</v>
          </cell>
          <cell r="AF38">
            <v>0.35000000000000009</v>
          </cell>
          <cell r="AH38" t="str">
            <v xml:space="preserve"> 4Q</v>
          </cell>
          <cell r="AI38" t="str">
            <v>NM</v>
          </cell>
          <cell r="AJ38">
            <v>3.4482758620689724E-2</v>
          </cell>
          <cell r="AK38">
            <v>3.4482758620689724E-2</v>
          </cell>
          <cell r="AM38">
            <v>0.8</v>
          </cell>
          <cell r="AN38">
            <v>0.31578947368421062</v>
          </cell>
          <cell r="AO38">
            <v>0.59090909090909083</v>
          </cell>
          <cell r="AQ38">
            <v>-9.6774193548387122E-2</v>
          </cell>
          <cell r="AR38">
            <v>-7.6923076923076872E-2</v>
          </cell>
          <cell r="AS38">
            <v>-8.4337349397590411E-2</v>
          </cell>
          <cell r="AU38">
            <v>-9.6774193548387122E-2</v>
          </cell>
          <cell r="AV38">
            <v>-7.6923076923076872E-2</v>
          </cell>
          <cell r="AW38">
            <v>-8.4337349397590411E-2</v>
          </cell>
          <cell r="AY38">
            <v>-0.58679245283018888</v>
          </cell>
          <cell r="AZ38">
            <v>-6.7750677506774881E-3</v>
          </cell>
          <cell r="BA38">
            <v>-0.16001994017946164</v>
          </cell>
          <cell r="BC38">
            <v>0.13360995850622404</v>
          </cell>
          <cell r="BD38">
            <v>-2.3738872403561428E-3</v>
          </cell>
          <cell r="BE38">
            <v>5.4325259515570989E-2</v>
          </cell>
          <cell r="BG38">
            <v>1.5041666666666669</v>
          </cell>
          <cell r="BH38">
            <v>0.76271186440677963</v>
          </cell>
          <cell r="BI38">
            <v>1.3578595317725752</v>
          </cell>
          <cell r="BK38" t="str">
            <v>NM</v>
          </cell>
          <cell r="BL38" t="str">
            <v>NM</v>
          </cell>
          <cell r="BM38" t="str">
            <v>NM</v>
          </cell>
          <cell r="BO38">
            <v>0.19585062240663897</v>
          </cell>
          <cell r="BP38">
            <v>-2.3738872403561428E-3</v>
          </cell>
          <cell r="BQ38">
            <v>8.0276816608996437E-2</v>
          </cell>
          <cell r="BS38" t="str">
            <v xml:space="preserve"> 4Q</v>
          </cell>
          <cell r="BT38">
            <v>2.020202020202011E-2</v>
          </cell>
          <cell r="BU38">
            <v>-6.164383561643838E-3</v>
          </cell>
          <cell r="BV38">
            <v>-5.3879310344828735E-4</v>
          </cell>
          <cell r="BX38">
            <v>-0.15157894736842115</v>
          </cell>
          <cell r="BY38">
            <v>9.243697478991586E-2</v>
          </cell>
          <cell r="BZ38">
            <v>-0.10269360269360273</v>
          </cell>
          <cell r="CB38">
            <v>-8.6956521739130488E-2</v>
          </cell>
          <cell r="CC38">
            <v>-8.5714285714285743E-2</v>
          </cell>
          <cell r="CD38">
            <v>-8.6206896551724088E-2</v>
          </cell>
          <cell r="CJ38">
            <v>6.8181818181818121E-2</v>
          </cell>
          <cell r="CK38">
            <v>-5.7142857142857162E-2</v>
          </cell>
          <cell r="CL38">
            <v>5.0980392156862786E-2</v>
          </cell>
          <cell r="CN38">
            <v>0.13127413127413146</v>
          </cell>
          <cell r="CO38">
            <v>-0.55555555555555558</v>
          </cell>
          <cell r="CP38">
            <v>6.643356643356646E-2</v>
          </cell>
          <cell r="CR38">
            <v>-3.8095238095238182E-2</v>
          </cell>
          <cell r="CS38">
            <v>-0.20000000000000007</v>
          </cell>
          <cell r="CT38">
            <v>-5.8333333333333459E-2</v>
          </cell>
          <cell r="CV38" t="str">
            <v xml:space="preserve"> 4Q</v>
          </cell>
          <cell r="CX38">
            <v>3.8461538461538325E-3</v>
          </cell>
          <cell r="CY38" t="str">
            <v>NM</v>
          </cell>
          <cell r="CZ38">
            <v>3.8461538461538325E-3</v>
          </cell>
          <cell r="DB38">
            <v>3.3333333333333437E-2</v>
          </cell>
          <cell r="DC38">
            <v>0.30000000000000004</v>
          </cell>
          <cell r="DD38">
            <v>5.3846153846153877E-2</v>
          </cell>
          <cell r="DF38">
            <v>-0.29999999999999993</v>
          </cell>
          <cell r="DG38">
            <v>-0.1333333333333333</v>
          </cell>
          <cell r="DH38">
            <v>-0.22499999999999998</v>
          </cell>
          <cell r="DJ38">
            <v>-3.6211699164345523E-2</v>
          </cell>
          <cell r="DK38">
            <v>-0.15162200282087457</v>
          </cell>
          <cell r="DL38">
            <v>-0.11282771535580538</v>
          </cell>
          <cell r="DN38">
            <v>-4.170051448686718E-2</v>
          </cell>
          <cell r="DO38">
            <v>-7.2028161386406775E-2</v>
          </cell>
          <cell r="DP38">
            <v>-5.6864337936637033E-2</v>
          </cell>
          <cell r="DR38" t="str">
            <v xml:space="preserve"> 4Q</v>
          </cell>
          <cell r="DS38">
            <v>7.35551663747811E-2</v>
          </cell>
          <cell r="DT38">
            <v>9.6374045801526753E-2</v>
          </cell>
          <cell r="DU38">
            <v>8.8326127239036323E-2</v>
          </cell>
          <cell r="DW38">
            <v>5.9748427672956073E-2</v>
          </cell>
          <cell r="DX38">
            <v>-0.16949152542372892</v>
          </cell>
          <cell r="DY38">
            <v>-9.4105480868666103E-2</v>
          </cell>
          <cell r="EA38">
            <v>-9.259259259259256E-2</v>
          </cell>
          <cell r="EB38">
            <v>2.1526418786692814E-2</v>
          </cell>
          <cell r="EC38">
            <v>1.0619469026548645E-2</v>
          </cell>
          <cell r="EE38">
            <v>-0.23333333333333339</v>
          </cell>
          <cell r="EF38">
            <v>-7.4999999999999512E-3</v>
          </cell>
          <cell r="EG38">
            <v>-2.3255813953488413E-2</v>
          </cell>
          <cell r="EI38">
            <v>5.0847457627118509E-2</v>
          </cell>
          <cell r="EJ38">
            <v>-0.24999999999999989</v>
          </cell>
          <cell r="EK38">
            <v>-6.8493150684932891E-3</v>
          </cell>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A40" t="str">
            <v>1996/95</v>
          </cell>
          <cell r="B40" t="str">
            <v>NM</v>
          </cell>
          <cell r="C40" t="str">
            <v>NM</v>
          </cell>
          <cell r="D40" t="str">
            <v>NM</v>
          </cell>
          <cell r="F40" t="str">
            <v>NM</v>
          </cell>
          <cell r="G40" t="str">
            <v>NM</v>
          </cell>
          <cell r="H40" t="str">
            <v>NM</v>
          </cell>
          <cell r="J40">
            <v>0.45382963493199746</v>
          </cell>
          <cell r="K40">
            <v>0.17691415313225067</v>
          </cell>
          <cell r="L40">
            <v>0.30086510733739202</v>
          </cell>
          <cell r="N40">
            <v>-0.54</v>
          </cell>
          <cell r="O40">
            <v>-4.1085271317829464E-2</v>
          </cell>
          <cell r="P40">
            <v>-0.28152610441767068</v>
          </cell>
          <cell r="R40">
            <v>0.12538082962268571</v>
          </cell>
          <cell r="S40">
            <v>7.3593073593073655E-2</v>
          </cell>
          <cell r="T40">
            <v>0.11814516129032238</v>
          </cell>
          <cell r="V40">
            <v>1.2442660550458715</v>
          </cell>
          <cell r="W40">
            <v>1.4013605442176869</v>
          </cell>
          <cell r="X40">
            <v>1.2669283611383708</v>
          </cell>
          <cell r="AD40">
            <v>0.39393939393939381</v>
          </cell>
          <cell r="AE40">
            <v>0.32894736842105288</v>
          </cell>
          <cell r="AF40">
            <v>0.38957597173144887</v>
          </cell>
          <cell r="AH40" t="str">
            <v>1996/95</v>
          </cell>
          <cell r="AI40" t="str">
            <v>NM</v>
          </cell>
          <cell r="AJ40">
            <v>-7.7551020408163307E-2</v>
          </cell>
          <cell r="AK40">
            <v>-7.7551020408163307E-2</v>
          </cell>
          <cell r="AM40">
            <v>-4.7422680412371077E-2</v>
          </cell>
          <cell r="AN40">
            <v>0.85148514851485113</v>
          </cell>
          <cell r="AO40">
            <v>0.10750853242320835</v>
          </cell>
          <cell r="AQ40">
            <v>7.9279279279279358E-2</v>
          </cell>
          <cell r="AR40">
            <v>3.7560975609756131E-2</v>
          </cell>
          <cell r="AS40">
            <v>5.2215189873417778E-2</v>
          </cell>
          <cell r="AU40">
            <v>7.9279279279279358E-2</v>
          </cell>
          <cell r="AV40">
            <v>3.7560975609756131E-2</v>
          </cell>
          <cell r="AW40">
            <v>5.2215189873417778E-2</v>
          </cell>
          <cell r="AY40">
            <v>-0.36930121441369734</v>
          </cell>
          <cell r="AZ40">
            <v>-2.1692531938609094E-2</v>
          </cell>
          <cell r="BA40">
            <v>-0.12633345319429456</v>
          </cell>
          <cell r="BC40">
            <v>8.286112401300505E-2</v>
          </cell>
          <cell r="BD40">
            <v>3.5180986631225153E-2</v>
          </cell>
          <cell r="BE40">
            <v>5.6970623195788717E-2</v>
          </cell>
          <cell r="BG40">
            <v>1.2442660550458715</v>
          </cell>
          <cell r="BH40">
            <v>1.4013605442176869</v>
          </cell>
          <cell r="BI40">
            <v>1.2669283611383708</v>
          </cell>
          <cell r="BK40" t="str">
            <v>NM</v>
          </cell>
          <cell r="BL40" t="str">
            <v>NM</v>
          </cell>
          <cell r="BM40" t="str">
            <v>NM</v>
          </cell>
          <cell r="BO40">
            <v>9.6795169530887071E-2</v>
          </cell>
          <cell r="BP40">
            <v>3.5180986631225153E-2</v>
          </cell>
          <cell r="BQ40">
            <v>6.3338427576838052E-2</v>
          </cell>
          <cell r="BS40" t="str">
            <v>1996/95</v>
          </cell>
          <cell r="BT40">
            <v>4.2948717948718018E-2</v>
          </cell>
          <cell r="BU40">
            <v>2.3978685612788597E-2</v>
          </cell>
          <cell r="BV40">
            <v>2.8094575799721966E-2</v>
          </cell>
          <cell r="BX40">
            <v>6.3106466716429388E-3</v>
          </cell>
          <cell r="BY40">
            <v>0.14011976047904184</v>
          </cell>
          <cell r="BZ40">
            <v>3.585025380710638E-2</v>
          </cell>
          <cell r="CB40">
            <v>-2.3809523809523836E-2</v>
          </cell>
          <cell r="CC40">
            <v>-5.3691275167785268E-2</v>
          </cell>
          <cell r="CD40">
            <v>-4.2918454935622297E-2</v>
          </cell>
          <cell r="CJ40">
            <v>0.10008203445447106</v>
          </cell>
          <cell r="CK40">
            <v>2.7559055118110409E-2</v>
          </cell>
          <cell r="CL40">
            <v>8.7576374745417462E-2</v>
          </cell>
          <cell r="CN40">
            <v>3.5733292784916326E-3</v>
          </cell>
          <cell r="CO40">
            <v>-0.269035532994924</v>
          </cell>
          <cell r="CP40">
            <v>-1.5419436978356238E-2</v>
          </cell>
          <cell r="CR40">
            <v>-6.8639053254437976E-2</v>
          </cell>
          <cell r="CS40">
            <v>0.23943661971830998</v>
          </cell>
          <cell r="CT40">
            <v>-4.4759825327510883E-2</v>
          </cell>
          <cell r="CV40" t="str">
            <v>1996/95</v>
          </cell>
          <cell r="CX40">
            <v>4.6099290780141855E-2</v>
          </cell>
          <cell r="CY40" t="str">
            <v>NM</v>
          </cell>
          <cell r="CZ40">
            <v>4.6099290780141855E-2</v>
          </cell>
          <cell r="DB40">
            <v>3.0434782608695476E-2</v>
          </cell>
          <cell r="DC40">
            <v>0.32499999999999996</v>
          </cell>
          <cell r="DD40">
            <v>4.6575342465753344E-2</v>
          </cell>
          <cell r="DF40">
            <v>-0.22424242424242435</v>
          </cell>
          <cell r="DG40">
            <v>0.19199999999999995</v>
          </cell>
          <cell r="DH40">
            <v>-4.482758620689653E-2</v>
          </cell>
          <cell r="DJ40">
            <v>0.10171458892979146</v>
          </cell>
          <cell r="DK40">
            <v>-0.10035528735426991</v>
          </cell>
          <cell r="DL40">
            <v>-2.9641149435959524E-2</v>
          </cell>
          <cell r="DN40">
            <v>3.1378600823045222E-2</v>
          </cell>
          <cell r="DO40">
            <v>-2.3238212703930117E-2</v>
          </cell>
          <cell r="DP40">
            <v>3.4221023330558431E-3</v>
          </cell>
          <cell r="DR40" t="str">
            <v>1996/95</v>
          </cell>
          <cell r="DS40">
            <v>7.5096277278562162E-2</v>
          </cell>
          <cell r="DT40">
            <v>0.18430372148859542</v>
          </cell>
          <cell r="DU40">
            <v>0.14950920245398747</v>
          </cell>
          <cell r="DW40">
            <v>9.1533180778033962E-3</v>
          </cell>
          <cell r="DX40">
            <v>-7.3782587309394465E-3</v>
          </cell>
          <cell r="DY40">
            <v>-8.9712918660289631E-4</v>
          </cell>
          <cell r="EA40">
            <v>-4.2857142857142816E-2</v>
          </cell>
          <cell r="EB40">
            <v>-1.494075218959301E-2</v>
          </cell>
          <cell r="EC40">
            <v>-1.766620176662026E-2</v>
          </cell>
          <cell r="EE40">
            <v>-7.4999999999999845E-2</v>
          </cell>
          <cell r="EF40">
            <v>0.10915032679738546</v>
          </cell>
          <cell r="EG40">
            <v>9.575757575757593E-2</v>
          </cell>
          <cell r="EI40">
            <v>1.5053763440860068E-2</v>
          </cell>
          <cell r="EJ40">
            <v>0.15492957746478875</v>
          </cell>
          <cell r="EK40">
            <v>3.3582089552238736E-2</v>
          </cell>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A42" t="str">
            <v>1996</v>
          </cell>
          <cell r="AH42" t="str">
            <v>1996</v>
          </cell>
          <cell r="BS42" t="str">
            <v>1996</v>
          </cell>
          <cell r="CV42" t="str">
            <v>1996</v>
          </cell>
          <cell r="DR42" t="str">
            <v>1996</v>
          </cell>
          <cell r="EM42" t="str">
            <v>1996</v>
          </cell>
        </row>
        <row r="43">
          <cell r="A43" t="str">
            <v xml:space="preserve"> 1Q</v>
          </cell>
          <cell r="B43">
            <v>0</v>
          </cell>
          <cell r="C43">
            <v>0</v>
          </cell>
          <cell r="D43">
            <v>0</v>
          </cell>
          <cell r="F43">
            <v>0</v>
          </cell>
          <cell r="G43">
            <v>0</v>
          </cell>
          <cell r="H43">
            <v>0</v>
          </cell>
          <cell r="J43">
            <v>51.1</v>
          </cell>
          <cell r="K43">
            <v>48.1</v>
          </cell>
          <cell r="L43">
            <v>99.2</v>
          </cell>
          <cell r="N43">
            <v>24</v>
          </cell>
          <cell r="O43">
            <v>32</v>
          </cell>
          <cell r="P43">
            <v>56</v>
          </cell>
          <cell r="R43">
            <v>71.5</v>
          </cell>
          <cell r="S43">
            <v>8.6</v>
          </cell>
          <cell r="T43">
            <v>80.099999999999994</v>
          </cell>
          <cell r="V43">
            <v>39.299999999999997</v>
          </cell>
          <cell r="W43">
            <v>8</v>
          </cell>
          <cell r="X43">
            <v>47.3</v>
          </cell>
          <cell r="AD43">
            <v>38.299999999999997</v>
          </cell>
          <cell r="AE43">
            <v>2.2999999999999998</v>
          </cell>
          <cell r="AF43">
            <v>40.599999999999994</v>
          </cell>
          <cell r="AH43" t="str">
            <v xml:space="preserve"> 1Q</v>
          </cell>
          <cell r="AI43">
            <v>0</v>
          </cell>
          <cell r="AJ43">
            <v>28</v>
          </cell>
          <cell r="AK43">
            <v>28</v>
          </cell>
          <cell r="AM43">
            <v>14</v>
          </cell>
          <cell r="AN43">
            <v>4</v>
          </cell>
          <cell r="AO43">
            <v>18</v>
          </cell>
          <cell r="AQ43">
            <v>32</v>
          </cell>
          <cell r="AR43">
            <v>59</v>
          </cell>
          <cell r="AS43">
            <v>91</v>
          </cell>
          <cell r="AU43">
            <v>32</v>
          </cell>
          <cell r="AV43">
            <v>59</v>
          </cell>
          <cell r="AW43">
            <v>91</v>
          </cell>
          <cell r="AY43">
            <v>53.299999999999969</v>
          </cell>
          <cell r="AZ43">
            <v>145.79999999999998</v>
          </cell>
          <cell r="BA43">
            <v>199.09999999999997</v>
          </cell>
          <cell r="BC43">
            <v>323.5</v>
          </cell>
          <cell r="BD43">
            <v>335.8</v>
          </cell>
          <cell r="BE43">
            <v>659.3</v>
          </cell>
          <cell r="BG43">
            <v>39.299999999999997</v>
          </cell>
          <cell r="BH43">
            <v>8</v>
          </cell>
          <cell r="BI43">
            <v>47.3</v>
          </cell>
          <cell r="BK43">
            <v>0</v>
          </cell>
          <cell r="BL43">
            <v>0</v>
          </cell>
          <cell r="BM43">
            <v>0</v>
          </cell>
          <cell r="BO43">
            <v>323.5</v>
          </cell>
          <cell r="BP43">
            <v>335.8</v>
          </cell>
          <cell r="BQ43">
            <v>659.3</v>
          </cell>
          <cell r="BS43" t="str">
            <v xml:space="preserve"> 1Q</v>
          </cell>
          <cell r="BT43">
            <v>34.5</v>
          </cell>
          <cell r="BU43">
            <v>140.80000000000001</v>
          </cell>
          <cell r="BV43">
            <v>175.3</v>
          </cell>
          <cell r="BX43">
            <v>70.8</v>
          </cell>
          <cell r="BY43">
            <v>21.8</v>
          </cell>
          <cell r="BZ43">
            <v>92.6</v>
          </cell>
          <cell r="CB43">
            <v>21</v>
          </cell>
          <cell r="CC43">
            <v>42</v>
          </cell>
          <cell r="CD43">
            <v>63</v>
          </cell>
          <cell r="CJ43">
            <v>29.8</v>
          </cell>
          <cell r="CK43">
            <v>8.4</v>
          </cell>
          <cell r="CL43">
            <v>38.200000000000003</v>
          </cell>
          <cell r="CN43">
            <v>33</v>
          </cell>
          <cell r="CO43">
            <v>1.9</v>
          </cell>
          <cell r="CP43">
            <v>34.9</v>
          </cell>
          <cell r="CR43">
            <v>21.2</v>
          </cell>
          <cell r="CS43">
            <v>2</v>
          </cell>
          <cell r="CT43">
            <v>23.2</v>
          </cell>
          <cell r="CV43" t="str">
            <v xml:space="preserve"> 1Q</v>
          </cell>
          <cell r="CX43">
            <v>23.7</v>
          </cell>
          <cell r="CY43">
            <v>0</v>
          </cell>
          <cell r="CZ43">
            <v>23.7</v>
          </cell>
          <cell r="DB43">
            <v>20.9</v>
          </cell>
          <cell r="DC43">
            <v>1</v>
          </cell>
          <cell r="DD43">
            <v>21.9</v>
          </cell>
          <cell r="DF43">
            <v>5</v>
          </cell>
          <cell r="DG43">
            <v>9</v>
          </cell>
          <cell r="DH43">
            <v>14</v>
          </cell>
          <cell r="DJ43">
            <v>70.099999999999966</v>
          </cell>
          <cell r="DK43">
            <v>143.89999999999998</v>
          </cell>
          <cell r="DL43">
            <v>213.99999999999994</v>
          </cell>
          <cell r="DN43">
            <v>330</v>
          </cell>
          <cell r="DO43">
            <v>370.8</v>
          </cell>
          <cell r="DP43">
            <v>700.8</v>
          </cell>
          <cell r="DR43" t="str">
            <v xml:space="preserve"> 1Q</v>
          </cell>
          <cell r="DS43">
            <v>26.7</v>
          </cell>
          <cell r="DT43">
            <v>102.51</v>
          </cell>
          <cell r="DU43">
            <v>129.21</v>
          </cell>
          <cell r="DW43">
            <v>28.4</v>
          </cell>
          <cell r="DX43">
            <v>47.8</v>
          </cell>
          <cell r="DY43">
            <v>76.199999999999989</v>
          </cell>
          <cell r="EA43">
            <v>5.0999999999999996</v>
          </cell>
          <cell r="EB43">
            <v>47</v>
          </cell>
          <cell r="EC43">
            <v>52.1</v>
          </cell>
          <cell r="EE43">
            <v>2.9</v>
          </cell>
          <cell r="EF43">
            <v>42</v>
          </cell>
          <cell r="EG43">
            <v>44.9</v>
          </cell>
          <cell r="EI43">
            <v>25.4</v>
          </cell>
          <cell r="EJ43">
            <v>4</v>
          </cell>
          <cell r="EK43">
            <v>29.4</v>
          </cell>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A44" t="str">
            <v xml:space="preserve"> 2Q</v>
          </cell>
          <cell r="B44">
            <v>0</v>
          </cell>
          <cell r="C44">
            <v>0</v>
          </cell>
          <cell r="D44">
            <v>0</v>
          </cell>
          <cell r="F44">
            <v>0</v>
          </cell>
          <cell r="G44">
            <v>0</v>
          </cell>
          <cell r="H44">
            <v>0</v>
          </cell>
          <cell r="J44">
            <v>49.9</v>
          </cell>
          <cell r="K44">
            <v>53.9</v>
          </cell>
          <cell r="L44">
            <v>103.8</v>
          </cell>
          <cell r="N44">
            <v>10.199999999999999</v>
          </cell>
          <cell r="O44">
            <v>30.7</v>
          </cell>
          <cell r="P44">
            <v>40.9</v>
          </cell>
          <cell r="R44">
            <v>63</v>
          </cell>
          <cell r="S44">
            <v>9.3000000000000007</v>
          </cell>
          <cell r="T44">
            <v>72.3</v>
          </cell>
          <cell r="V44">
            <v>45.1</v>
          </cell>
          <cell r="W44">
            <v>8.3000000000000007</v>
          </cell>
          <cell r="X44">
            <v>53.400000000000006</v>
          </cell>
          <cell r="AD44">
            <v>34.9</v>
          </cell>
          <cell r="AE44">
            <v>2.6</v>
          </cell>
          <cell r="AF44">
            <v>37.5</v>
          </cell>
          <cell r="AH44" t="str">
            <v xml:space="preserve"> 2Q</v>
          </cell>
          <cell r="AI44">
            <v>0</v>
          </cell>
          <cell r="AJ44">
            <v>29</v>
          </cell>
          <cell r="AK44">
            <v>29</v>
          </cell>
          <cell r="AM44">
            <v>10.199999999999999</v>
          </cell>
          <cell r="AN44">
            <v>4.7</v>
          </cell>
          <cell r="AO44">
            <v>14.899999999999999</v>
          </cell>
          <cell r="AQ44">
            <v>30.8</v>
          </cell>
          <cell r="AR44">
            <v>56.7</v>
          </cell>
          <cell r="AS44">
            <v>87.5</v>
          </cell>
          <cell r="AU44">
            <v>30.8</v>
          </cell>
          <cell r="AV44">
            <v>56.7</v>
          </cell>
          <cell r="AW44">
            <v>87.5</v>
          </cell>
          <cell r="AY44">
            <v>35.000000000000028</v>
          </cell>
          <cell r="AZ44">
            <v>142.90000000000003</v>
          </cell>
          <cell r="BA44">
            <v>177.90000000000006</v>
          </cell>
          <cell r="BC44">
            <v>279.10000000000002</v>
          </cell>
          <cell r="BD44">
            <v>338.1</v>
          </cell>
          <cell r="BE44">
            <v>617.20000000000005</v>
          </cell>
          <cell r="BG44">
            <v>45.1</v>
          </cell>
          <cell r="BH44">
            <v>8.3000000000000007</v>
          </cell>
          <cell r="BI44">
            <v>53.400000000000006</v>
          </cell>
          <cell r="BK44">
            <v>0</v>
          </cell>
          <cell r="BL44">
            <v>0</v>
          </cell>
          <cell r="BM44">
            <v>0</v>
          </cell>
          <cell r="BO44">
            <v>279.10000000000002</v>
          </cell>
          <cell r="BP44">
            <v>338.1</v>
          </cell>
          <cell r="BQ44">
            <v>617.20000000000005</v>
          </cell>
          <cell r="BS44" t="str">
            <v xml:space="preserve"> 2Q</v>
          </cell>
          <cell r="BT44">
            <v>42.9</v>
          </cell>
          <cell r="BU44">
            <v>145.19999999999999</v>
          </cell>
          <cell r="BV44">
            <v>188.1</v>
          </cell>
          <cell r="BX44">
            <v>70.7</v>
          </cell>
          <cell r="BY44">
            <v>24.1</v>
          </cell>
          <cell r="BZ44">
            <v>94.800000000000011</v>
          </cell>
          <cell r="CB44">
            <v>21</v>
          </cell>
          <cell r="CC44">
            <v>35</v>
          </cell>
          <cell r="CD44">
            <v>56</v>
          </cell>
          <cell r="CJ44">
            <v>19.600000000000001</v>
          </cell>
          <cell r="CK44">
            <v>5.5</v>
          </cell>
          <cell r="CL44">
            <v>25.1</v>
          </cell>
          <cell r="CN44">
            <v>30.2</v>
          </cell>
          <cell r="CO44">
            <v>2.4</v>
          </cell>
          <cell r="CP44">
            <v>32.6</v>
          </cell>
          <cell r="CR44">
            <v>17.899999999999999</v>
          </cell>
          <cell r="CS44">
            <v>2.2999999999999998</v>
          </cell>
          <cell r="CT44">
            <v>20.2</v>
          </cell>
          <cell r="CV44" t="str">
            <v xml:space="preserve"> 2Q</v>
          </cell>
          <cell r="CX44">
            <v>19.2</v>
          </cell>
          <cell r="CY44">
            <v>0</v>
          </cell>
          <cell r="CZ44">
            <v>19.2</v>
          </cell>
          <cell r="DB44">
            <v>18.899999999999999</v>
          </cell>
          <cell r="DC44">
            <v>2</v>
          </cell>
          <cell r="DD44">
            <v>20.9</v>
          </cell>
          <cell r="DF44">
            <v>5</v>
          </cell>
          <cell r="DG44">
            <v>6</v>
          </cell>
          <cell r="DH44">
            <v>11</v>
          </cell>
          <cell r="DJ44">
            <v>112.30000000000004</v>
          </cell>
          <cell r="DK44">
            <v>128.39999999999998</v>
          </cell>
          <cell r="DL44">
            <v>240.70000000000002</v>
          </cell>
          <cell r="DN44">
            <v>357.7</v>
          </cell>
          <cell r="DO44">
            <v>350.9</v>
          </cell>
          <cell r="DP44">
            <v>708.59999999999991</v>
          </cell>
          <cell r="DR44" t="str">
            <v xml:space="preserve"> 2Q</v>
          </cell>
          <cell r="DS44">
            <v>22.9</v>
          </cell>
          <cell r="DT44">
            <v>87.1</v>
          </cell>
          <cell r="DU44">
            <v>110</v>
          </cell>
          <cell r="DW44">
            <v>42.3</v>
          </cell>
          <cell r="DX44">
            <v>52.8</v>
          </cell>
          <cell r="DY44">
            <v>95.1</v>
          </cell>
          <cell r="EA44">
            <v>5.0999999999999996</v>
          </cell>
          <cell r="EB44">
            <v>48</v>
          </cell>
          <cell r="EC44">
            <v>53.1</v>
          </cell>
          <cell r="EE44">
            <v>2.9</v>
          </cell>
          <cell r="EF44">
            <v>43</v>
          </cell>
          <cell r="EG44">
            <v>45.9</v>
          </cell>
          <cell r="EI44">
            <v>21.4</v>
          </cell>
          <cell r="EJ44">
            <v>4.2</v>
          </cell>
          <cell r="EK44">
            <v>25.599999999999998</v>
          </cell>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A45" t="str">
            <v xml:space="preserve"> 3Q</v>
          </cell>
          <cell r="B45">
            <v>0</v>
          </cell>
          <cell r="C45">
            <v>0</v>
          </cell>
          <cell r="D45">
            <v>0</v>
          </cell>
          <cell r="F45">
            <v>0</v>
          </cell>
          <cell r="G45">
            <v>0</v>
          </cell>
          <cell r="H45">
            <v>0</v>
          </cell>
          <cell r="J45">
            <v>52.8</v>
          </cell>
          <cell r="K45">
            <v>48.4</v>
          </cell>
          <cell r="L45">
            <v>101.19999999999999</v>
          </cell>
          <cell r="N45">
            <v>11</v>
          </cell>
          <cell r="O45">
            <v>30</v>
          </cell>
          <cell r="P45">
            <v>41</v>
          </cell>
          <cell r="R45">
            <v>48.5</v>
          </cell>
          <cell r="S45">
            <v>9.3000000000000007</v>
          </cell>
          <cell r="T45">
            <v>57.8</v>
          </cell>
          <cell r="V45">
            <v>51.2</v>
          </cell>
          <cell r="W45">
            <v>8.6</v>
          </cell>
          <cell r="X45">
            <v>59.800000000000004</v>
          </cell>
          <cell r="AD45">
            <v>36.200000000000003</v>
          </cell>
          <cell r="AE45">
            <v>2.5</v>
          </cell>
          <cell r="AF45">
            <v>38.700000000000003</v>
          </cell>
          <cell r="AH45" t="str">
            <v xml:space="preserve"> 3Q</v>
          </cell>
          <cell r="AI45">
            <v>0</v>
          </cell>
          <cell r="AJ45">
            <v>26</v>
          </cell>
          <cell r="AK45">
            <v>26</v>
          </cell>
          <cell r="AM45">
            <v>13</v>
          </cell>
          <cell r="AN45">
            <v>5</v>
          </cell>
          <cell r="AO45">
            <v>18</v>
          </cell>
          <cell r="AQ45">
            <v>29</v>
          </cell>
          <cell r="AR45">
            <v>49</v>
          </cell>
          <cell r="AS45">
            <v>78</v>
          </cell>
          <cell r="AU45">
            <v>29</v>
          </cell>
          <cell r="AV45">
            <v>49</v>
          </cell>
          <cell r="AW45">
            <v>78</v>
          </cell>
          <cell r="AY45">
            <v>48.19999999999996</v>
          </cell>
          <cell r="AZ45">
            <v>135.20000000000002</v>
          </cell>
          <cell r="BA45">
            <v>183.39999999999998</v>
          </cell>
          <cell r="BC45">
            <v>289.89999999999998</v>
          </cell>
          <cell r="BD45">
            <v>314</v>
          </cell>
          <cell r="BE45">
            <v>603.9</v>
          </cell>
          <cell r="BG45">
            <v>51.2</v>
          </cell>
          <cell r="BH45">
            <v>8.6</v>
          </cell>
          <cell r="BI45">
            <v>59.800000000000004</v>
          </cell>
          <cell r="BK45">
            <v>0</v>
          </cell>
          <cell r="BL45">
            <v>0</v>
          </cell>
          <cell r="BM45">
            <v>0</v>
          </cell>
          <cell r="BO45">
            <v>289.89999999999998</v>
          </cell>
          <cell r="BP45">
            <v>314</v>
          </cell>
          <cell r="BQ45">
            <v>603.9</v>
          </cell>
          <cell r="BS45" t="str">
            <v xml:space="preserve"> 3Q</v>
          </cell>
          <cell r="BT45">
            <v>44.9</v>
          </cell>
          <cell r="BU45">
            <v>145.4</v>
          </cell>
          <cell r="BV45">
            <v>190.3</v>
          </cell>
          <cell r="BX45">
            <v>74.5</v>
          </cell>
          <cell r="BY45">
            <v>23.3</v>
          </cell>
          <cell r="BZ45">
            <v>97.8</v>
          </cell>
          <cell r="CB45">
            <v>19</v>
          </cell>
          <cell r="CC45">
            <v>32</v>
          </cell>
          <cell r="CD45">
            <v>51</v>
          </cell>
          <cell r="CJ45">
            <v>37.700000000000003</v>
          </cell>
          <cell r="CK45">
            <v>5.6</v>
          </cell>
          <cell r="CL45">
            <v>43.300000000000004</v>
          </cell>
          <cell r="CN45">
            <v>39.5</v>
          </cell>
          <cell r="CO45">
            <v>1.7</v>
          </cell>
          <cell r="CP45">
            <v>41.2</v>
          </cell>
          <cell r="CR45">
            <v>19.399999999999999</v>
          </cell>
          <cell r="CS45">
            <v>2.1</v>
          </cell>
          <cell r="CT45">
            <v>21.5</v>
          </cell>
          <cell r="CV45" t="str">
            <v xml:space="preserve"> 3Q</v>
          </cell>
          <cell r="CX45">
            <v>19.5</v>
          </cell>
          <cell r="CY45">
            <v>0</v>
          </cell>
          <cell r="CZ45">
            <v>19.5</v>
          </cell>
          <cell r="DB45">
            <v>18.899999999999999</v>
          </cell>
          <cell r="DC45">
            <v>1</v>
          </cell>
          <cell r="DD45">
            <v>19.899999999999999</v>
          </cell>
          <cell r="DF45">
            <v>7.9</v>
          </cell>
          <cell r="DG45">
            <v>7</v>
          </cell>
          <cell r="DH45">
            <v>14.9</v>
          </cell>
          <cell r="DJ45">
            <v>80.599999999999994</v>
          </cell>
          <cell r="DK45">
            <v>111.29999999999997</v>
          </cell>
          <cell r="DL45">
            <v>191.89999999999998</v>
          </cell>
          <cell r="DN45">
            <v>361.9</v>
          </cell>
          <cell r="DO45">
            <v>329.4</v>
          </cell>
          <cell r="DP45">
            <v>691.3</v>
          </cell>
          <cell r="DR45" t="str">
            <v xml:space="preserve"> 3Q</v>
          </cell>
          <cell r="DS45">
            <v>56.6</v>
          </cell>
          <cell r="DT45">
            <v>90.1</v>
          </cell>
          <cell r="DU45">
            <v>146.69999999999999</v>
          </cell>
          <cell r="DW45">
            <v>27.9</v>
          </cell>
          <cell r="DX45">
            <v>47.3</v>
          </cell>
          <cell r="DY45">
            <v>75.199999999999989</v>
          </cell>
          <cell r="EA45">
            <v>5</v>
          </cell>
          <cell r="EB45">
            <v>44</v>
          </cell>
          <cell r="EC45">
            <v>49</v>
          </cell>
          <cell r="EE45">
            <v>3</v>
          </cell>
          <cell r="EF45">
            <v>45</v>
          </cell>
          <cell r="EG45">
            <v>48</v>
          </cell>
          <cell r="EI45">
            <v>22.8</v>
          </cell>
          <cell r="EJ45">
            <v>4</v>
          </cell>
          <cell r="EK45">
            <v>26.8</v>
          </cell>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A46" t="str">
            <v xml:space="preserve"> 4Q</v>
          </cell>
          <cell r="B46">
            <v>0</v>
          </cell>
          <cell r="C46">
            <v>0</v>
          </cell>
          <cell r="D46">
            <v>0</v>
          </cell>
          <cell r="F46">
            <v>0</v>
          </cell>
          <cell r="G46">
            <v>0</v>
          </cell>
          <cell r="H46">
            <v>0</v>
          </cell>
          <cell r="J46">
            <v>49.3</v>
          </cell>
          <cell r="K46">
            <v>52.5</v>
          </cell>
          <cell r="L46">
            <v>101.8</v>
          </cell>
          <cell r="N46">
            <v>10</v>
          </cell>
          <cell r="O46">
            <v>31</v>
          </cell>
          <cell r="P46">
            <v>41</v>
          </cell>
          <cell r="R46">
            <v>57.1</v>
          </cell>
          <cell r="S46">
            <v>10</v>
          </cell>
          <cell r="T46">
            <v>67.099999999999994</v>
          </cell>
          <cell r="V46">
            <v>60.1</v>
          </cell>
          <cell r="W46">
            <v>10.4</v>
          </cell>
          <cell r="X46">
            <v>70.5</v>
          </cell>
          <cell r="AD46">
            <v>37.799999999999997</v>
          </cell>
          <cell r="AE46">
            <v>2.7</v>
          </cell>
          <cell r="AF46">
            <v>40.5</v>
          </cell>
          <cell r="AH46" t="str">
            <v xml:space="preserve"> 4Q</v>
          </cell>
          <cell r="AI46">
            <v>0</v>
          </cell>
          <cell r="AJ46">
            <v>30</v>
          </cell>
          <cell r="AK46">
            <v>30</v>
          </cell>
          <cell r="AM46">
            <v>9</v>
          </cell>
          <cell r="AN46">
            <v>5</v>
          </cell>
          <cell r="AO46">
            <v>14</v>
          </cell>
          <cell r="AQ46">
            <v>28</v>
          </cell>
          <cell r="AR46">
            <v>48</v>
          </cell>
          <cell r="AS46">
            <v>76</v>
          </cell>
          <cell r="AU46">
            <v>28</v>
          </cell>
          <cell r="AV46">
            <v>48</v>
          </cell>
          <cell r="AW46">
            <v>76</v>
          </cell>
          <cell r="AY46">
            <v>21.899999999999991</v>
          </cell>
          <cell r="AZ46">
            <v>146.6</v>
          </cell>
          <cell r="BA46">
            <v>168.5</v>
          </cell>
          <cell r="BC46">
            <v>273.2</v>
          </cell>
          <cell r="BD46">
            <v>336.2</v>
          </cell>
          <cell r="BE46">
            <v>609.4</v>
          </cell>
          <cell r="BG46">
            <v>60.1</v>
          </cell>
          <cell r="BH46">
            <v>10.4</v>
          </cell>
          <cell r="BI46">
            <v>70.5</v>
          </cell>
          <cell r="BK46">
            <v>15</v>
          </cell>
          <cell r="BL46">
            <v>0</v>
          </cell>
          <cell r="BM46">
            <v>15</v>
          </cell>
          <cell r="BO46">
            <v>288.2</v>
          </cell>
          <cell r="BP46">
            <v>336.2</v>
          </cell>
          <cell r="BQ46">
            <v>624.4</v>
          </cell>
          <cell r="BS46" t="str">
            <v xml:space="preserve"> 4Q</v>
          </cell>
          <cell r="BT46">
            <v>40.4</v>
          </cell>
          <cell r="BU46">
            <v>145.1</v>
          </cell>
          <cell r="BV46">
            <v>185.5</v>
          </cell>
          <cell r="BX46">
            <v>80.599999999999994</v>
          </cell>
          <cell r="BY46">
            <v>26</v>
          </cell>
          <cell r="BZ46">
            <v>106.6</v>
          </cell>
          <cell r="CB46">
            <v>21</v>
          </cell>
          <cell r="CC46">
            <v>32</v>
          </cell>
          <cell r="CD46">
            <v>53</v>
          </cell>
          <cell r="CJ46">
            <v>47</v>
          </cell>
          <cell r="CK46">
            <v>6.6</v>
          </cell>
          <cell r="CL46">
            <v>53.6</v>
          </cell>
          <cell r="CN46">
            <v>29.3</v>
          </cell>
          <cell r="CO46">
            <v>1.2</v>
          </cell>
          <cell r="CP46">
            <v>30.5</v>
          </cell>
          <cell r="CR46">
            <v>20.2</v>
          </cell>
          <cell r="CS46">
            <v>2.4</v>
          </cell>
          <cell r="CT46">
            <v>22.599999999999998</v>
          </cell>
          <cell r="CV46" t="str">
            <v xml:space="preserve"> 4Q</v>
          </cell>
          <cell r="CX46">
            <v>26.1</v>
          </cell>
          <cell r="CY46">
            <v>0</v>
          </cell>
          <cell r="CZ46">
            <v>26.1</v>
          </cell>
          <cell r="DB46">
            <v>12.4</v>
          </cell>
          <cell r="DC46">
            <v>1.3</v>
          </cell>
          <cell r="DD46">
            <v>13.700000000000001</v>
          </cell>
          <cell r="DF46">
            <v>7.7</v>
          </cell>
          <cell r="DG46">
            <v>7.8</v>
          </cell>
          <cell r="DH46">
            <v>15.5</v>
          </cell>
          <cell r="DJ46">
            <v>69.199999999999974</v>
          </cell>
          <cell r="DK46">
            <v>120.3</v>
          </cell>
          <cell r="DL46">
            <v>189.49999999999997</v>
          </cell>
          <cell r="DN46">
            <v>353.9</v>
          </cell>
          <cell r="DO46">
            <v>342.7</v>
          </cell>
          <cell r="DP46">
            <v>696.59999999999991</v>
          </cell>
          <cell r="DR46" t="str">
            <v xml:space="preserve"> 4Q</v>
          </cell>
          <cell r="DS46">
            <v>61.3</v>
          </cell>
          <cell r="DT46">
            <v>114.9</v>
          </cell>
          <cell r="DU46">
            <v>176.2</v>
          </cell>
          <cell r="DW46">
            <v>33.700000000000003</v>
          </cell>
          <cell r="DX46">
            <v>53.9</v>
          </cell>
          <cell r="DY46">
            <v>87.6</v>
          </cell>
          <cell r="EA46">
            <v>4.9000000000000004</v>
          </cell>
          <cell r="EB46">
            <v>52.2</v>
          </cell>
          <cell r="EC46">
            <v>57.1</v>
          </cell>
          <cell r="EE46">
            <v>2.2999999999999998</v>
          </cell>
          <cell r="EF46">
            <v>39.700000000000003</v>
          </cell>
          <cell r="EG46">
            <v>42</v>
          </cell>
          <cell r="EI46">
            <v>24.8</v>
          </cell>
          <cell r="EJ46">
            <v>4.2</v>
          </cell>
          <cell r="EK46">
            <v>29</v>
          </cell>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A48" t="str">
            <v>1996</v>
          </cell>
          <cell r="B48">
            <v>0</v>
          </cell>
          <cell r="C48">
            <v>0</v>
          </cell>
          <cell r="D48">
            <v>0</v>
          </cell>
          <cell r="F48">
            <v>0</v>
          </cell>
          <cell r="G48">
            <v>0</v>
          </cell>
          <cell r="H48">
            <v>0</v>
          </cell>
          <cell r="J48">
            <v>203.10000000000002</v>
          </cell>
          <cell r="K48">
            <v>202.9</v>
          </cell>
          <cell r="L48">
            <v>406</v>
          </cell>
          <cell r="N48">
            <v>55.2</v>
          </cell>
          <cell r="O48">
            <v>123.7</v>
          </cell>
          <cell r="P48">
            <v>178.9</v>
          </cell>
          <cell r="R48">
            <v>240.1</v>
          </cell>
          <cell r="S48">
            <v>37.200000000000003</v>
          </cell>
          <cell r="T48">
            <v>277.29999999999995</v>
          </cell>
          <cell r="V48">
            <v>195.70000000000002</v>
          </cell>
          <cell r="W48">
            <v>35.299999999999997</v>
          </cell>
          <cell r="X48">
            <v>231</v>
          </cell>
          <cell r="AD48">
            <v>147.19999999999999</v>
          </cell>
          <cell r="AE48">
            <v>10.100000000000001</v>
          </cell>
          <cell r="AF48">
            <v>157.30000000000001</v>
          </cell>
          <cell r="AH48" t="str">
            <v>1996</v>
          </cell>
          <cell r="AI48" t="e">
            <v>#REF!</v>
          </cell>
          <cell r="AJ48">
            <v>113</v>
          </cell>
          <cell r="AK48">
            <v>113</v>
          </cell>
          <cell r="AM48">
            <v>46.2</v>
          </cell>
          <cell r="AN48">
            <v>18.7</v>
          </cell>
          <cell r="AO48">
            <v>64.900000000000006</v>
          </cell>
          <cell r="AQ48">
            <v>119.8</v>
          </cell>
          <cell r="AR48">
            <v>212.7</v>
          </cell>
          <cell r="AS48">
            <v>332.5</v>
          </cell>
          <cell r="AU48">
            <v>119.8</v>
          </cell>
          <cell r="AV48">
            <v>212.7</v>
          </cell>
          <cell r="AW48">
            <v>332.5</v>
          </cell>
          <cell r="AY48">
            <v>158.39999999999992</v>
          </cell>
          <cell r="AZ48">
            <v>570.50000000000011</v>
          </cell>
          <cell r="BA48">
            <v>728.9</v>
          </cell>
          <cell r="BC48">
            <v>1165.7</v>
          </cell>
          <cell r="BD48">
            <v>1324.1000000000001</v>
          </cell>
          <cell r="BE48">
            <v>2489.8000000000002</v>
          </cell>
          <cell r="BG48">
            <v>195.70000000000002</v>
          </cell>
          <cell r="BH48">
            <v>35.299999999999997</v>
          </cell>
          <cell r="BI48">
            <v>231</v>
          </cell>
          <cell r="BK48">
            <v>15</v>
          </cell>
          <cell r="BL48">
            <v>0</v>
          </cell>
          <cell r="BM48">
            <v>15</v>
          </cell>
          <cell r="BO48">
            <v>1180.7</v>
          </cell>
          <cell r="BP48">
            <v>1324.1000000000001</v>
          </cell>
          <cell r="BQ48">
            <v>2504.8000000000002</v>
          </cell>
          <cell r="BS48" t="str">
            <v>1996</v>
          </cell>
          <cell r="BT48">
            <v>162.70000000000002</v>
          </cell>
          <cell r="BU48">
            <v>576.5</v>
          </cell>
          <cell r="BV48">
            <v>739.2</v>
          </cell>
          <cell r="BX48">
            <v>296.60000000000002</v>
          </cell>
          <cell r="BY48">
            <v>95.2</v>
          </cell>
          <cell r="BZ48">
            <v>391.79999999999995</v>
          </cell>
          <cell r="CB48">
            <v>82</v>
          </cell>
          <cell r="CC48">
            <v>141</v>
          </cell>
          <cell r="CD48">
            <v>223</v>
          </cell>
          <cell r="CJ48">
            <v>134.10000000000002</v>
          </cell>
          <cell r="CK48">
            <v>26.1</v>
          </cell>
          <cell r="CL48">
            <v>160.20000000000002</v>
          </cell>
          <cell r="CN48">
            <v>132</v>
          </cell>
          <cell r="CO48">
            <v>7.2</v>
          </cell>
          <cell r="CP48">
            <v>139.19999999999999</v>
          </cell>
          <cell r="CR48">
            <v>78.699999999999989</v>
          </cell>
          <cell r="CS48">
            <v>8.8000000000000007</v>
          </cell>
          <cell r="CT48">
            <v>87.5</v>
          </cell>
          <cell r="CV48" t="str">
            <v>1996</v>
          </cell>
          <cell r="CX48">
            <v>88.5</v>
          </cell>
          <cell r="CY48">
            <v>0</v>
          </cell>
          <cell r="CZ48">
            <v>88.5</v>
          </cell>
          <cell r="DB48">
            <v>71.099999999999994</v>
          </cell>
          <cell r="DC48">
            <v>5.3</v>
          </cell>
          <cell r="DD48">
            <v>76.399999999999991</v>
          </cell>
          <cell r="DF48">
            <v>25.599999999999998</v>
          </cell>
          <cell r="DG48">
            <v>29.8</v>
          </cell>
          <cell r="DH48">
            <v>55.4</v>
          </cell>
          <cell r="DJ48">
            <v>332.2</v>
          </cell>
          <cell r="DK48">
            <v>503.89999999999992</v>
          </cell>
          <cell r="DL48">
            <v>836.09999999999991</v>
          </cell>
          <cell r="DN48">
            <v>1403.5</v>
          </cell>
          <cell r="DO48">
            <v>1393.8</v>
          </cell>
          <cell r="DP48">
            <v>2797.2999999999997</v>
          </cell>
          <cell r="DR48" t="str">
            <v>1996</v>
          </cell>
          <cell r="DS48">
            <v>167.5</v>
          </cell>
          <cell r="DT48">
            <v>394.61</v>
          </cell>
          <cell r="DU48">
            <v>562.1099999999999</v>
          </cell>
          <cell r="DW48">
            <v>132.30000000000001</v>
          </cell>
          <cell r="DX48">
            <v>201.79999999999998</v>
          </cell>
          <cell r="DY48">
            <v>334.09999999999997</v>
          </cell>
          <cell r="EA48">
            <v>20.100000000000001</v>
          </cell>
          <cell r="EB48">
            <v>191.2</v>
          </cell>
          <cell r="EC48">
            <v>211.29999999999998</v>
          </cell>
          <cell r="EE48">
            <v>11.100000000000001</v>
          </cell>
          <cell r="EF48">
            <v>169.7</v>
          </cell>
          <cell r="EG48">
            <v>180.8</v>
          </cell>
          <cell r="EI48">
            <v>94.399999999999991</v>
          </cell>
          <cell r="EJ48">
            <v>16.399999999999999</v>
          </cell>
          <cell r="EK48">
            <v>110.8</v>
          </cell>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A50" t="str">
            <v xml:space="preserve">1997/96 </v>
          </cell>
          <cell r="AH50" t="str">
            <v xml:space="preserve">1997/96 </v>
          </cell>
          <cell r="BS50" t="str">
            <v xml:space="preserve">1997/96 </v>
          </cell>
          <cell r="CV50" t="str">
            <v xml:space="preserve">1997/96 </v>
          </cell>
          <cell r="DR50" t="str">
            <v xml:space="preserve">1997/96 </v>
          </cell>
          <cell r="EM50" t="str">
            <v xml:space="preserve">1997/96 </v>
          </cell>
        </row>
        <row r="51">
          <cell r="A51" t="str">
            <v xml:space="preserve"> 1Q</v>
          </cell>
          <cell r="B51" t="str">
            <v>NM</v>
          </cell>
          <cell r="C51" t="str">
            <v>NM</v>
          </cell>
          <cell r="D51" t="str">
            <v>NM</v>
          </cell>
          <cell r="F51" t="str">
            <v>NM</v>
          </cell>
          <cell r="G51" t="str">
            <v>NM</v>
          </cell>
          <cell r="H51" t="str">
            <v>NM</v>
          </cell>
          <cell r="I51" t="e">
            <v>#DIV/0!</v>
          </cell>
          <cell r="J51">
            <v>7.4363992172211235E-2</v>
          </cell>
          <cell r="K51">
            <v>7.6923076923076872E-2</v>
          </cell>
          <cell r="L51">
            <v>7.5604838709677269E-2</v>
          </cell>
          <cell r="M51" t="e">
            <v>#DIV/0!</v>
          </cell>
          <cell r="N51">
            <v>-0.6166666666666667</v>
          </cell>
          <cell r="O51">
            <v>-0.17812499999999998</v>
          </cell>
          <cell r="P51">
            <v>-0.3660714285714286</v>
          </cell>
          <cell r="R51">
            <v>-0.18041958041958039</v>
          </cell>
          <cell r="S51">
            <v>2.3255813953488413E-2</v>
          </cell>
          <cell r="T51">
            <v>-0.15855181023720333</v>
          </cell>
          <cell r="U51" t="e">
            <v>#DIV/0!</v>
          </cell>
          <cell r="V51">
            <v>0.57506361323155231</v>
          </cell>
          <cell r="W51">
            <v>0.3125</v>
          </cell>
          <cell r="X51">
            <v>0.53065539112050764</v>
          </cell>
          <cell r="AD51">
            <v>-0.14882506527415129</v>
          </cell>
          <cell r="AE51">
            <v>4.3478260869565188E-2</v>
          </cell>
          <cell r="AF51">
            <v>-0.13793103448275845</v>
          </cell>
          <cell r="AH51" t="str">
            <v xml:space="preserve"> 1Q</v>
          </cell>
          <cell r="AI51" t="str">
            <v>NM</v>
          </cell>
          <cell r="AJ51">
            <v>0.10357142857142843</v>
          </cell>
          <cell r="AK51">
            <v>0.10357142857142843</v>
          </cell>
          <cell r="AM51">
            <v>-0.51428571428571423</v>
          </cell>
          <cell r="AN51">
            <v>0.39999999999999991</v>
          </cell>
          <cell r="AO51">
            <v>-0.31111111111111123</v>
          </cell>
          <cell r="AQ51">
            <v>0.11562500000000009</v>
          </cell>
          <cell r="AR51">
            <v>-6.6101694915254194E-2</v>
          </cell>
          <cell r="AS51">
            <v>-2.197802197802079E-3</v>
          </cell>
          <cell r="AT51" t="e">
            <v>#DIV/0!</v>
          </cell>
          <cell r="AU51">
            <v>-1</v>
          </cell>
          <cell r="AV51">
            <v>-1</v>
          </cell>
          <cell r="AW51">
            <v>-1</v>
          </cell>
          <cell r="AX51" t="e">
            <v>#DIV/0!</v>
          </cell>
          <cell r="AY51">
            <v>-0.22514071294559035</v>
          </cell>
          <cell r="AZ51">
            <v>-0.18312757201646102</v>
          </cell>
          <cell r="BA51">
            <v>-0.19437468608739328</v>
          </cell>
          <cell r="BC51">
            <v>0.14621329211746525</v>
          </cell>
          <cell r="BD51">
            <v>-6.0750446694461058E-2</v>
          </cell>
          <cell r="BE51">
            <v>4.0800849385712157E-2</v>
          </cell>
          <cell r="BG51">
            <v>-1</v>
          </cell>
          <cell r="BH51">
            <v>-1</v>
          </cell>
          <cell r="BI51">
            <v>-1</v>
          </cell>
          <cell r="BK51" t="str">
            <v>NM</v>
          </cell>
          <cell r="BL51" t="str">
            <v>NM</v>
          </cell>
          <cell r="BM51" t="str">
            <v>NM</v>
          </cell>
          <cell r="BO51">
            <v>0.14621329211746525</v>
          </cell>
          <cell r="BP51">
            <v>-6.0750446694461058E-2</v>
          </cell>
          <cell r="BQ51">
            <v>4.0800849385712157E-2</v>
          </cell>
          <cell r="BS51" t="str">
            <v xml:space="preserve"> 1Q</v>
          </cell>
          <cell r="BT51">
            <v>5.7971014492753659E-2</v>
          </cell>
          <cell r="BU51">
            <v>-6.6761363636363646E-2</v>
          </cell>
          <cell r="BV51">
            <v>-4.2213348545350859E-2</v>
          </cell>
          <cell r="BX51">
            <v>4.8022598870056665E-2</v>
          </cell>
          <cell r="BY51">
            <v>0.10550458715596323</v>
          </cell>
          <cell r="BZ51">
            <v>6.1555075593952679E-2</v>
          </cell>
          <cell r="CB51">
            <v>-8.0952380952380887E-2</v>
          </cell>
          <cell r="CC51">
            <v>-0.20714285714285718</v>
          </cell>
          <cell r="CD51">
            <v>-0.16507936507936516</v>
          </cell>
          <cell r="CJ51">
            <v>7.0469798657718075E-2</v>
          </cell>
          <cell r="CK51">
            <v>0.15476190476190466</v>
          </cell>
          <cell r="CL51">
            <v>8.9005235602094057E-2</v>
          </cell>
          <cell r="CN51">
            <v>-6.9696969696969702E-2</v>
          </cell>
          <cell r="CO51">
            <v>0.15789473684210531</v>
          </cell>
          <cell r="CP51">
            <v>-5.7306590257879653E-2</v>
          </cell>
          <cell r="CR51">
            <v>-0.19339622641509424</v>
          </cell>
          <cell r="CS51">
            <v>0.10000000000000009</v>
          </cell>
          <cell r="CT51">
            <v>-0.16810344827586199</v>
          </cell>
          <cell r="CV51" t="str">
            <v xml:space="preserve"> 1Q</v>
          </cell>
          <cell r="CX51">
            <v>-5.4852320675105481E-2</v>
          </cell>
          <cell r="CY51" t="str">
            <v>NM</v>
          </cell>
          <cell r="CZ51">
            <v>0.20675105485232059</v>
          </cell>
          <cell r="DB51">
            <v>-0.12918660287081341</v>
          </cell>
          <cell r="DC51">
            <v>0.10000000000000009</v>
          </cell>
          <cell r="DD51">
            <v>-0.11872146118721449</v>
          </cell>
          <cell r="DF51">
            <v>-1.9999999999999907E-2</v>
          </cell>
          <cell r="DG51">
            <v>0.34444444444444433</v>
          </cell>
          <cell r="DH51">
            <v>0.21428571428571419</v>
          </cell>
          <cell r="DJ51">
            <v>4.2796005706134732E-2</v>
          </cell>
          <cell r="DK51">
            <v>-0.22515635858234839</v>
          </cell>
          <cell r="DL51">
            <v>-0.137383177570093</v>
          </cell>
          <cell r="DN51">
            <v>-5.1515151515151292E-3</v>
          </cell>
          <cell r="DO51">
            <v>-9.978425026968718E-2</v>
          </cell>
          <cell r="DP51">
            <v>-5.5222602739725901E-2</v>
          </cell>
          <cell r="DR51" t="str">
            <v xml:space="preserve"> 1Q</v>
          </cell>
          <cell r="DS51">
            <v>-0.11610486891385763</v>
          </cell>
          <cell r="DT51">
            <v>-5.7652911911033167E-2</v>
          </cell>
          <cell r="DU51">
            <v>-6.9731444934602704E-2</v>
          </cell>
          <cell r="DW51">
            <v>-5.2816901408450745E-2</v>
          </cell>
          <cell r="DX51">
            <v>-6.9037656903765621E-2</v>
          </cell>
          <cell r="DY51">
            <v>-6.2992125984251746E-2</v>
          </cell>
          <cell r="EA51">
            <v>-3.9215686274509665E-2</v>
          </cell>
          <cell r="EB51">
            <v>-0.1404255319148936</v>
          </cell>
          <cell r="EC51">
            <v>-0.13051823416506725</v>
          </cell>
          <cell r="EE51">
            <v>0</v>
          </cell>
          <cell r="EF51">
            <v>-5.4761904761904678E-2</v>
          </cell>
          <cell r="EG51">
            <v>-5.1224944320712673E-2</v>
          </cell>
          <cell r="EI51">
            <v>-0.10236220472440938</v>
          </cell>
          <cell r="EJ51">
            <v>-0.19999999999999996</v>
          </cell>
          <cell r="EK51">
            <v>-0.11564625850340127</v>
          </cell>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A52" t="str">
            <v xml:space="preserve"> 2Q</v>
          </cell>
          <cell r="B52" t="str">
            <v>NM</v>
          </cell>
          <cell r="C52" t="str">
            <v>NM</v>
          </cell>
          <cell r="D52" t="str">
            <v>NM</v>
          </cell>
          <cell r="F52" t="str">
            <v>NM</v>
          </cell>
          <cell r="G52" t="str">
            <v>NM</v>
          </cell>
          <cell r="H52" t="str">
            <v>NM</v>
          </cell>
          <cell r="J52">
            <v>-0.13226452905811625</v>
          </cell>
          <cell r="K52">
            <v>1.4842300556586308E-2</v>
          </cell>
          <cell r="L52">
            <v>-5.5876685934489356E-2</v>
          </cell>
          <cell r="N52">
            <v>-0.26470588235294112</v>
          </cell>
          <cell r="O52">
            <v>-7.1661237785016318E-2</v>
          </cell>
          <cell r="P52">
            <v>-0.11980440097799505</v>
          </cell>
          <cell r="R52">
            <v>-0.36190476190476184</v>
          </cell>
          <cell r="S52">
            <v>0.18279569892473102</v>
          </cell>
          <cell r="T52">
            <v>-0.29183955739972334</v>
          </cell>
          <cell r="V52">
            <v>0.31485587583148544</v>
          </cell>
          <cell r="W52">
            <v>0.44578313253012025</v>
          </cell>
          <cell r="X52">
            <v>0.33520599250936312</v>
          </cell>
          <cell r="AD52">
            <v>-0.24928366762177645</v>
          </cell>
          <cell r="AE52">
            <v>3.8461538461538547E-2</v>
          </cell>
          <cell r="AF52">
            <v>-0.22933333333333339</v>
          </cell>
          <cell r="AH52" t="str">
            <v xml:space="preserve"> 2Q</v>
          </cell>
          <cell r="AI52" t="str">
            <v>NM</v>
          </cell>
          <cell r="AJ52">
            <v>-9.3103448275862033E-2</v>
          </cell>
          <cell r="AK52">
            <v>-9.3103448275862033E-2</v>
          </cell>
          <cell r="AM52" t="str">
            <v>NM</v>
          </cell>
          <cell r="AN52">
            <v>0.23404255319148937</v>
          </cell>
          <cell r="AO52">
            <v>-0.61073825503355694</v>
          </cell>
          <cell r="AQ52">
            <v>0.15909090909090917</v>
          </cell>
          <cell r="AR52">
            <v>-5.6437389770723101E-2</v>
          </cell>
          <cell r="AS52">
            <v>1.9428571428571351E-2</v>
          </cell>
          <cell r="AU52">
            <v>-1</v>
          </cell>
          <cell r="AV52">
            <v>-1</v>
          </cell>
          <cell r="AW52">
            <v>-1</v>
          </cell>
          <cell r="AY52">
            <v>5.7142857142857606E-2</v>
          </cell>
          <cell r="AZ52">
            <v>5.5983205038488526E-2</v>
          </cell>
          <cell r="BA52">
            <v>5.6211354693648241E-2</v>
          </cell>
          <cell r="BC52">
            <v>0.65245431744894278</v>
          </cell>
          <cell r="BD52">
            <v>7.4534161490683148E-2</v>
          </cell>
          <cell r="BE52">
            <v>0.33587167854828248</v>
          </cell>
          <cell r="BG52">
            <v>-1</v>
          </cell>
          <cell r="BH52">
            <v>-1</v>
          </cell>
          <cell r="BI52">
            <v>-1</v>
          </cell>
          <cell r="BK52" t="str">
            <v>NM</v>
          </cell>
          <cell r="BL52" t="str">
            <v>NM</v>
          </cell>
          <cell r="BM52" t="str">
            <v>NM</v>
          </cell>
          <cell r="BO52">
            <v>0.65245431744894278</v>
          </cell>
          <cell r="BP52">
            <v>7.4534161490683148E-2</v>
          </cell>
          <cell r="BQ52">
            <v>0.33587167854828248</v>
          </cell>
          <cell r="BS52" t="str">
            <v xml:space="preserve"> 2Q</v>
          </cell>
          <cell r="BT52">
            <v>0.16783216783216792</v>
          </cell>
          <cell r="BU52">
            <v>1.9283746556473913E-2</v>
          </cell>
          <cell r="BV52">
            <v>5.3163211057947857E-2</v>
          </cell>
          <cell r="BX52">
            <v>7.2135785007072073E-2</v>
          </cell>
          <cell r="BY52">
            <v>0.15352697095435675</v>
          </cell>
          <cell r="BZ52">
            <v>9.2827004219409037E-2</v>
          </cell>
          <cell r="CB52">
            <v>-2.3809523809523836E-2</v>
          </cell>
          <cell r="CC52">
            <v>-0.11714285714285722</v>
          </cell>
          <cell r="CD52">
            <v>-8.2142857142857184E-2</v>
          </cell>
          <cell r="CJ52">
            <v>9.183673469387732E-2</v>
          </cell>
          <cell r="CK52">
            <v>-9.0909090909090939E-2</v>
          </cell>
          <cell r="CL52">
            <v>5.1792828685258918E-2</v>
          </cell>
          <cell r="CN52">
            <v>0.20529801324503305</v>
          </cell>
          <cell r="CO52">
            <v>0.29166666666666674</v>
          </cell>
          <cell r="CP52">
            <v>0.2116564417177913</v>
          </cell>
          <cell r="CR52">
            <v>6.7039106145251548E-2</v>
          </cell>
          <cell r="CS52">
            <v>4.3478260869565188E-2</v>
          </cell>
          <cell r="CT52">
            <v>6.4356435643564414E-2</v>
          </cell>
          <cell r="CV52" t="str">
            <v xml:space="preserve"> 2Q</v>
          </cell>
          <cell r="CX52">
            <v>-5.208333333333337E-2</v>
          </cell>
          <cell r="CY52" t="str">
            <v>NM</v>
          </cell>
          <cell r="CZ52">
            <v>0.27604166666666674</v>
          </cell>
          <cell r="DB52">
            <v>0.15873015873015883</v>
          </cell>
          <cell r="DC52">
            <v>0</v>
          </cell>
          <cell r="DD52">
            <v>0.14354066985645941</v>
          </cell>
          <cell r="DF52">
            <v>-0.14000000000000001</v>
          </cell>
          <cell r="DG52">
            <v>-0.1166666666666667</v>
          </cell>
          <cell r="DH52">
            <v>-0.12727272727272732</v>
          </cell>
          <cell r="DJ52">
            <v>-0.33659839715049034</v>
          </cell>
          <cell r="DK52">
            <v>-0.20482866043613723</v>
          </cell>
          <cell r="DL52">
            <v>-0.26630660573327836</v>
          </cell>
          <cell r="DN52">
            <v>-4.3332401453732183E-2</v>
          </cell>
          <cell r="DO52">
            <v>-5.1296665716728418E-2</v>
          </cell>
          <cell r="DP52">
            <v>-4.7276319503245845E-2</v>
          </cell>
          <cell r="DR52" t="str">
            <v xml:space="preserve"> 2Q</v>
          </cell>
          <cell r="DS52">
            <v>0.28384279475982543</v>
          </cell>
          <cell r="DT52">
            <v>-2.2962112514349764E-3</v>
          </cell>
          <cell r="DU52">
            <v>5.7272727272727364E-2</v>
          </cell>
          <cell r="DW52">
            <v>-0.11820330969267145</v>
          </cell>
          <cell r="DX52">
            <v>7.5757575757577911E-3</v>
          </cell>
          <cell r="DY52">
            <v>-4.8370136698212329E-2</v>
          </cell>
          <cell r="EA52">
            <v>-1.9607843137254832E-2</v>
          </cell>
          <cell r="EB52">
            <v>-5.6250000000000022E-2</v>
          </cell>
          <cell r="EC52">
            <v>-5.2730696798493515E-2</v>
          </cell>
          <cell r="EE52">
            <v>0.17241379310344818</v>
          </cell>
          <cell r="EF52">
            <v>-7.6744186046511564E-2</v>
          </cell>
          <cell r="EG52">
            <v>-6.1002178649237404E-2</v>
          </cell>
          <cell r="EI52">
            <v>0.17289719626168232</v>
          </cell>
          <cell r="EJ52">
            <v>-9.5238095238095344E-2</v>
          </cell>
          <cell r="EK52">
            <v>0.12890625000000022</v>
          </cell>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A53" t="str">
            <v xml:space="preserve"> 3Q</v>
          </cell>
          <cell r="B53" t="str">
            <v>NM</v>
          </cell>
          <cell r="C53" t="str">
            <v>NM</v>
          </cell>
          <cell r="D53" t="str">
            <v>NM</v>
          </cell>
          <cell r="F53" t="str">
            <v>NM</v>
          </cell>
          <cell r="G53" t="str">
            <v>NM</v>
          </cell>
          <cell r="H53" t="str">
            <v>NM</v>
          </cell>
          <cell r="J53">
            <v>-0.39583333333333337</v>
          </cell>
          <cell r="K53">
            <v>1.6528925619834878E-2</v>
          </cell>
          <cell r="L53">
            <v>-0.1986166007905138</v>
          </cell>
          <cell r="N53">
            <v>-0.44545454545454544</v>
          </cell>
          <cell r="O53">
            <v>-0.18666666666666676</v>
          </cell>
          <cell r="P53">
            <v>-0.25609756097560976</v>
          </cell>
          <cell r="R53">
            <v>-0.10103092783505152</v>
          </cell>
          <cell r="S53">
            <v>2.1505376344086002E-2</v>
          </cell>
          <cell r="T53">
            <v>-8.1314878892733478E-2</v>
          </cell>
          <cell r="V53">
            <v>0.279296875</v>
          </cell>
          <cell r="W53">
            <v>0.47674418604651159</v>
          </cell>
          <cell r="X53">
            <v>0.30769230769230771</v>
          </cell>
          <cell r="AD53">
            <v>-2.4861878453038777E-2</v>
          </cell>
          <cell r="AE53">
            <v>8.0000000000000071E-2</v>
          </cell>
          <cell r="AF53">
            <v>-1.8087855297157729E-2</v>
          </cell>
          <cell r="AH53" t="str">
            <v xml:space="preserve"> 3Q</v>
          </cell>
          <cell r="AI53" t="str">
            <v>NM</v>
          </cell>
          <cell r="AJ53">
            <v>-0.11153846153846148</v>
          </cell>
          <cell r="AK53">
            <v>-0.11153846153846148</v>
          </cell>
          <cell r="AM53" t="str">
            <v>NM</v>
          </cell>
          <cell r="AN53">
            <v>6.0000000000000053E-2</v>
          </cell>
          <cell r="AO53">
            <v>-0.70555555555555549</v>
          </cell>
          <cell r="AQ53">
            <v>0.15862068965517251</v>
          </cell>
          <cell r="AR53">
            <v>-3.4693877551020491E-2</v>
          </cell>
          <cell r="AS53">
            <v>3.7179487179487269E-2</v>
          </cell>
          <cell r="AU53">
            <v>-1</v>
          </cell>
          <cell r="AV53">
            <v>-1</v>
          </cell>
          <cell r="AW53">
            <v>-1</v>
          </cell>
          <cell r="AY53">
            <v>-0.72821576763485507</v>
          </cell>
          <cell r="AZ53">
            <v>0.1227810650887573</v>
          </cell>
          <cell r="BA53">
            <v>-0.10087241003271541</v>
          </cell>
          <cell r="BC53">
            <v>1.0175922731976543</v>
          </cell>
          <cell r="BD53">
            <v>0.15668789808917194</v>
          </cell>
          <cell r="BE53">
            <v>0.56996191422420917</v>
          </cell>
          <cell r="BG53">
            <v>-1</v>
          </cell>
          <cell r="BH53">
            <v>-1</v>
          </cell>
          <cell r="BI53">
            <v>-1</v>
          </cell>
          <cell r="BK53" t="str">
            <v>NM</v>
          </cell>
          <cell r="BL53" t="str">
            <v>NM</v>
          </cell>
          <cell r="BM53" t="str">
            <v>NM</v>
          </cell>
          <cell r="BO53">
            <v>1.0175922731976543</v>
          </cell>
          <cell r="BP53">
            <v>0.15668789808917194</v>
          </cell>
          <cell r="BQ53">
            <v>0.56996191422420917</v>
          </cell>
          <cell r="BS53" t="str">
            <v xml:space="preserve"> 3Q</v>
          </cell>
          <cell r="BT53">
            <v>0.16258351893095768</v>
          </cell>
          <cell r="BU53">
            <v>-9.0784044016506305E-2</v>
          </cell>
          <cell r="BV53">
            <v>-3.1003678402522494E-2</v>
          </cell>
          <cell r="BX53">
            <v>-3.8926174496644372E-2</v>
          </cell>
          <cell r="BY53">
            <v>9.4420600858369008E-2</v>
          </cell>
          <cell r="BZ53">
            <v>-7.1574642126789323E-3</v>
          </cell>
          <cell r="CB53">
            <v>5.7894736842105443E-2</v>
          </cell>
          <cell r="CC53">
            <v>-0.13124999999999998</v>
          </cell>
          <cell r="CD53">
            <v>-6.0784313725490091E-2</v>
          </cell>
          <cell r="CJ53">
            <v>-6.3660477453581055E-2</v>
          </cell>
          <cell r="CK53">
            <v>5.3571428571428603E-2</v>
          </cell>
          <cell r="CL53">
            <v>-4.8498845265589119E-2</v>
          </cell>
          <cell r="CN53">
            <v>1.0126582278481067E-2</v>
          </cell>
          <cell r="CO53">
            <v>0.23529411764705888</v>
          </cell>
          <cell r="CP53">
            <v>1.9417475728155331E-2</v>
          </cell>
          <cell r="CR53">
            <v>-0.11340206185567003</v>
          </cell>
          <cell r="CS53">
            <v>9.5238095238095122E-2</v>
          </cell>
          <cell r="CT53">
            <v>-9.3023255813953543E-2</v>
          </cell>
          <cell r="CV53" t="str">
            <v xml:space="preserve"> 3Q</v>
          </cell>
          <cell r="CX53">
            <v>5.6410256410256432E-2</v>
          </cell>
          <cell r="CY53" t="str">
            <v>NM</v>
          </cell>
          <cell r="CZ53">
            <v>0.37435897435897436</v>
          </cell>
          <cell r="DB53">
            <v>4.2328042328042326E-2</v>
          </cell>
          <cell r="DC53">
            <v>-0.4</v>
          </cell>
          <cell r="DD53">
            <v>2.0100502512562901E-2</v>
          </cell>
          <cell r="DF53">
            <v>-0.21518987341772156</v>
          </cell>
          <cell r="DG53">
            <v>0.21428571428571419</v>
          </cell>
          <cell r="DH53">
            <v>-1.34228187919464E-2</v>
          </cell>
          <cell r="DJ53">
            <v>-1.2406947890818421E-3</v>
          </cell>
          <cell r="DK53">
            <v>-0.12668463611859782</v>
          </cell>
          <cell r="DL53">
            <v>-7.3996873371547367E-2</v>
          </cell>
          <cell r="DN53">
            <v>3.8684719535784229E-3</v>
          </cell>
          <cell r="DO53">
            <v>-6.4055859137826299E-2</v>
          </cell>
          <cell r="DP53">
            <v>-2.8497034572544377E-2</v>
          </cell>
          <cell r="DR53" t="str">
            <v xml:space="preserve"> 3Q</v>
          </cell>
          <cell r="DS53">
            <v>7.0671378091873294E-3</v>
          </cell>
          <cell r="DT53">
            <v>-1.2208657047724669E-2</v>
          </cell>
          <cell r="DU53">
            <v>-4.7716428084525475E-3</v>
          </cell>
          <cell r="DW53">
            <v>0.20071684587813632</v>
          </cell>
          <cell r="DX53">
            <v>-1.6913319238900604E-2</v>
          </cell>
          <cell r="DY53">
            <v>6.3829787234042756E-2</v>
          </cell>
          <cell r="EA53">
            <v>-5.9999999999999942E-2</v>
          </cell>
          <cell r="EB53">
            <v>3.6363636363636376E-2</v>
          </cell>
          <cell r="EC53">
            <v>2.6530612244898055E-2</v>
          </cell>
          <cell r="EE53">
            <v>0</v>
          </cell>
          <cell r="EF53">
            <v>-0.17111111111111121</v>
          </cell>
          <cell r="EG53">
            <v>-0.16041666666666676</v>
          </cell>
          <cell r="EI53">
            <v>0.21491228070175428</v>
          </cell>
          <cell r="EJ53">
            <v>-0.19999999999999996</v>
          </cell>
          <cell r="EK53">
            <v>0.1529850746268655</v>
          </cell>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A54" t="str">
            <v xml:space="preserve"> 4Q</v>
          </cell>
          <cell r="B54" t="str">
            <v>NM</v>
          </cell>
          <cell r="C54" t="str">
            <v>NM</v>
          </cell>
          <cell r="D54" t="str">
            <v>NM</v>
          </cell>
          <cell r="F54" t="str">
            <v>NM</v>
          </cell>
          <cell r="G54" t="str">
            <v>NM</v>
          </cell>
          <cell r="H54" t="str">
            <v>NM</v>
          </cell>
          <cell r="J54">
            <v>-0.21501014198782953</v>
          </cell>
          <cell r="K54">
            <v>2.0952380952381056E-2</v>
          </cell>
          <cell r="L54">
            <v>-9.3320235756384928E-2</v>
          </cell>
          <cell r="N54">
            <v>-0.61</v>
          </cell>
          <cell r="O54">
            <v>-0.19354838709677424</v>
          </cell>
          <cell r="P54">
            <v>-0.29512195121951224</v>
          </cell>
          <cell r="R54">
            <v>-0.2942206654991244</v>
          </cell>
          <cell r="S54">
            <v>-1.9999999999999907E-2</v>
          </cell>
          <cell r="T54">
            <v>-0.25335320417287632</v>
          </cell>
          <cell r="V54">
            <v>-7.1547420965058284E-2</v>
          </cell>
          <cell r="W54">
            <v>0.34615384615384603</v>
          </cell>
          <cell r="X54">
            <v>-9.9290780141844115E-3</v>
          </cell>
          <cell r="AD54">
            <v>-0.40740740740740744</v>
          </cell>
          <cell r="AE54">
            <v>0</v>
          </cell>
          <cell r="AF54">
            <v>-0.38024691358024698</v>
          </cell>
          <cell r="AH54" t="str">
            <v xml:space="preserve"> 4Q</v>
          </cell>
          <cell r="AI54" t="str">
            <v>NM</v>
          </cell>
          <cell r="AJ54">
            <v>-0.20666666666666667</v>
          </cell>
          <cell r="AK54">
            <v>-0.20666666666666667</v>
          </cell>
          <cell r="AM54" t="str">
            <v>NM</v>
          </cell>
          <cell r="AN54">
            <v>-1.9999999999999907E-2</v>
          </cell>
          <cell r="AO54">
            <v>-0.75</v>
          </cell>
          <cell r="AQ54">
            <v>0.22499999999999987</v>
          </cell>
          <cell r="AR54">
            <v>3.5416666666666652E-2</v>
          </cell>
          <cell r="AS54">
            <v>0.10526315789473695</v>
          </cell>
          <cell r="AU54">
            <v>-1</v>
          </cell>
          <cell r="AV54">
            <v>-1</v>
          </cell>
          <cell r="AW54">
            <v>-1</v>
          </cell>
          <cell r="AY54">
            <v>0.24200913242008992</v>
          </cell>
          <cell r="AZ54">
            <v>0.16371077762619324</v>
          </cell>
          <cell r="BA54">
            <v>0.17388724035608227</v>
          </cell>
          <cell r="BC54">
            <v>1.7243777452415814</v>
          </cell>
          <cell r="BD54">
            <v>0.24003569303985728</v>
          </cell>
          <cell r="BE54">
            <v>0.9054808007876598</v>
          </cell>
          <cell r="BG54">
            <v>-1</v>
          </cell>
          <cell r="BH54">
            <v>-1</v>
          </cell>
          <cell r="BI54">
            <v>-1</v>
          </cell>
          <cell r="BK54" t="str">
            <v>NM</v>
          </cell>
          <cell r="BL54" t="str">
            <v>NM</v>
          </cell>
          <cell r="BM54" t="str">
            <v>NM</v>
          </cell>
          <cell r="BO54">
            <v>1.5825815405968076</v>
          </cell>
          <cell r="BP54">
            <v>0.24003569303985728</v>
          </cell>
          <cell r="BQ54">
            <v>0.85970531710442</v>
          </cell>
          <cell r="BS54" t="str">
            <v xml:space="preserve"> 4Q</v>
          </cell>
          <cell r="BT54">
            <v>0.48762376237623761</v>
          </cell>
          <cell r="BU54">
            <v>-0.11302549965541009</v>
          </cell>
          <cell r="BV54">
            <v>1.7789757412398854E-2</v>
          </cell>
          <cell r="BX54">
            <v>1.8610421836228186E-2</v>
          </cell>
          <cell r="BY54">
            <v>-0.10384615384615381</v>
          </cell>
          <cell r="BZ54">
            <v>-1.1257035647279534E-2</v>
          </cell>
          <cell r="CB54">
            <v>-5.2380952380952417E-2</v>
          </cell>
          <cell r="CC54">
            <v>-0.203125</v>
          </cell>
          <cell r="CD54">
            <v>-0.14339622641509442</v>
          </cell>
          <cell r="CJ54">
            <v>-4.680851063829794E-2</v>
          </cell>
          <cell r="CK54">
            <v>-7.5757575757575801E-2</v>
          </cell>
          <cell r="CL54">
            <v>-5.0373134328358216E-2</v>
          </cell>
          <cell r="CN54">
            <v>2.0477815699658564E-2</v>
          </cell>
          <cell r="CO54">
            <v>0.41666666666666674</v>
          </cell>
          <cell r="CP54">
            <v>3.6065573770491799E-2</v>
          </cell>
          <cell r="CR54">
            <v>-8.9108910891089188E-2</v>
          </cell>
          <cell r="CS54">
            <v>-0.20833333333333337</v>
          </cell>
          <cell r="CT54">
            <v>-0.10176991150442483</v>
          </cell>
          <cell r="CV54" t="str">
            <v xml:space="preserve"> 4Q</v>
          </cell>
          <cell r="CX54">
            <v>8.0459770114942541E-2</v>
          </cell>
          <cell r="CY54" t="str">
            <v>NM</v>
          </cell>
          <cell r="CZ54">
            <v>0.30651340996168575</v>
          </cell>
          <cell r="DB54">
            <v>0.12903225806451601</v>
          </cell>
          <cell r="DC54">
            <v>-0.38461538461538458</v>
          </cell>
          <cell r="DD54">
            <v>8.0291970802919721E-2</v>
          </cell>
          <cell r="DF54">
            <v>-0.1558441558441559</v>
          </cell>
          <cell r="DG54">
            <v>0.47435897435897445</v>
          </cell>
          <cell r="DH54">
            <v>0.16129032258064524</v>
          </cell>
          <cell r="DJ54">
            <v>-1.8786127167630284E-2</v>
          </cell>
          <cell r="DK54">
            <v>-0.12551953449709041</v>
          </cell>
          <cell r="DL54">
            <v>-8.6543535620052792E-2</v>
          </cell>
          <cell r="DN54">
            <v>5.0579259677875132E-2</v>
          </cell>
          <cell r="DO54">
            <v>-9.3667931135103522E-2</v>
          </cell>
          <cell r="DP54">
            <v>-2.0384725811082194E-2</v>
          </cell>
          <cell r="DR54" t="str">
            <v xml:space="preserve"> 4Q</v>
          </cell>
          <cell r="DS54">
            <v>9.4616639477977049E-2</v>
          </cell>
          <cell r="DT54">
            <v>-7.3107049608355124E-2</v>
          </cell>
          <cell r="DU54">
            <v>-1.4755959137343844E-2</v>
          </cell>
          <cell r="DW54">
            <v>-9.1988130563798287E-2</v>
          </cell>
          <cell r="DX54">
            <v>-0.18738404452690172</v>
          </cell>
          <cell r="DY54">
            <v>-0.15068493150684914</v>
          </cell>
          <cell r="EA54">
            <v>0</v>
          </cell>
          <cell r="EB54">
            <v>-0.21455938697318011</v>
          </cell>
          <cell r="EC54">
            <v>-0.19614711033274956</v>
          </cell>
          <cell r="EE54">
            <v>0.56521739130434789</v>
          </cell>
          <cell r="EF54">
            <v>-0.14861460957178851</v>
          </cell>
          <cell r="EG54">
            <v>-0.10952380952380958</v>
          </cell>
          <cell r="EI54">
            <v>0.11693548387096775</v>
          </cell>
          <cell r="EJ54">
            <v>-0.26190476190476186</v>
          </cell>
          <cell r="EK54">
            <v>6.2068965517241503E-2</v>
          </cell>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A56" t="str">
            <v>Year</v>
          </cell>
          <cell r="B56" t="str">
            <v>NM</v>
          </cell>
          <cell r="C56" t="str">
            <v>NM</v>
          </cell>
          <cell r="D56" t="str">
            <v>NM</v>
          </cell>
          <cell r="F56" t="str">
            <v>NM</v>
          </cell>
          <cell r="G56" t="str">
            <v>NM</v>
          </cell>
          <cell r="H56" t="str">
            <v>NM</v>
          </cell>
          <cell r="J56">
            <v>-0.1688823239783358</v>
          </cell>
          <cell r="K56">
            <v>3.1542631838343826E-2</v>
          </cell>
          <cell r="L56">
            <v>-6.8719211822660164E-2</v>
          </cell>
          <cell r="N56">
            <v>-0.51630434782608714</v>
          </cell>
          <cell r="O56">
            <v>-0.15763945028294268</v>
          </cell>
          <cell r="P56">
            <v>-0.26830631637786473</v>
          </cell>
          <cell r="R56">
            <v>-0.23906705539358608</v>
          </cell>
          <cell r="S56">
            <v>5.1075268817204256E-2</v>
          </cell>
          <cell r="T56">
            <v>-0.20014424810674347</v>
          </cell>
          <cell r="V56">
            <v>0.23914154317833414</v>
          </cell>
          <cell r="W56">
            <v>0.39376770538243644</v>
          </cell>
          <cell r="X56">
            <v>0.26277056277056277</v>
          </cell>
          <cell r="AD56">
            <v>-0.20855978260869557</v>
          </cell>
          <cell r="AE56">
            <v>3.9603960396039417E-2</v>
          </cell>
          <cell r="AF56">
            <v>-0.19262555626191991</v>
          </cell>
          <cell r="AH56" t="str">
            <v>Year</v>
          </cell>
          <cell r="AI56" t="str">
            <v>NM</v>
          </cell>
          <cell r="AJ56">
            <v>-7.8761061946902577E-2</v>
          </cell>
          <cell r="AK56">
            <v>-7.8761061946902577E-2</v>
          </cell>
          <cell r="AM56">
            <v>-0.88311688311688308</v>
          </cell>
          <cell r="AN56">
            <v>0.15508021390374349</v>
          </cell>
          <cell r="AO56">
            <v>-0.58397534668721107</v>
          </cell>
          <cell r="AQ56">
            <v>0.162771285475793</v>
          </cell>
          <cell r="AR56">
            <v>-3.3380347907851493E-2</v>
          </cell>
          <cell r="AS56">
            <v>3.7293233082706712E-2</v>
          </cell>
          <cell r="AU56">
            <v>-1</v>
          </cell>
          <cell r="AV56">
            <v>-1</v>
          </cell>
          <cell r="AW56">
            <v>-1</v>
          </cell>
          <cell r="AY56">
            <v>-0.25126262626262597</v>
          </cell>
          <cell r="AZ56">
            <v>3.838737949167359E-2</v>
          </cell>
          <cell r="BA56">
            <v>-2.4557552476334288E-2</v>
          </cell>
          <cell r="BC56">
            <v>0.85399330874152857</v>
          </cell>
          <cell r="BD56">
            <v>0.10172947662563248</v>
          </cell>
          <cell r="BE56">
            <v>0.45393204273435606</v>
          </cell>
          <cell r="BG56">
            <v>-1</v>
          </cell>
          <cell r="BH56">
            <v>-1</v>
          </cell>
          <cell r="BI56">
            <v>-1</v>
          </cell>
          <cell r="BK56" t="str">
            <v>NM</v>
          </cell>
          <cell r="BL56" t="str">
            <v>NM</v>
          </cell>
          <cell r="BM56" t="str">
            <v>NM</v>
          </cell>
          <cell r="BO56">
            <v>0.83043956974676014</v>
          </cell>
          <cell r="BP56">
            <v>0.10172947662563248</v>
          </cell>
          <cell r="BQ56">
            <v>0.44522516767805809</v>
          </cell>
          <cell r="BS56" t="str">
            <v>Year</v>
          </cell>
          <cell r="BT56">
            <v>0.22249539028887511</v>
          </cell>
          <cell r="BU56">
            <v>-6.2792714657415538E-2</v>
          </cell>
          <cell r="BV56">
            <v>-1.1102230246251565E-16</v>
          </cell>
          <cell r="BX56">
            <v>2.3937963587322919E-2</v>
          </cell>
          <cell r="BY56">
            <v>5.7773109243697496E-2</v>
          </cell>
          <cell r="BZ56">
            <v>3.2159264931087339E-2</v>
          </cell>
          <cell r="CB56">
            <v>-2.6829268292682951E-2</v>
          </cell>
          <cell r="CC56">
            <v>-0.16666666666666674</v>
          </cell>
          <cell r="CD56">
            <v>-0.11524663677130043</v>
          </cell>
          <cell r="CJ56">
            <v>-5.2199850857572727E-3</v>
          </cell>
          <cell r="CK56">
            <v>2.2988505747126409E-2</v>
          </cell>
          <cell r="CL56">
            <v>-6.242197253434334E-4</v>
          </cell>
          <cell r="CN56">
            <v>3.712121212121211E-2</v>
          </cell>
          <cell r="CO56">
            <v>0.26388888888888884</v>
          </cell>
          <cell r="CP56">
            <v>4.8850574712643757E-2</v>
          </cell>
          <cell r="CR56">
            <v>-8.7674714104192808E-2</v>
          </cell>
          <cell r="CS56">
            <v>-2.2204460492503131E-16</v>
          </cell>
          <cell r="CT56">
            <v>-7.8857142857142959E-2</v>
          </cell>
          <cell r="CV56" t="str">
            <v>Year</v>
          </cell>
          <cell r="CX56">
            <v>1.0169491525423568E-2</v>
          </cell>
          <cell r="CY56" t="str">
            <v>NM</v>
          </cell>
          <cell r="CZ56">
            <v>0.28813559322033888</v>
          </cell>
          <cell r="DB56">
            <v>3.7974683544303778E-2</v>
          </cell>
          <cell r="DC56">
            <v>-0.15094339622641506</v>
          </cell>
          <cell r="DD56">
            <v>2.486910994764413E-2</v>
          </cell>
          <cell r="DF56">
            <v>-0.14453125</v>
          </cell>
          <cell r="DG56">
            <v>0.25503355704697972</v>
          </cell>
          <cell r="DH56">
            <v>7.0397111913357291E-2</v>
          </cell>
          <cell r="DJ56">
            <v>-0.10897049969897665</v>
          </cell>
          <cell r="DK56">
            <v>-0.1744393728914464</v>
          </cell>
          <cell r="DL56">
            <v>-0.14842722162420752</v>
          </cell>
          <cell r="DN56">
            <v>1.4962593516207878E-3</v>
          </cell>
          <cell r="DO56">
            <v>-7.7629502080642898E-2</v>
          </cell>
          <cell r="DP56">
            <v>-3.7929431952239634E-2</v>
          </cell>
          <cell r="DR56" t="str">
            <v>Year</v>
          </cell>
          <cell r="DS56">
            <v>5.731343283582091E-2</v>
          </cell>
          <cell r="DT56">
            <v>-3.9558044651681445E-2</v>
          </cell>
          <cell r="DU56">
            <v>-1.0691857465620402E-2</v>
          </cell>
          <cell r="DW56">
            <v>-3.023431594860182E-2</v>
          </cell>
          <cell r="DX56">
            <v>-6.8384539147670842E-2</v>
          </cell>
          <cell r="DY56">
            <v>-5.3277461837773044E-2</v>
          </cell>
          <cell r="EA56">
            <v>-2.9850746268656803E-2</v>
          </cell>
          <cell r="EB56">
            <v>-9.8849372384937295E-2</v>
          </cell>
          <cell r="EC56">
            <v>-9.2285849503076056E-2</v>
          </cell>
          <cell r="EE56">
            <v>0.16216216216216206</v>
          </cell>
          <cell r="EF56">
            <v>-0.11314083677077191</v>
          </cell>
          <cell r="EG56">
            <v>-9.6238938053097356E-2</v>
          </cell>
          <cell r="EI56">
            <v>9.4279661016949401E-2</v>
          </cell>
          <cell r="EJ56">
            <v>-0.18902439024390238</v>
          </cell>
          <cell r="EK56">
            <v>5.2346570397111991E-2</v>
          </cell>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A58" t="str">
            <v>1997</v>
          </cell>
          <cell r="AH58" t="str">
            <v>1997</v>
          </cell>
          <cell r="BS58" t="str">
            <v>1997</v>
          </cell>
          <cell r="CV58" t="str">
            <v>1997</v>
          </cell>
          <cell r="DR58" t="str">
            <v>1997</v>
          </cell>
          <cell r="EM58" t="str">
            <v>1997</v>
          </cell>
        </row>
        <row r="59">
          <cell r="A59" t="str">
            <v xml:space="preserve"> 1Q</v>
          </cell>
          <cell r="B59">
            <v>44.3</v>
          </cell>
          <cell r="C59">
            <v>4.9000000000000004</v>
          </cell>
          <cell r="D59">
            <v>49.199999999999996</v>
          </cell>
          <cell r="F59">
            <v>25.5</v>
          </cell>
          <cell r="G59">
            <v>0</v>
          </cell>
          <cell r="H59">
            <v>25.5</v>
          </cell>
          <cell r="J59">
            <v>54.9</v>
          </cell>
          <cell r="K59">
            <v>51.8</v>
          </cell>
          <cell r="L59">
            <v>106.69999999999999</v>
          </cell>
          <cell r="N59">
            <v>9.1999999999999993</v>
          </cell>
          <cell r="O59">
            <v>26.3</v>
          </cell>
          <cell r="P59">
            <v>35.5</v>
          </cell>
          <cell r="R59">
            <v>58.6</v>
          </cell>
          <cell r="S59">
            <v>8.8000000000000007</v>
          </cell>
          <cell r="T59">
            <v>67.400000000000006</v>
          </cell>
          <cell r="V59">
            <v>61.9</v>
          </cell>
          <cell r="W59">
            <v>10.5</v>
          </cell>
          <cell r="X59">
            <v>72.400000000000006</v>
          </cell>
          <cell r="AD59">
            <v>32.6</v>
          </cell>
          <cell r="AE59">
            <v>2.4</v>
          </cell>
          <cell r="AF59">
            <v>35</v>
          </cell>
          <cell r="AH59" t="str">
            <v xml:space="preserve"> 1Q</v>
          </cell>
          <cell r="AI59">
            <v>0</v>
          </cell>
          <cell r="AJ59">
            <v>30.9</v>
          </cell>
          <cell r="AK59">
            <v>30.9</v>
          </cell>
          <cell r="AM59">
            <v>6.8</v>
          </cell>
          <cell r="AN59">
            <v>5.6</v>
          </cell>
          <cell r="AO59">
            <v>12.399999999999999</v>
          </cell>
          <cell r="AQ59">
            <v>35.700000000000003</v>
          </cell>
          <cell r="AR59">
            <v>55.1</v>
          </cell>
          <cell r="AS59">
            <v>90.800000000000011</v>
          </cell>
          <cell r="AW59">
            <v>0</v>
          </cell>
          <cell r="AY59">
            <v>41.300000000000011</v>
          </cell>
          <cell r="AZ59">
            <v>119.09999999999997</v>
          </cell>
          <cell r="BA59">
            <v>160.39999999999998</v>
          </cell>
          <cell r="BC59">
            <v>370.8</v>
          </cell>
          <cell r="BD59">
            <v>315.39999999999998</v>
          </cell>
          <cell r="BE59">
            <v>686.2</v>
          </cell>
          <cell r="BK59">
            <v>0</v>
          </cell>
          <cell r="BL59">
            <v>0</v>
          </cell>
          <cell r="BM59">
            <v>0</v>
          </cell>
          <cell r="BO59">
            <v>370.8</v>
          </cell>
          <cell r="BP59">
            <v>315.39999999999998</v>
          </cell>
          <cell r="BQ59">
            <v>686.2</v>
          </cell>
          <cell r="BS59" t="str">
            <v xml:space="preserve"> 1Q</v>
          </cell>
          <cell r="BT59">
            <v>36.5</v>
          </cell>
          <cell r="BU59">
            <v>131.4</v>
          </cell>
          <cell r="BV59">
            <v>167.9</v>
          </cell>
          <cell r="BX59">
            <v>74.2</v>
          </cell>
          <cell r="BY59">
            <v>24.1</v>
          </cell>
          <cell r="BZ59">
            <v>98.300000000000011</v>
          </cell>
          <cell r="CB59">
            <v>19.3</v>
          </cell>
          <cell r="CC59">
            <v>33.299999999999997</v>
          </cell>
          <cell r="CD59">
            <v>52.599999999999994</v>
          </cell>
          <cell r="CF59">
            <v>0</v>
          </cell>
          <cell r="CG59">
            <v>0</v>
          </cell>
          <cell r="CH59">
            <v>0</v>
          </cell>
          <cell r="CJ59">
            <v>31.9</v>
          </cell>
          <cell r="CK59">
            <v>9.6999999999999993</v>
          </cell>
          <cell r="CL59">
            <v>41.599999999999994</v>
          </cell>
          <cell r="CN59">
            <v>30.7</v>
          </cell>
          <cell r="CO59">
            <v>2.2000000000000002</v>
          </cell>
          <cell r="CP59">
            <v>32.9</v>
          </cell>
          <cell r="CR59">
            <v>17.100000000000001</v>
          </cell>
          <cell r="CS59">
            <v>2.2000000000000002</v>
          </cell>
          <cell r="CT59">
            <v>19.3</v>
          </cell>
          <cell r="CV59" t="str">
            <v xml:space="preserve"> 1Q</v>
          </cell>
          <cell r="CX59">
            <v>22.4</v>
          </cell>
          <cell r="CY59">
            <v>6.2</v>
          </cell>
          <cell r="CZ59">
            <v>28.599999999999998</v>
          </cell>
          <cell r="DB59">
            <v>18.2</v>
          </cell>
          <cell r="DC59">
            <v>1.1000000000000001</v>
          </cell>
          <cell r="DD59">
            <v>19.3</v>
          </cell>
          <cell r="DF59">
            <v>4.9000000000000004</v>
          </cell>
          <cell r="DG59">
            <v>12.1</v>
          </cell>
          <cell r="DH59">
            <v>17</v>
          </cell>
          <cell r="DJ59">
            <v>73.100000000000009</v>
          </cell>
          <cell r="DK59">
            <v>111.50000000000004</v>
          </cell>
          <cell r="DL59">
            <v>184.60000000000005</v>
          </cell>
          <cell r="DN59">
            <v>328.3</v>
          </cell>
          <cell r="DO59">
            <v>333.8</v>
          </cell>
          <cell r="DP59">
            <v>662.1</v>
          </cell>
          <cell r="DR59" t="str">
            <v xml:space="preserve"> 1Q</v>
          </cell>
          <cell r="DS59">
            <v>23.6</v>
          </cell>
          <cell r="DT59">
            <v>96.6</v>
          </cell>
          <cell r="DU59">
            <v>120.19999999999999</v>
          </cell>
          <cell r="DW59">
            <v>26.9</v>
          </cell>
          <cell r="DX59">
            <v>44.5</v>
          </cell>
          <cell r="DY59">
            <v>71.400000000000006</v>
          </cell>
          <cell r="EA59">
            <v>4.9000000000000004</v>
          </cell>
          <cell r="EB59">
            <v>40.4</v>
          </cell>
          <cell r="EC59">
            <v>45.3</v>
          </cell>
          <cell r="EE59">
            <v>2.9</v>
          </cell>
          <cell r="EF59">
            <v>39.700000000000003</v>
          </cell>
          <cell r="EG59">
            <v>42.6</v>
          </cell>
          <cell r="EI59">
            <v>22.8</v>
          </cell>
          <cell r="EJ59">
            <v>3.2</v>
          </cell>
          <cell r="EK59">
            <v>26</v>
          </cell>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A60" t="str">
            <v xml:space="preserve"> 2Q</v>
          </cell>
          <cell r="B60">
            <v>133.1</v>
          </cell>
          <cell r="C60">
            <v>17.899999999999999</v>
          </cell>
          <cell r="D60">
            <v>151</v>
          </cell>
          <cell r="F60">
            <v>78.900000000000006</v>
          </cell>
          <cell r="G60">
            <v>0</v>
          </cell>
          <cell r="H60">
            <v>78.900000000000006</v>
          </cell>
          <cell r="J60">
            <v>43.3</v>
          </cell>
          <cell r="K60">
            <v>54.7</v>
          </cell>
          <cell r="L60">
            <v>98</v>
          </cell>
          <cell r="N60">
            <v>7.5</v>
          </cell>
          <cell r="O60">
            <v>28.5</v>
          </cell>
          <cell r="P60">
            <v>36</v>
          </cell>
          <cell r="R60">
            <v>40.200000000000003</v>
          </cell>
          <cell r="S60">
            <v>11</v>
          </cell>
          <cell r="T60">
            <v>51.2</v>
          </cell>
          <cell r="V60">
            <v>59.3</v>
          </cell>
          <cell r="W60">
            <v>12</v>
          </cell>
          <cell r="X60">
            <v>71.3</v>
          </cell>
          <cell r="AD60">
            <v>26.2</v>
          </cell>
          <cell r="AE60">
            <v>2.7</v>
          </cell>
          <cell r="AF60">
            <v>28.9</v>
          </cell>
          <cell r="AH60" t="str">
            <v xml:space="preserve"> 2Q</v>
          </cell>
          <cell r="AI60">
            <v>0</v>
          </cell>
          <cell r="AJ60">
            <v>26.3</v>
          </cell>
          <cell r="AK60">
            <v>26.3</v>
          </cell>
          <cell r="AM60">
            <v>0</v>
          </cell>
          <cell r="AN60">
            <v>5.8</v>
          </cell>
          <cell r="AO60">
            <v>5.8</v>
          </cell>
          <cell r="AQ60">
            <v>35.700000000000003</v>
          </cell>
          <cell r="AR60">
            <v>53.5</v>
          </cell>
          <cell r="AS60">
            <v>89.2</v>
          </cell>
          <cell r="AW60">
            <v>0</v>
          </cell>
          <cell r="AY60">
            <v>37.000000000000043</v>
          </cell>
          <cell r="AZ60">
            <v>150.90000000000003</v>
          </cell>
          <cell r="BA60">
            <v>187.90000000000009</v>
          </cell>
          <cell r="BC60">
            <v>461.2</v>
          </cell>
          <cell r="BD60">
            <v>363.3</v>
          </cell>
          <cell r="BE60">
            <v>824.5</v>
          </cell>
          <cell r="BK60">
            <v>0</v>
          </cell>
          <cell r="BL60">
            <v>0</v>
          </cell>
          <cell r="BM60">
            <v>0</v>
          </cell>
          <cell r="BO60">
            <v>461.2</v>
          </cell>
          <cell r="BP60">
            <v>363.3</v>
          </cell>
          <cell r="BQ60">
            <v>824.5</v>
          </cell>
          <cell r="BS60" t="str">
            <v xml:space="preserve"> 2Q</v>
          </cell>
          <cell r="BT60">
            <v>50.1</v>
          </cell>
          <cell r="BU60">
            <v>148</v>
          </cell>
          <cell r="BV60">
            <v>198.1</v>
          </cell>
          <cell r="BX60">
            <v>75.8</v>
          </cell>
          <cell r="BY60">
            <v>27.8</v>
          </cell>
          <cell r="BZ60">
            <v>103.6</v>
          </cell>
          <cell r="CB60">
            <v>20.5</v>
          </cell>
          <cell r="CC60">
            <v>30.9</v>
          </cell>
          <cell r="CD60">
            <v>51.4</v>
          </cell>
          <cell r="CF60">
            <v>0</v>
          </cell>
          <cell r="CG60">
            <v>0</v>
          </cell>
          <cell r="CH60">
            <v>0</v>
          </cell>
          <cell r="CJ60">
            <v>21.4</v>
          </cell>
          <cell r="CK60">
            <v>5</v>
          </cell>
          <cell r="CL60">
            <v>26.4</v>
          </cell>
          <cell r="CN60">
            <v>36.4</v>
          </cell>
          <cell r="CO60">
            <v>3.1</v>
          </cell>
          <cell r="CP60">
            <v>39.5</v>
          </cell>
          <cell r="CR60">
            <v>19.100000000000001</v>
          </cell>
          <cell r="CS60">
            <v>2.4</v>
          </cell>
          <cell r="CT60">
            <v>21.5</v>
          </cell>
          <cell r="CV60" t="str">
            <v xml:space="preserve"> 2Q</v>
          </cell>
          <cell r="CX60">
            <v>18.2</v>
          </cell>
          <cell r="CY60">
            <v>6.3</v>
          </cell>
          <cell r="CZ60">
            <v>24.5</v>
          </cell>
          <cell r="DB60">
            <v>21.9</v>
          </cell>
          <cell r="DC60">
            <v>2</v>
          </cell>
          <cell r="DD60">
            <v>23.9</v>
          </cell>
          <cell r="DF60">
            <v>4.3</v>
          </cell>
          <cell r="DG60">
            <v>5.3</v>
          </cell>
          <cell r="DH60">
            <v>9.6</v>
          </cell>
          <cell r="DJ60">
            <v>74.499999999999957</v>
          </cell>
          <cell r="DK60">
            <v>102.09999999999997</v>
          </cell>
          <cell r="DL60">
            <v>176.59999999999991</v>
          </cell>
          <cell r="DN60">
            <v>342.2</v>
          </cell>
          <cell r="DO60">
            <v>332.9</v>
          </cell>
          <cell r="DP60">
            <v>675.09999999999991</v>
          </cell>
          <cell r="DR60" t="str">
            <v xml:space="preserve"> 2Q</v>
          </cell>
          <cell r="DS60">
            <v>29.4</v>
          </cell>
          <cell r="DT60">
            <v>86.9</v>
          </cell>
          <cell r="DU60">
            <v>116.30000000000001</v>
          </cell>
          <cell r="DW60">
            <v>37.299999999999997</v>
          </cell>
          <cell r="DX60">
            <v>53.2</v>
          </cell>
          <cell r="DY60">
            <v>90.5</v>
          </cell>
          <cell r="EA60">
            <v>5</v>
          </cell>
          <cell r="EB60">
            <v>45.3</v>
          </cell>
          <cell r="EC60">
            <v>50.3</v>
          </cell>
          <cell r="EE60">
            <v>3.4</v>
          </cell>
          <cell r="EF60">
            <v>39.700000000000003</v>
          </cell>
          <cell r="EG60">
            <v>43.1</v>
          </cell>
          <cell r="EI60">
            <v>25.1</v>
          </cell>
          <cell r="EJ60">
            <v>3.8</v>
          </cell>
          <cell r="EK60">
            <v>28.900000000000002</v>
          </cell>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A61" t="str">
            <v xml:space="preserve"> 3Q</v>
          </cell>
          <cell r="B61">
            <v>219.3</v>
          </cell>
          <cell r="C61">
            <v>37.200000000000003</v>
          </cell>
          <cell r="D61">
            <v>256.5</v>
          </cell>
          <cell r="F61">
            <v>136.5</v>
          </cell>
          <cell r="G61">
            <v>0</v>
          </cell>
          <cell r="H61">
            <v>136.5</v>
          </cell>
          <cell r="J61">
            <v>31.9</v>
          </cell>
          <cell r="K61">
            <v>49.2</v>
          </cell>
          <cell r="L61">
            <v>81.099999999999994</v>
          </cell>
          <cell r="N61">
            <v>6.1</v>
          </cell>
          <cell r="O61">
            <v>24.4</v>
          </cell>
          <cell r="P61">
            <v>30.5</v>
          </cell>
          <cell r="R61">
            <v>43.6</v>
          </cell>
          <cell r="S61">
            <v>9.5</v>
          </cell>
          <cell r="T61">
            <v>53.1</v>
          </cell>
          <cell r="V61">
            <v>65.5</v>
          </cell>
          <cell r="W61">
            <v>12.7</v>
          </cell>
          <cell r="X61">
            <v>78.2</v>
          </cell>
          <cell r="AD61">
            <v>35.299999999999997</v>
          </cell>
          <cell r="AE61">
            <v>2.7</v>
          </cell>
          <cell r="AF61">
            <v>38</v>
          </cell>
          <cell r="AH61" t="str">
            <v xml:space="preserve"> 3Q</v>
          </cell>
          <cell r="AI61">
            <v>0</v>
          </cell>
          <cell r="AJ61">
            <v>23.1</v>
          </cell>
          <cell r="AK61">
            <v>23.1</v>
          </cell>
          <cell r="AM61">
            <v>0</v>
          </cell>
          <cell r="AN61">
            <v>5.3</v>
          </cell>
          <cell r="AO61">
            <v>5.3</v>
          </cell>
          <cell r="AQ61">
            <v>33.6</v>
          </cell>
          <cell r="AR61">
            <v>47.3</v>
          </cell>
          <cell r="AS61">
            <v>80.900000000000006</v>
          </cell>
          <cell r="AW61">
            <v>0</v>
          </cell>
          <cell r="AY61">
            <v>13.099999999999973</v>
          </cell>
          <cell r="AZ61">
            <v>151.80000000000001</v>
          </cell>
          <cell r="BA61">
            <v>164.89999999999998</v>
          </cell>
          <cell r="BC61">
            <v>584.9</v>
          </cell>
          <cell r="BD61">
            <v>363.2</v>
          </cell>
          <cell r="BE61">
            <v>948.09999999999991</v>
          </cell>
          <cell r="BK61">
            <v>0</v>
          </cell>
          <cell r="BL61">
            <v>0</v>
          </cell>
          <cell r="BM61">
            <v>0</v>
          </cell>
          <cell r="BO61">
            <v>584.9</v>
          </cell>
          <cell r="BP61">
            <v>363.2</v>
          </cell>
          <cell r="BQ61">
            <v>948.09999999999991</v>
          </cell>
          <cell r="BS61" t="str">
            <v xml:space="preserve"> 3Q</v>
          </cell>
          <cell r="BT61">
            <v>52.2</v>
          </cell>
          <cell r="BU61">
            <v>132.19999999999999</v>
          </cell>
          <cell r="BV61">
            <v>184.39999999999998</v>
          </cell>
          <cell r="BX61">
            <v>71.599999999999994</v>
          </cell>
          <cell r="BY61">
            <v>25.5</v>
          </cell>
          <cell r="BZ61">
            <v>97.1</v>
          </cell>
          <cell r="CB61">
            <v>20.100000000000001</v>
          </cell>
          <cell r="CC61">
            <v>27.8</v>
          </cell>
          <cell r="CD61">
            <v>47.900000000000006</v>
          </cell>
          <cell r="CF61">
            <v>0</v>
          </cell>
          <cell r="CG61">
            <v>0</v>
          </cell>
          <cell r="CH61">
            <v>0</v>
          </cell>
          <cell r="CJ61">
            <v>35.299999999999997</v>
          </cell>
          <cell r="CK61">
            <v>5.9</v>
          </cell>
          <cell r="CL61">
            <v>41.199999999999996</v>
          </cell>
          <cell r="CN61">
            <v>39.9</v>
          </cell>
          <cell r="CO61">
            <v>2.1</v>
          </cell>
          <cell r="CP61">
            <v>42</v>
          </cell>
          <cell r="CR61">
            <v>17.2</v>
          </cell>
          <cell r="CS61">
            <v>2.2999999999999998</v>
          </cell>
          <cell r="CT61">
            <v>19.5</v>
          </cell>
          <cell r="CV61" t="str">
            <v xml:space="preserve"> 3Q</v>
          </cell>
          <cell r="CX61">
            <v>20.6</v>
          </cell>
          <cell r="CY61">
            <v>6.2</v>
          </cell>
          <cell r="CZ61">
            <v>26.8</v>
          </cell>
          <cell r="DB61">
            <v>19.7</v>
          </cell>
          <cell r="DC61">
            <v>0.6</v>
          </cell>
          <cell r="DD61">
            <v>20.3</v>
          </cell>
          <cell r="DF61">
            <v>6.2</v>
          </cell>
          <cell r="DG61">
            <v>8.5</v>
          </cell>
          <cell r="DH61">
            <v>14.7</v>
          </cell>
          <cell r="DJ61">
            <v>80.5</v>
          </cell>
          <cell r="DK61">
            <v>97.200000000000031</v>
          </cell>
          <cell r="DL61">
            <v>177.70000000000005</v>
          </cell>
          <cell r="DN61">
            <v>363.3</v>
          </cell>
          <cell r="DO61">
            <v>308.3</v>
          </cell>
          <cell r="DP61">
            <v>671.6</v>
          </cell>
          <cell r="DR61" t="str">
            <v xml:space="preserve"> 3Q</v>
          </cell>
          <cell r="DS61">
            <v>57</v>
          </cell>
          <cell r="DT61">
            <v>89</v>
          </cell>
          <cell r="DU61">
            <v>146</v>
          </cell>
          <cell r="DW61">
            <v>33.5</v>
          </cell>
          <cell r="DX61">
            <v>46.5</v>
          </cell>
          <cell r="DY61">
            <v>80</v>
          </cell>
          <cell r="EA61">
            <v>4.7</v>
          </cell>
          <cell r="EB61">
            <v>45.6</v>
          </cell>
          <cell r="EC61">
            <v>50.300000000000004</v>
          </cell>
          <cell r="EE61">
            <v>3</v>
          </cell>
          <cell r="EF61">
            <v>37.299999999999997</v>
          </cell>
          <cell r="EG61">
            <v>40.299999999999997</v>
          </cell>
          <cell r="EI61">
            <v>27.7</v>
          </cell>
          <cell r="EJ61">
            <v>3.2</v>
          </cell>
          <cell r="EK61">
            <v>30.9</v>
          </cell>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A62" t="str">
            <v xml:space="preserve"> 4Q</v>
          </cell>
          <cell r="B62">
            <v>345.7</v>
          </cell>
          <cell r="C62">
            <v>62.8</v>
          </cell>
          <cell r="D62">
            <v>408.5</v>
          </cell>
          <cell r="F62">
            <v>177.4</v>
          </cell>
          <cell r="G62">
            <v>0</v>
          </cell>
          <cell r="H62">
            <v>177.4</v>
          </cell>
          <cell r="J62">
            <v>38.700000000000003</v>
          </cell>
          <cell r="K62">
            <v>53.6</v>
          </cell>
          <cell r="L62">
            <v>92.300000000000011</v>
          </cell>
          <cell r="N62">
            <v>3.9</v>
          </cell>
          <cell r="O62">
            <v>25</v>
          </cell>
          <cell r="P62">
            <v>28.9</v>
          </cell>
          <cell r="R62">
            <v>40.299999999999997</v>
          </cell>
          <cell r="S62">
            <v>9.8000000000000007</v>
          </cell>
          <cell r="T62">
            <v>50.099999999999994</v>
          </cell>
          <cell r="V62">
            <v>55.8</v>
          </cell>
          <cell r="W62">
            <v>14</v>
          </cell>
          <cell r="X62">
            <v>69.8</v>
          </cell>
          <cell r="AD62">
            <v>22.4</v>
          </cell>
          <cell r="AE62">
            <v>2.7</v>
          </cell>
          <cell r="AF62">
            <v>25.099999999999998</v>
          </cell>
          <cell r="AH62" t="str">
            <v xml:space="preserve"> 4Q</v>
          </cell>
          <cell r="AI62">
            <v>0</v>
          </cell>
          <cell r="AJ62">
            <v>23.8</v>
          </cell>
          <cell r="AK62">
            <v>23.8</v>
          </cell>
          <cell r="AM62">
            <v>-1.4</v>
          </cell>
          <cell r="AN62">
            <v>4.9000000000000004</v>
          </cell>
          <cell r="AO62">
            <v>3.5000000000000004</v>
          </cell>
          <cell r="AQ62">
            <v>34.299999999999997</v>
          </cell>
          <cell r="AR62">
            <v>49.7</v>
          </cell>
          <cell r="AS62">
            <v>84</v>
          </cell>
          <cell r="AW62">
            <v>0</v>
          </cell>
          <cell r="AY62">
            <v>27.19999999999996</v>
          </cell>
          <cell r="AZ62">
            <v>170.59999999999991</v>
          </cell>
          <cell r="BA62">
            <v>197.79999999999987</v>
          </cell>
          <cell r="BC62">
            <v>744.3</v>
          </cell>
          <cell r="BD62">
            <v>416.9</v>
          </cell>
          <cell r="BE62">
            <v>1161.1999999999998</v>
          </cell>
          <cell r="BK62">
            <v>0</v>
          </cell>
          <cell r="BL62">
            <v>0</v>
          </cell>
          <cell r="BM62">
            <v>0</v>
          </cell>
          <cell r="BO62">
            <v>744.3</v>
          </cell>
          <cell r="BP62">
            <v>416.9</v>
          </cell>
          <cell r="BQ62">
            <v>1161.1999999999998</v>
          </cell>
          <cell r="BS62" t="str">
            <v xml:space="preserve"> 4Q</v>
          </cell>
          <cell r="BT62">
            <v>60.1</v>
          </cell>
          <cell r="BU62">
            <v>128.69999999999999</v>
          </cell>
          <cell r="BV62">
            <v>188.79999999999998</v>
          </cell>
          <cell r="BX62">
            <v>82.1</v>
          </cell>
          <cell r="BY62">
            <v>23.3</v>
          </cell>
          <cell r="BZ62">
            <v>105.39999999999999</v>
          </cell>
          <cell r="CB62">
            <v>19.899999999999999</v>
          </cell>
          <cell r="CC62">
            <v>25.5</v>
          </cell>
          <cell r="CD62">
            <v>45.4</v>
          </cell>
          <cell r="CF62">
            <v>0</v>
          </cell>
          <cell r="CG62">
            <v>0</v>
          </cell>
          <cell r="CH62">
            <v>0</v>
          </cell>
          <cell r="CJ62">
            <v>44.8</v>
          </cell>
          <cell r="CK62">
            <v>6.1</v>
          </cell>
          <cell r="CL62">
            <v>50.9</v>
          </cell>
          <cell r="CN62">
            <v>29.9</v>
          </cell>
          <cell r="CO62">
            <v>1.7</v>
          </cell>
          <cell r="CP62">
            <v>31.599999999999998</v>
          </cell>
          <cell r="CR62">
            <v>18.399999999999999</v>
          </cell>
          <cell r="CS62">
            <v>1.9</v>
          </cell>
          <cell r="CT62">
            <v>20.299999999999997</v>
          </cell>
          <cell r="CV62" t="str">
            <v xml:space="preserve"> 4Q</v>
          </cell>
          <cell r="CX62">
            <v>28.2</v>
          </cell>
          <cell r="CY62">
            <v>5.9</v>
          </cell>
          <cell r="CZ62">
            <v>34.1</v>
          </cell>
          <cell r="DB62">
            <v>14</v>
          </cell>
          <cell r="DC62">
            <v>0.8</v>
          </cell>
          <cell r="DD62">
            <v>14.8</v>
          </cell>
          <cell r="DF62">
            <v>6.5</v>
          </cell>
          <cell r="DG62">
            <v>11.5</v>
          </cell>
          <cell r="DH62">
            <v>18</v>
          </cell>
          <cell r="DJ62">
            <v>67.899999999999963</v>
          </cell>
          <cell r="DK62">
            <v>105.20000000000002</v>
          </cell>
          <cell r="DL62">
            <v>173.09999999999997</v>
          </cell>
          <cell r="DN62">
            <v>371.8</v>
          </cell>
          <cell r="DO62">
            <v>310.60000000000002</v>
          </cell>
          <cell r="DP62">
            <v>682.40000000000009</v>
          </cell>
          <cell r="DR62" t="str">
            <v xml:space="preserve"> 4Q</v>
          </cell>
          <cell r="DS62">
            <v>67.099999999999994</v>
          </cell>
          <cell r="DT62">
            <v>106.5</v>
          </cell>
          <cell r="DU62">
            <v>173.6</v>
          </cell>
          <cell r="DW62">
            <v>30.6</v>
          </cell>
          <cell r="DX62">
            <v>43.8</v>
          </cell>
          <cell r="DY62">
            <v>74.400000000000006</v>
          </cell>
          <cell r="EA62">
            <v>4.9000000000000004</v>
          </cell>
          <cell r="EB62">
            <v>41</v>
          </cell>
          <cell r="EC62">
            <v>45.9</v>
          </cell>
          <cell r="EE62">
            <v>3.6</v>
          </cell>
          <cell r="EF62">
            <v>33.799999999999997</v>
          </cell>
          <cell r="EG62">
            <v>37.4</v>
          </cell>
          <cell r="EI62">
            <v>27.7</v>
          </cell>
          <cell r="EJ62">
            <v>3.1</v>
          </cell>
          <cell r="EK62">
            <v>30.8</v>
          </cell>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A64" t="str">
            <v>Year</v>
          </cell>
          <cell r="B64">
            <v>742.4</v>
          </cell>
          <cell r="C64">
            <v>122.8</v>
          </cell>
          <cell r="D64">
            <v>865.2</v>
          </cell>
          <cell r="F64">
            <v>418.3</v>
          </cell>
          <cell r="G64">
            <v>0</v>
          </cell>
          <cell r="H64">
            <v>418.3</v>
          </cell>
          <cell r="J64">
            <v>168.8</v>
          </cell>
          <cell r="K64">
            <v>209.29999999999998</v>
          </cell>
          <cell r="L64">
            <v>378.09999999999997</v>
          </cell>
          <cell r="N64">
            <v>26.699999999999996</v>
          </cell>
          <cell r="O64">
            <v>104.19999999999999</v>
          </cell>
          <cell r="P64">
            <v>130.9</v>
          </cell>
          <cell r="R64">
            <v>182.7</v>
          </cell>
          <cell r="S64">
            <v>39.1</v>
          </cell>
          <cell r="T64">
            <v>221.8</v>
          </cell>
          <cell r="V64">
            <v>242.5</v>
          </cell>
          <cell r="W64">
            <v>49.2</v>
          </cell>
          <cell r="X64">
            <v>291.7</v>
          </cell>
          <cell r="AD64">
            <v>116.5</v>
          </cell>
          <cell r="AE64">
            <v>10.5</v>
          </cell>
          <cell r="AF64">
            <v>127</v>
          </cell>
          <cell r="AH64" t="str">
            <v>Year</v>
          </cell>
          <cell r="AI64">
            <v>0</v>
          </cell>
          <cell r="AJ64">
            <v>104.10000000000001</v>
          </cell>
          <cell r="AK64">
            <v>104.10000000000001</v>
          </cell>
          <cell r="AM64">
            <v>5.4</v>
          </cell>
          <cell r="AN64">
            <v>21.6</v>
          </cell>
          <cell r="AO64">
            <v>27</v>
          </cell>
          <cell r="AQ64">
            <v>139.30000000000001</v>
          </cell>
          <cell r="AR64">
            <v>205.59999999999997</v>
          </cell>
          <cell r="AS64">
            <v>344.9</v>
          </cell>
          <cell r="AU64">
            <v>0</v>
          </cell>
          <cell r="AV64">
            <v>0</v>
          </cell>
          <cell r="AW64">
            <v>0</v>
          </cell>
          <cell r="AY64">
            <v>118.6</v>
          </cell>
          <cell r="AZ64">
            <v>592.39999999999986</v>
          </cell>
          <cell r="BA64">
            <v>710.99999999999989</v>
          </cell>
          <cell r="BC64">
            <v>2161.1999999999998</v>
          </cell>
          <cell r="BD64">
            <v>1458.8000000000002</v>
          </cell>
          <cell r="BE64">
            <v>3620</v>
          </cell>
          <cell r="BK64">
            <v>0</v>
          </cell>
          <cell r="BL64">
            <v>0</v>
          </cell>
          <cell r="BM64">
            <v>0</v>
          </cell>
          <cell r="BO64">
            <v>2161.1999999999998</v>
          </cell>
          <cell r="BP64">
            <v>1458.8000000000002</v>
          </cell>
          <cell r="BQ64">
            <v>3620</v>
          </cell>
          <cell r="BS64" t="str">
            <v>Year</v>
          </cell>
          <cell r="BT64">
            <v>198.9</v>
          </cell>
          <cell r="BU64">
            <v>540.29999999999995</v>
          </cell>
          <cell r="BV64">
            <v>739.19999999999993</v>
          </cell>
          <cell r="BX64">
            <v>303.7</v>
          </cell>
          <cell r="BY64">
            <v>100.7</v>
          </cell>
          <cell r="BZ64">
            <v>404.4</v>
          </cell>
          <cell r="CB64">
            <v>79.8</v>
          </cell>
          <cell r="CC64">
            <v>117.49999999999999</v>
          </cell>
          <cell r="CD64">
            <v>197.3</v>
          </cell>
          <cell r="CF64">
            <v>0</v>
          </cell>
          <cell r="CG64">
            <v>0</v>
          </cell>
          <cell r="CH64">
            <v>0</v>
          </cell>
          <cell r="CJ64">
            <v>133.39999999999998</v>
          </cell>
          <cell r="CK64">
            <v>26.700000000000003</v>
          </cell>
          <cell r="CL64">
            <v>160.1</v>
          </cell>
          <cell r="CN64">
            <v>136.9</v>
          </cell>
          <cell r="CO64">
            <v>9.1</v>
          </cell>
          <cell r="CP64">
            <v>146</v>
          </cell>
          <cell r="CR64">
            <v>71.800000000000011</v>
          </cell>
          <cell r="CS64">
            <v>8.7999999999999989</v>
          </cell>
          <cell r="CT64">
            <v>80.599999999999994</v>
          </cell>
          <cell r="CV64" t="str">
            <v>Year</v>
          </cell>
          <cell r="CX64">
            <v>89.399999999999991</v>
          </cell>
          <cell r="CY64">
            <v>24.6</v>
          </cell>
          <cell r="CZ64">
            <v>114</v>
          </cell>
          <cell r="DB64">
            <v>73.8</v>
          </cell>
          <cell r="DC64">
            <v>4.5</v>
          </cell>
          <cell r="DD64">
            <v>78.3</v>
          </cell>
          <cell r="DF64">
            <v>21.9</v>
          </cell>
          <cell r="DG64">
            <v>37.4</v>
          </cell>
          <cell r="DH64">
            <v>59.3</v>
          </cell>
          <cell r="DJ64">
            <v>295.99999999999994</v>
          </cell>
          <cell r="DK64">
            <v>416.00000000000011</v>
          </cell>
          <cell r="DL64">
            <v>712</v>
          </cell>
          <cell r="DN64">
            <v>1405.6</v>
          </cell>
          <cell r="DO64">
            <v>1285.5999999999999</v>
          </cell>
          <cell r="DP64">
            <v>2691.2</v>
          </cell>
          <cell r="DR64" t="str">
            <v>Year</v>
          </cell>
          <cell r="DS64">
            <v>177.1</v>
          </cell>
          <cell r="DT64">
            <v>379</v>
          </cell>
          <cell r="DU64">
            <v>556.1</v>
          </cell>
          <cell r="DW64">
            <v>128.29999999999998</v>
          </cell>
          <cell r="DX64">
            <v>188</v>
          </cell>
          <cell r="DY64">
            <v>316.3</v>
          </cell>
          <cell r="EA64">
            <v>19.5</v>
          </cell>
          <cell r="EB64">
            <v>172.29999999999998</v>
          </cell>
          <cell r="EC64">
            <v>191.8</v>
          </cell>
          <cell r="EE64">
            <v>12.9</v>
          </cell>
          <cell r="EF64">
            <v>150.5</v>
          </cell>
          <cell r="EG64">
            <v>163.4</v>
          </cell>
          <cell r="EI64">
            <v>103.30000000000001</v>
          </cell>
          <cell r="EJ64">
            <v>13.299999999999999</v>
          </cell>
          <cell r="EK64">
            <v>116.60000000000001</v>
          </cell>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A66" t="str">
            <v>1998/97 % Change</v>
          </cell>
          <cell r="AH66" t="str">
            <v>1998/97 % Change</v>
          </cell>
          <cell r="BS66" t="str">
            <v>1998/97 % Change</v>
          </cell>
          <cell r="CV66" t="str">
            <v>1998/97 % Change</v>
          </cell>
          <cell r="DR66" t="str">
            <v>1998/97 % Change</v>
          </cell>
          <cell r="EM66" t="str">
            <v>1998/97 % Change</v>
          </cell>
        </row>
        <row r="67">
          <cell r="A67" t="str">
            <v xml:space="preserve"> 1Q</v>
          </cell>
          <cell r="B67" t="str">
            <v>NM</v>
          </cell>
          <cell r="C67" t="str">
            <v>NM</v>
          </cell>
          <cell r="D67" t="str">
            <v>NM</v>
          </cell>
          <cell r="F67" t="str">
            <v>NM</v>
          </cell>
          <cell r="G67" t="str">
            <v>NM</v>
          </cell>
          <cell r="H67" t="str">
            <v>NM</v>
          </cell>
          <cell r="I67" t="e">
            <v>#DIV/0!</v>
          </cell>
          <cell r="J67">
            <v>-0.14571948998178508</v>
          </cell>
          <cell r="K67">
            <v>-3.8610038610037423E-3</v>
          </cell>
          <cell r="L67">
            <v>-7.6850984067478811E-2</v>
          </cell>
          <cell r="M67" t="e">
            <v>#DIV/0!</v>
          </cell>
          <cell r="N67">
            <v>-0.17391304347826086</v>
          </cell>
          <cell r="O67">
            <v>-0.23193916349809895</v>
          </cell>
          <cell r="P67">
            <v>-0.21690140845070427</v>
          </cell>
          <cell r="R67">
            <v>-1.3651877133105894E-2</v>
          </cell>
          <cell r="S67">
            <v>-6.8181818181818343E-2</v>
          </cell>
          <cell r="T67">
            <v>-2.0771513353115778E-2</v>
          </cell>
          <cell r="U67" t="e">
            <v>#DIV/0!</v>
          </cell>
          <cell r="V67">
            <v>0.31663974151857843</v>
          </cell>
          <cell r="W67">
            <v>0.37142857142857144</v>
          </cell>
          <cell r="X67">
            <v>0.32458563535911589</v>
          </cell>
          <cell r="AD67">
            <v>-0.24233128834355833</v>
          </cell>
          <cell r="AE67">
            <v>4.1666666666666741E-2</v>
          </cell>
          <cell r="AF67">
            <v>-0.22285714285714286</v>
          </cell>
          <cell r="AH67" t="str">
            <v xml:space="preserve"> 1Q</v>
          </cell>
          <cell r="AI67" t="str">
            <v>NM</v>
          </cell>
          <cell r="AJ67">
            <v>-0.34951456310679607</v>
          </cell>
          <cell r="AK67">
            <v>-0.34627831715210344</v>
          </cell>
          <cell r="AM67" t="str">
            <v>NM</v>
          </cell>
          <cell r="AN67">
            <v>-0.12499999999999989</v>
          </cell>
          <cell r="AO67">
            <v>-0.65322580645161277</v>
          </cell>
          <cell r="AQ67">
            <v>0.19607843137254899</v>
          </cell>
          <cell r="AR67">
            <v>-6.7150635208711451E-2</v>
          </cell>
          <cell r="AS67">
            <v>3.6343612334801545E-2</v>
          </cell>
          <cell r="AT67" t="e">
            <v>#DIV/0!</v>
          </cell>
          <cell r="AU67" t="str">
            <v xml:space="preserve"> </v>
          </cell>
          <cell r="AV67" t="str">
            <v xml:space="preserve"> </v>
          </cell>
          <cell r="AW67" t="str">
            <v xml:space="preserve"> </v>
          </cell>
          <cell r="AX67" t="e">
            <v>#DIV/0!</v>
          </cell>
          <cell r="AY67">
            <v>-0.45520581113801539</v>
          </cell>
          <cell r="AZ67">
            <v>0.27623845507976497</v>
          </cell>
          <cell r="BA67">
            <v>8.7905236907730444E-2</v>
          </cell>
          <cell r="BC67">
            <v>1.1672060409924487</v>
          </cell>
          <cell r="BD67">
            <v>0.37254280279010787</v>
          </cell>
          <cell r="BE67">
            <v>0.80195278344505971</v>
          </cell>
          <cell r="BK67" t="str">
            <v>NM</v>
          </cell>
          <cell r="BL67" t="str">
            <v>NM</v>
          </cell>
          <cell r="BM67" t="str">
            <v>NM</v>
          </cell>
          <cell r="BO67">
            <v>1.1672060409924487</v>
          </cell>
          <cell r="BP67">
            <v>0.37254280279010787</v>
          </cell>
          <cell r="BQ67">
            <v>0.80195278344505971</v>
          </cell>
          <cell r="BS67" t="str">
            <v xml:space="preserve"> 1Q</v>
          </cell>
          <cell r="BT67">
            <v>0.40000000000000013</v>
          </cell>
          <cell r="BU67">
            <v>-0.11491628614916294</v>
          </cell>
          <cell r="BV67">
            <v>-2.9779630732579276E-3</v>
          </cell>
          <cell r="BX67">
            <v>0.11590296495956864</v>
          </cell>
          <cell r="BY67">
            <v>-8.7136929460580936E-2</v>
          </cell>
          <cell r="BZ67">
            <v>6.6124109867751635E-2</v>
          </cell>
          <cell r="CB67">
            <v>6.7357512953367893E-2</v>
          </cell>
          <cell r="CC67">
            <v>-0.15915915915915912</v>
          </cell>
          <cell r="CD67">
            <v>-7.6045627376425728E-2</v>
          </cell>
          <cell r="CF67" t="str">
            <v>NM</v>
          </cell>
          <cell r="CG67" t="str">
            <v>NM</v>
          </cell>
          <cell r="CH67" t="str">
            <v>NM</v>
          </cell>
          <cell r="CI67" t="e">
            <v>#DIV/0!</v>
          </cell>
          <cell r="CJ67">
            <v>0.1849529780564263</v>
          </cell>
          <cell r="CK67">
            <v>-0.37113402061855671</v>
          </cell>
          <cell r="CL67">
            <v>5.5288461538461675E-2</v>
          </cell>
          <cell r="CN67">
            <v>0.17589576547231278</v>
          </cell>
          <cell r="CO67">
            <v>0.31818181818181812</v>
          </cell>
          <cell r="CP67">
            <v>0.18541033434650456</v>
          </cell>
          <cell r="CR67">
            <v>-2.3391812865497186E-2</v>
          </cell>
          <cell r="CS67">
            <v>-4.5454545454545525E-2</v>
          </cell>
          <cell r="CT67">
            <v>-2.5906735751295318E-2</v>
          </cell>
          <cell r="CV67" t="str">
            <v xml:space="preserve"> 1Q</v>
          </cell>
          <cell r="CX67">
            <v>-0.1383928571428571</v>
          </cell>
          <cell r="CY67" t="str">
            <v>NM</v>
          </cell>
          <cell r="CZ67">
            <v>-9.0909090909090828E-2</v>
          </cell>
          <cell r="DB67">
            <v>6.0439560439560447E-2</v>
          </cell>
          <cell r="DC67">
            <v>0.27272727272727249</v>
          </cell>
          <cell r="DD67">
            <v>7.2538860103626757E-2</v>
          </cell>
          <cell r="DF67">
            <v>2.0408163265306145E-2</v>
          </cell>
          <cell r="DG67">
            <v>-0.14876033057851235</v>
          </cell>
          <cell r="DH67">
            <v>-9.9999999999999978E-2</v>
          </cell>
          <cell r="DJ67">
            <v>-0.10123119015047921</v>
          </cell>
          <cell r="DK67">
            <v>-0.10941704035874467</v>
          </cell>
          <cell r="DL67">
            <v>-0.1061755146262191</v>
          </cell>
          <cell r="DN67">
            <v>7.9500456899177507E-2</v>
          </cell>
          <cell r="DO67">
            <v>-0.1159376872378669</v>
          </cell>
          <cell r="DP67">
            <v>-1.9030357951971055E-2</v>
          </cell>
          <cell r="DR67" t="str">
            <v xml:space="preserve"> 1Q</v>
          </cell>
          <cell r="DS67">
            <v>0.21610169491525411</v>
          </cell>
          <cell r="DT67">
            <v>-0.11283643892339534</v>
          </cell>
          <cell r="DU67">
            <v>-4.8252911813643773E-2</v>
          </cell>
          <cell r="DW67">
            <v>0.24535315985130124</v>
          </cell>
          <cell r="DX67">
            <v>-1.1235955056179803E-2</v>
          </cell>
          <cell r="DY67">
            <v>8.5434173669467706E-2</v>
          </cell>
          <cell r="EA67">
            <v>6.1224489795918435E-2</v>
          </cell>
          <cell r="EB67">
            <v>-6.683168316831678E-2</v>
          </cell>
          <cell r="EC67">
            <v>-5.2980132450330952E-2</v>
          </cell>
          <cell r="EE67">
            <v>0.58620689655172398</v>
          </cell>
          <cell r="EF67">
            <v>-0.12594458438287148</v>
          </cell>
          <cell r="EG67">
            <v>-7.7464788732394263E-2</v>
          </cell>
          <cell r="EI67">
            <v>0.2192982456140351</v>
          </cell>
          <cell r="EJ67">
            <v>-3.125E-2</v>
          </cell>
          <cell r="EK67">
            <v>0.18846153846153846</v>
          </cell>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A68" t="str">
            <v xml:space="preserve"> 2Q</v>
          </cell>
          <cell r="B68" t="str">
            <v>NM</v>
          </cell>
          <cell r="C68" t="str">
            <v>NM</v>
          </cell>
          <cell r="D68" t="str">
            <v>NM</v>
          </cell>
          <cell r="F68" t="str">
            <v>NM</v>
          </cell>
          <cell r="G68" t="str">
            <v>NM</v>
          </cell>
          <cell r="H68" t="str">
            <v>NM</v>
          </cell>
          <cell r="I68" t="e">
            <v>#DIV/0!</v>
          </cell>
          <cell r="J68">
            <v>0.49653579676674364</v>
          </cell>
          <cell r="K68">
            <v>-1.8281535648995151E-3</v>
          </cell>
          <cell r="L68">
            <v>0.21836734693877546</v>
          </cell>
          <cell r="M68" t="e">
            <v>#DIV/0!</v>
          </cell>
          <cell r="N68">
            <v>-0.30666666666666664</v>
          </cell>
          <cell r="O68">
            <v>-0.3543859649122808</v>
          </cell>
          <cell r="P68">
            <v>-0.34444444444444455</v>
          </cell>
          <cell r="R68">
            <v>0.27114427860696511</v>
          </cell>
          <cell r="S68">
            <v>-0.26363636363636367</v>
          </cell>
          <cell r="T68">
            <v>0.15625</v>
          </cell>
          <cell r="U68" t="e">
            <v>#DIV/0!</v>
          </cell>
          <cell r="V68">
            <v>0.76559865092748747</v>
          </cell>
          <cell r="W68">
            <v>0.41666666666666674</v>
          </cell>
          <cell r="X68">
            <v>0.70687237026647987</v>
          </cell>
          <cell r="AD68">
            <v>0.10305343511450382</v>
          </cell>
          <cell r="AE68">
            <v>-7.4074074074074181E-2</v>
          </cell>
          <cell r="AF68">
            <v>8.6505190311418678E-2</v>
          </cell>
          <cell r="AH68" t="str">
            <v xml:space="preserve"> 2Q</v>
          </cell>
          <cell r="AI68" t="str">
            <v>NM</v>
          </cell>
          <cell r="AJ68">
            <v>-0.1901140684410646</v>
          </cell>
          <cell r="AK68">
            <v>-0.1901140684410646</v>
          </cell>
          <cell r="AM68" t="str">
            <v>NM</v>
          </cell>
          <cell r="AN68">
            <v>-0.55172413793103448</v>
          </cell>
          <cell r="AO68">
            <v>-0.44827586206896552</v>
          </cell>
          <cell r="AQ68">
            <v>0.16246498599439763</v>
          </cell>
          <cell r="AR68">
            <v>-6.1682242990654168E-2</v>
          </cell>
          <cell r="AS68">
            <v>2.8026905829596327E-2</v>
          </cell>
          <cell r="AT68" t="e">
            <v>#DIV/0!</v>
          </cell>
          <cell r="AU68" t="str">
            <v xml:space="preserve"> </v>
          </cell>
          <cell r="AV68" t="str">
            <v xml:space="preserve"> </v>
          </cell>
          <cell r="AW68" t="str">
            <v xml:space="preserve"> </v>
          </cell>
          <cell r="AX68" t="str">
            <v xml:space="preserve"> </v>
          </cell>
          <cell r="AY68">
            <v>-0.14054054054054044</v>
          </cell>
          <cell r="AZ68">
            <v>-3.9761431411532433E-3</v>
          </cell>
          <cell r="BA68">
            <v>-3.0867482703565874E-2</v>
          </cell>
          <cell r="BC68">
            <v>1.3146140503035562</v>
          </cell>
          <cell r="BD68">
            <v>0.2967244701348748</v>
          </cell>
          <cell r="BE68">
            <v>0.8661006670709519</v>
          </cell>
          <cell r="BK68" t="str">
            <v>NM</v>
          </cell>
          <cell r="BL68" t="str">
            <v>NM</v>
          </cell>
          <cell r="BM68" t="str">
            <v>NM</v>
          </cell>
          <cell r="BO68">
            <v>1.3146140503035562</v>
          </cell>
          <cell r="BP68">
            <v>0.2967244701348748</v>
          </cell>
          <cell r="BQ68">
            <v>0.8661006670709519</v>
          </cell>
          <cell r="BS68" t="str">
            <v xml:space="preserve"> 2Q</v>
          </cell>
          <cell r="BT68">
            <v>0.2534930139720557</v>
          </cell>
          <cell r="BU68">
            <v>-0.10000000000000009</v>
          </cell>
          <cell r="BV68">
            <v>-1.0600706713780883E-2</v>
          </cell>
          <cell r="BX68">
            <v>5.0131926121371961E-2</v>
          </cell>
          <cell r="BY68">
            <v>-0.12589928057553956</v>
          </cell>
          <cell r="BZ68">
            <v>2.8957528957529455E-3</v>
          </cell>
          <cell r="CB68">
            <v>-4.8780487804879202E-3</v>
          </cell>
          <cell r="CC68">
            <v>-7.1197411003236177E-2</v>
          </cell>
          <cell r="CD68">
            <v>-4.474708171206232E-2</v>
          </cell>
          <cell r="CF68" t="str">
            <v>NM</v>
          </cell>
          <cell r="CG68" t="str">
            <v>NM</v>
          </cell>
          <cell r="CH68" t="str">
            <v>NM</v>
          </cell>
          <cell r="CI68" t="e">
            <v>#DIV/0!</v>
          </cell>
          <cell r="CJ68">
            <v>7.0093457943925186E-2</v>
          </cell>
          <cell r="CK68">
            <v>0.24</v>
          </cell>
          <cell r="CL68">
            <v>0.10227272727272729</v>
          </cell>
          <cell r="CN68">
            <v>3.0219780219780334E-2</v>
          </cell>
          <cell r="CO68">
            <v>0.45161290322580649</v>
          </cell>
          <cell r="CP68">
            <v>6.3291139240506222E-2</v>
          </cell>
          <cell r="CR68">
            <v>1.5706806282722363E-2</v>
          </cell>
          <cell r="CS68">
            <v>-0.20833333333333337</v>
          </cell>
          <cell r="CT68">
            <v>-9.302325581395432E-3</v>
          </cell>
          <cell r="CV68" t="str">
            <v xml:space="preserve"> 2Q</v>
          </cell>
          <cell r="CX68">
            <v>0.12637362637362637</v>
          </cell>
          <cell r="CY68" t="str">
            <v>NM</v>
          </cell>
          <cell r="CZ68">
            <v>7.3469387755102034E-2</v>
          </cell>
          <cell r="DB68">
            <v>5.4794520547945424E-2</v>
          </cell>
          <cell r="DC68">
            <v>-0.19999999999999996</v>
          </cell>
          <cell r="DD68">
            <v>3.3472803347280422E-2</v>
          </cell>
          <cell r="DF68">
            <v>0.13953488372093026</v>
          </cell>
          <cell r="DG68">
            <v>5.6603773584905648E-2</v>
          </cell>
          <cell r="DH68">
            <v>9.375E-2</v>
          </cell>
          <cell r="DJ68">
            <v>-2.2818791946308759E-2</v>
          </cell>
          <cell r="DK68">
            <v>-1.9588638589617902E-2</v>
          </cell>
          <cell r="DL68">
            <v>-2.0951302378255932E-2</v>
          </cell>
          <cell r="DN68">
            <v>6.34132086499124E-2</v>
          </cell>
          <cell r="DO68">
            <v>-6.3082006608591201E-2</v>
          </cell>
          <cell r="DP68">
            <v>1.0368834246778924E-3</v>
          </cell>
          <cell r="DR68" t="str">
            <v xml:space="preserve"> 2Q</v>
          </cell>
          <cell r="DS68">
            <v>-0.14285714285714279</v>
          </cell>
          <cell r="DT68">
            <v>-1.3808975834292303E-2</v>
          </cell>
          <cell r="DU68">
            <v>-4.6431642304385234E-2</v>
          </cell>
          <cell r="DW68">
            <v>2.4128686327077986E-2</v>
          </cell>
          <cell r="DX68">
            <v>-0.11842105263157898</v>
          </cell>
          <cell r="DY68">
            <v>-5.9668508287292865E-2</v>
          </cell>
          <cell r="EA68">
            <v>0</v>
          </cell>
          <cell r="EB68">
            <v>6.6225165562914245E-3</v>
          </cell>
          <cell r="EC68">
            <v>5.9642147117298094E-3</v>
          </cell>
          <cell r="EE68">
            <v>0.35294117647058809</v>
          </cell>
          <cell r="EF68">
            <v>-0.11838790931989929</v>
          </cell>
          <cell r="EG68">
            <v>-8.120649651972156E-2</v>
          </cell>
          <cell r="EI68">
            <v>0.17529880478087634</v>
          </cell>
          <cell r="EJ68">
            <v>-0.10526315789473684</v>
          </cell>
          <cell r="EK68">
            <v>0.1384083044982698</v>
          </cell>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A69" t="str">
            <v xml:space="preserve"> 3Q</v>
          </cell>
          <cell r="B69">
            <v>0.94664842681258521</v>
          </cell>
          <cell r="C69">
            <v>2.8198924731182791</v>
          </cell>
          <cell r="D69">
            <v>1.2183235867446394</v>
          </cell>
          <cell r="F69">
            <v>0.32527472527472523</v>
          </cell>
          <cell r="G69" t="str">
            <v>NM</v>
          </cell>
          <cell r="H69">
            <v>0.32673992673992669</v>
          </cell>
          <cell r="J69">
            <v>1.0062695924764893</v>
          </cell>
          <cell r="K69">
            <v>0.13821138211382111</v>
          </cell>
          <cell r="L69">
            <v>0.47965474722564738</v>
          </cell>
          <cell r="N69">
            <v>9.8360655737705027E-2</v>
          </cell>
          <cell r="O69">
            <v>-0.2786885245901638</v>
          </cell>
          <cell r="P69">
            <v>-0.20327868852459019</v>
          </cell>
          <cell r="R69">
            <v>0.30504587155963292</v>
          </cell>
          <cell r="S69">
            <v>-0.13684210526315799</v>
          </cell>
          <cell r="T69">
            <v>0.22598870056497167</v>
          </cell>
          <cell r="V69">
            <v>0.72061068702290076</v>
          </cell>
          <cell r="W69">
            <v>0.51968503937007893</v>
          </cell>
          <cell r="X69">
            <v>0.68797953964194369</v>
          </cell>
          <cell r="AD69">
            <v>-0.31444759206798867</v>
          </cell>
          <cell r="AE69">
            <v>-7.4074074074074181E-2</v>
          </cell>
          <cell r="AF69">
            <v>-0.29736842105263162</v>
          </cell>
          <cell r="AH69" t="str">
            <v xml:space="preserve"> 3Q</v>
          </cell>
          <cell r="AI69" t="str">
            <v>NM</v>
          </cell>
          <cell r="AJ69">
            <v>-0.1558441558441559</v>
          </cell>
          <cell r="AK69">
            <v>-0.1558441558441559</v>
          </cell>
          <cell r="AM69" t="str">
            <v>NM</v>
          </cell>
          <cell r="AN69">
            <v>-0.58490566037735836</v>
          </cell>
          <cell r="AO69">
            <v>-0.50943396226415083</v>
          </cell>
          <cell r="AQ69">
            <v>0.16071428571428559</v>
          </cell>
          <cell r="AR69">
            <v>-1.0570824524312905E-2</v>
          </cell>
          <cell r="AS69">
            <v>6.0568603213844163E-2</v>
          </cell>
          <cell r="AU69" t="str">
            <v xml:space="preserve"> </v>
          </cell>
          <cell r="AV69" t="str">
            <v xml:space="preserve"> </v>
          </cell>
          <cell r="AW69" t="str">
            <v xml:space="preserve"> </v>
          </cell>
          <cell r="AY69">
            <v>1.3740458015267252</v>
          </cell>
          <cell r="AZ69">
            <v>-6.0606060606060885E-2</v>
          </cell>
          <cell r="BA69">
            <v>5.3365676167374199E-2</v>
          </cell>
          <cell r="BC69">
            <v>0.79996580612070445</v>
          </cell>
          <cell r="BD69">
            <v>0.32433920704845809</v>
          </cell>
          <cell r="BE69">
            <v>0.61776183946841057</v>
          </cell>
          <cell r="BK69" t="str">
            <v>NM</v>
          </cell>
          <cell r="BL69" t="str">
            <v>NM</v>
          </cell>
          <cell r="BM69" t="str">
            <v>NM</v>
          </cell>
          <cell r="BO69">
            <v>0.79996580612070445</v>
          </cell>
          <cell r="BP69">
            <v>0.32433920704845809</v>
          </cell>
          <cell r="BQ69">
            <v>0.61776183946841057</v>
          </cell>
          <cell r="BS69" t="str">
            <v xml:space="preserve"> 3Q</v>
          </cell>
          <cell r="BT69">
            <v>0.14367816091954033</v>
          </cell>
          <cell r="BU69">
            <v>5.2950075642965722E-3</v>
          </cell>
          <cell r="BV69">
            <v>4.4468546637744355E-2</v>
          </cell>
          <cell r="BX69">
            <v>0.13128491620111737</v>
          </cell>
          <cell r="BY69">
            <v>4.3137254901960853E-2</v>
          </cell>
          <cell r="BZ69">
            <v>0.10813594232749746</v>
          </cell>
          <cell r="CB69">
            <v>4.9751243781094523E-2</v>
          </cell>
          <cell r="CC69">
            <v>-9.3525179856115193E-2</v>
          </cell>
          <cell r="CD69">
            <v>-3.3402922755741304E-2</v>
          </cell>
          <cell r="CF69" t="str">
            <v>NM</v>
          </cell>
          <cell r="CG69" t="str">
            <v>NM</v>
          </cell>
          <cell r="CH69" t="str">
            <v>NM</v>
          </cell>
          <cell r="CJ69">
            <v>8.4985835694051381E-3</v>
          </cell>
          <cell r="CK69">
            <v>0.13559322033898291</v>
          </cell>
          <cell r="CL69">
            <v>2.6699029126213691E-2</v>
          </cell>
          <cell r="CN69">
            <v>2.7568922305764465E-2</v>
          </cell>
          <cell r="CO69">
            <v>0.28571428571428581</v>
          </cell>
          <cell r="CP69">
            <v>4.0476190476190554E-2</v>
          </cell>
          <cell r="CR69">
            <v>-7.5581395348837122E-2</v>
          </cell>
          <cell r="CS69">
            <v>-0.13043478260869557</v>
          </cell>
          <cell r="CT69">
            <v>-8.2051282051282093E-2</v>
          </cell>
          <cell r="CV69" t="str">
            <v xml:space="preserve"> 3Q</v>
          </cell>
          <cell r="CX69">
            <v>-7.2815533980582492E-2</v>
          </cell>
          <cell r="CY69" t="str">
            <v>NM</v>
          </cell>
          <cell r="CZ69">
            <v>-3.7313432835820448E-3</v>
          </cell>
          <cell r="DB69">
            <v>2.5380710659898442E-2</v>
          </cell>
          <cell r="DC69">
            <v>0.5</v>
          </cell>
          <cell r="DD69">
            <v>3.9408866995073843E-2</v>
          </cell>
          <cell r="DF69">
            <v>-0.19354838709677424</v>
          </cell>
          <cell r="DG69">
            <v>4.705882352941182E-2</v>
          </cell>
          <cell r="DH69">
            <v>-5.4421768707482943E-2</v>
          </cell>
          <cell r="DJ69">
            <v>-1.2422360248446673E-2</v>
          </cell>
          <cell r="DK69">
            <v>1.2345679012345068E-2</v>
          </cell>
          <cell r="DL69">
            <v>1.1254924029260316E-3</v>
          </cell>
          <cell r="DN69">
            <v>4.0737682356179583E-2</v>
          </cell>
          <cell r="DO69">
            <v>1.1676938047356256E-2</v>
          </cell>
          <cell r="DP69">
            <v>2.739726027397249E-2</v>
          </cell>
          <cell r="DR69" t="str">
            <v xml:space="preserve"> 3Q</v>
          </cell>
          <cell r="DS69">
            <v>-0.21052631578947367</v>
          </cell>
          <cell r="DT69">
            <v>-1.0112359550561889E-2</v>
          </cell>
          <cell r="DU69">
            <v>-8.8356164383561642E-2</v>
          </cell>
          <cell r="DW69">
            <v>0</v>
          </cell>
          <cell r="DX69">
            <v>-5.8064516129032295E-2</v>
          </cell>
          <cell r="DY69">
            <v>-3.3750000000000058E-2</v>
          </cell>
          <cell r="EA69">
            <v>-4.2553191489361764E-2</v>
          </cell>
          <cell r="EB69">
            <v>-5.9210526315789491E-2</v>
          </cell>
          <cell r="EC69">
            <v>-5.7654075546719752E-2</v>
          </cell>
          <cell r="EE69">
            <v>0.43333333333333335</v>
          </cell>
          <cell r="EF69">
            <v>-8.8471849865951691E-2</v>
          </cell>
          <cell r="EG69">
            <v>-4.9627791563275458E-2</v>
          </cell>
          <cell r="EI69">
            <v>-0.11913357400722024</v>
          </cell>
          <cell r="EJ69">
            <v>-3.125E-2</v>
          </cell>
          <cell r="EK69">
            <v>-0.11003236245954684</v>
          </cell>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A70" t="str">
            <v xml:space="preserve"> 4Q</v>
          </cell>
          <cell r="B70">
            <v>0.50564072895574208</v>
          </cell>
          <cell r="C70">
            <v>1.9363057324840764</v>
          </cell>
          <cell r="D70">
            <v>0.72558139534883725</v>
          </cell>
          <cell r="F70">
            <v>0.13641488162344984</v>
          </cell>
          <cell r="G70" t="str">
            <v>NM</v>
          </cell>
          <cell r="H70">
            <v>0.14261555806087922</v>
          </cell>
          <cell r="J70">
            <v>0.52713178294573626</v>
          </cell>
          <cell r="K70">
            <v>6.5298507462686617E-2</v>
          </cell>
          <cell r="L70">
            <v>0.25893824485373762</v>
          </cell>
          <cell r="N70">
            <v>0.89743589743589758</v>
          </cell>
          <cell r="O70">
            <v>-0.31200000000000006</v>
          </cell>
          <cell r="P70">
            <v>-0.14878892733564009</v>
          </cell>
          <cell r="R70">
            <v>0.96526054590570731</v>
          </cell>
          <cell r="S70">
            <v>-0.10204081632653061</v>
          </cell>
          <cell r="T70">
            <v>0.75648702594810402</v>
          </cell>
          <cell r="V70">
            <v>1.5770609318996418</v>
          </cell>
          <cell r="W70">
            <v>0.47142857142857153</v>
          </cell>
          <cell r="X70">
            <v>1.355300859598854</v>
          </cell>
          <cell r="AD70">
            <v>0.90625000000000022</v>
          </cell>
          <cell r="AE70">
            <v>-0.40740740740740744</v>
          </cell>
          <cell r="AF70">
            <v>0.76494023904382491</v>
          </cell>
          <cell r="AH70" t="str">
            <v xml:space="preserve"> 4Q</v>
          </cell>
          <cell r="AI70" t="str">
            <v>NM</v>
          </cell>
          <cell r="AJ70">
            <v>-1.6806722689075682E-2</v>
          </cell>
          <cell r="AK70">
            <v>-8.4033613445378963E-3</v>
          </cell>
          <cell r="AM70" t="str">
            <v>NM</v>
          </cell>
          <cell r="AN70">
            <v>-0.63265306122448983</v>
          </cell>
          <cell r="AO70">
            <v>-0.4285714285714286</v>
          </cell>
          <cell r="AQ70">
            <v>0.20991253644314889</v>
          </cell>
          <cell r="AR70">
            <v>7.444668008048283E-2</v>
          </cell>
          <cell r="AS70">
            <v>0.12976190476190474</v>
          </cell>
          <cell r="AU70" t="str">
            <v xml:space="preserve"> </v>
          </cell>
          <cell r="AV70" t="str">
            <v xml:space="preserve"> </v>
          </cell>
          <cell r="AW70" t="str">
            <v xml:space="preserve"> </v>
          </cell>
          <cell r="AY70">
            <v>3.5527136788005009E-15</v>
          </cell>
          <cell r="AZ70">
            <v>2.110199296600257E-2</v>
          </cell>
          <cell r="BA70">
            <v>1.8200202224470052E-2</v>
          </cell>
          <cell r="BC70">
            <v>0.67728066639795803</v>
          </cell>
          <cell r="BD70">
            <v>0.38306548332933565</v>
          </cell>
          <cell r="BE70">
            <v>0.57165001722356212</v>
          </cell>
          <cell r="BK70" t="str">
            <v>NM</v>
          </cell>
          <cell r="BL70" t="str">
            <v>NM</v>
          </cell>
          <cell r="BM70" t="str">
            <v>NM</v>
          </cell>
          <cell r="BO70">
            <v>0.67728066639795803</v>
          </cell>
          <cell r="BP70">
            <v>0.38306548332933565</v>
          </cell>
          <cell r="BQ70">
            <v>0.57165001722356212</v>
          </cell>
          <cell r="BS70" t="str">
            <v xml:space="preserve"> 4Q</v>
          </cell>
          <cell r="BT70">
            <v>-0.12479201331114809</v>
          </cell>
          <cell r="BU70">
            <v>5.8275058275058189E-2</v>
          </cell>
          <cell r="BV70">
            <v>0</v>
          </cell>
          <cell r="BX70">
            <v>5.602923264311821E-2</v>
          </cell>
          <cell r="BY70">
            <v>0.15879828326180245</v>
          </cell>
          <cell r="BZ70">
            <v>7.8747628083491561E-2</v>
          </cell>
          <cell r="CB70">
            <v>1.0050251256281451E-2</v>
          </cell>
          <cell r="CC70">
            <v>0.1333333333333333</v>
          </cell>
          <cell r="CD70">
            <v>7.9295154185021977E-2</v>
          </cell>
          <cell r="CF70" t="str">
            <v>NM</v>
          </cell>
          <cell r="CG70" t="str">
            <v>NM</v>
          </cell>
          <cell r="CH70" t="str">
            <v>NM</v>
          </cell>
          <cell r="CJ70">
            <v>4.9107142857143016E-2</v>
          </cell>
          <cell r="CK70">
            <v>0.18032786885245922</v>
          </cell>
          <cell r="CL70">
            <v>6.4833005893909723E-2</v>
          </cell>
          <cell r="CN70">
            <v>5.0167224080267525E-2</v>
          </cell>
          <cell r="CO70">
            <v>-0.23529411764705876</v>
          </cell>
          <cell r="CP70">
            <v>3.4810126582278444E-2</v>
          </cell>
          <cell r="CR70">
            <v>0.14130434782608714</v>
          </cell>
          <cell r="CS70">
            <v>-5.2631578947368363E-2</v>
          </cell>
          <cell r="CT70">
            <v>0.12315270935960609</v>
          </cell>
          <cell r="CV70" t="str">
            <v xml:space="preserve"> 4Q</v>
          </cell>
          <cell r="CX70">
            <v>-1.4184397163120477E-2</v>
          </cell>
          <cell r="CY70" t="str">
            <v>NM</v>
          </cell>
          <cell r="CZ70">
            <v>0</v>
          </cell>
          <cell r="DB70">
            <v>7.8571428571428514E-2</v>
          </cell>
          <cell r="DC70">
            <v>0.375</v>
          </cell>
          <cell r="DD70">
            <v>9.4594594594594517E-2</v>
          </cell>
          <cell r="DF70">
            <v>-9.2307692307692202E-2</v>
          </cell>
          <cell r="DG70">
            <v>8.6956521739130377E-2</v>
          </cell>
          <cell r="DH70">
            <v>2.2222222222222143E-2</v>
          </cell>
          <cell r="DJ70">
            <v>4.1237113402062375E-2</v>
          </cell>
          <cell r="DK70">
            <v>7.6045627376428726E-3</v>
          </cell>
          <cell r="DL70">
            <v>2.0797227036395638E-2</v>
          </cell>
          <cell r="DN70">
            <v>1.7482517482517501E-2</v>
          </cell>
          <cell r="DO70">
            <v>5.6986477784932266E-2</v>
          </cell>
          <cell r="DP70">
            <v>3.546307151230943E-2</v>
          </cell>
          <cell r="DR70" t="str">
            <v xml:space="preserve"> 4Q</v>
          </cell>
          <cell r="DS70">
            <v>-6.2593144560357583E-2</v>
          </cell>
          <cell r="DT70">
            <v>-7.6056338028168913E-2</v>
          </cell>
          <cell r="DU70">
            <v>-7.0852534562211855E-2</v>
          </cell>
          <cell r="DW70">
            <v>0.29411764705882359</v>
          </cell>
          <cell r="DX70">
            <v>4.5662100456621113E-2</v>
          </cell>
          <cell r="DY70">
            <v>0.14784946236559149</v>
          </cell>
          <cell r="EA70">
            <v>-2.0408163265306256E-2</v>
          </cell>
          <cell r="EB70">
            <v>5.6097560975609584E-2</v>
          </cell>
          <cell r="EC70">
            <v>4.7930283224400849E-2</v>
          </cell>
          <cell r="EE70">
            <v>0.27777777777777768</v>
          </cell>
          <cell r="EF70">
            <v>-0.13609467455621294</v>
          </cell>
          <cell r="EG70">
            <v>-9.6256684491978661E-2</v>
          </cell>
          <cell r="EI70">
            <v>5.7761732851985714E-2</v>
          </cell>
          <cell r="EJ70">
            <v>-0.16129032258064513</v>
          </cell>
          <cell r="EK70">
            <v>3.5714285714285809E-2</v>
          </cell>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A72" t="str">
            <v>Year</v>
          </cell>
          <cell r="B72">
            <v>1.21484375</v>
          </cell>
          <cell r="C72">
            <v>3.3998371335504887</v>
          </cell>
          <cell r="D72">
            <v>1.5249653259361993</v>
          </cell>
          <cell r="F72" t="str">
            <v>NM</v>
          </cell>
          <cell r="G72" t="str">
            <v>NM</v>
          </cell>
          <cell r="H72" t="str">
            <v>NM</v>
          </cell>
          <cell r="J72">
            <v>0.39099526066350698</v>
          </cell>
          <cell r="K72">
            <v>4.7778308647873802E-2</v>
          </cell>
          <cell r="L72">
            <v>0.20100502512562812</v>
          </cell>
          <cell r="N72">
            <v>7.4906367041198685E-3</v>
          </cell>
          <cell r="O72">
            <v>-0.29558541266794625</v>
          </cell>
          <cell r="P72">
            <v>-0.23376623376623396</v>
          </cell>
          <cell r="R72">
            <v>0.34099616858237547</v>
          </cell>
          <cell r="S72">
            <v>-0.1483375959079285</v>
          </cell>
          <cell r="T72">
            <v>0.25473399458972046</v>
          </cell>
          <cell r="V72">
            <v>0.82556701030927826</v>
          </cell>
          <cell r="W72">
            <v>0.44918699186991895</v>
          </cell>
          <cell r="X72">
            <v>0.76208433321906077</v>
          </cell>
          <cell r="AD72">
            <v>3.4334763948497882E-2</v>
          </cell>
          <cell r="AE72">
            <v>-0.13333333333333341</v>
          </cell>
          <cell r="AF72">
            <v>2.0472440944881765E-2</v>
          </cell>
          <cell r="AH72" t="str">
            <v>Year</v>
          </cell>
          <cell r="AI72" t="str">
            <v>NM</v>
          </cell>
          <cell r="AJ72">
            <v>-0.19020172910662825</v>
          </cell>
          <cell r="AK72">
            <v>-0.18731988472622485</v>
          </cell>
          <cell r="AM72" t="str">
            <v>NM</v>
          </cell>
          <cell r="AN72">
            <v>-0.46759259259259267</v>
          </cell>
          <cell r="AO72">
            <v>-0.55185185185185182</v>
          </cell>
          <cell r="AQ72">
            <v>0.18234027279253384</v>
          </cell>
          <cell r="AR72">
            <v>-1.8482490272373475E-2</v>
          </cell>
          <cell r="AS72">
            <v>6.2626848361844178E-2</v>
          </cell>
          <cell r="AU72" t="str">
            <v xml:space="preserve"> </v>
          </cell>
          <cell r="AV72" t="str">
            <v xml:space="preserve"> </v>
          </cell>
          <cell r="AW72" t="str">
            <v xml:space="preserve"> </v>
          </cell>
          <cell r="AY72">
            <v>-5.0590219224282307E-2</v>
          </cell>
          <cell r="AZ72">
            <v>4.5070898041863705E-2</v>
          </cell>
          <cell r="BA72">
            <v>2.9113924050633067E-2</v>
          </cell>
          <cell r="BC72">
            <v>0.93054784379048661</v>
          </cell>
          <cell r="BD72">
            <v>0.34466684946531378</v>
          </cell>
          <cell r="BE72">
            <v>0.69444751381215464</v>
          </cell>
          <cell r="BK72" t="str">
            <v>NM</v>
          </cell>
          <cell r="BL72" t="str">
            <v>NM</v>
          </cell>
          <cell r="BM72" t="str">
            <v>NM</v>
          </cell>
          <cell r="BO72">
            <v>0.93054784379048661</v>
          </cell>
          <cell r="BP72">
            <v>0.34466684946531378</v>
          </cell>
          <cell r="BQ72">
            <v>0.69444751381215464</v>
          </cell>
          <cell r="BS72" t="str">
            <v>Year</v>
          </cell>
          <cell r="BT72">
            <v>0.13725490196078427</v>
          </cell>
          <cell r="BU72">
            <v>-4.0162872478252898E-2</v>
          </cell>
          <cell r="BV72">
            <v>7.575757575757569E-3</v>
          </cell>
          <cell r="BX72">
            <v>8.6927889364504463E-2</v>
          </cell>
          <cell r="BY72">
            <v>-7.9443892750744594E-3</v>
          </cell>
          <cell r="BZ72">
            <v>6.33036597428287E-2</v>
          </cell>
          <cell r="CB72">
            <v>3.007518796992481E-2</v>
          </cell>
          <cell r="CC72">
            <v>-5.7021276595744519E-2</v>
          </cell>
          <cell r="CD72">
            <v>-2.1794221996959018E-2</v>
          </cell>
          <cell r="CF72" t="str">
            <v>NM</v>
          </cell>
          <cell r="CG72" t="str">
            <v>NM</v>
          </cell>
          <cell r="CH72" t="str">
            <v>NM</v>
          </cell>
          <cell r="CJ72">
            <v>7.421289355322358E-2</v>
          </cell>
          <cell r="CK72">
            <v>-1.8726591760299782E-2</v>
          </cell>
          <cell r="CL72">
            <v>5.8713304184884407E-2</v>
          </cell>
          <cell r="CN72">
            <v>6.6471877282687997E-2</v>
          </cell>
          <cell r="CO72">
            <v>0.25274725274725296</v>
          </cell>
          <cell r="CP72">
            <v>7.8082191780821875E-2</v>
          </cell>
          <cell r="CR72">
            <v>1.6713091922005319E-2</v>
          </cell>
          <cell r="CS72">
            <v>-0.11363636363636354</v>
          </cell>
          <cell r="CT72">
            <v>2.4813895781639062E-3</v>
          </cell>
          <cell r="CV72" t="str">
            <v>Year</v>
          </cell>
          <cell r="CX72">
            <v>-3.0201342281879096E-2</v>
          </cell>
          <cell r="CY72" t="str">
            <v>NM</v>
          </cell>
          <cell r="CZ72">
            <v>-7.8947368421052877E-3</v>
          </cell>
          <cell r="DB72">
            <v>5.2845528455284674E-2</v>
          </cell>
          <cell r="DC72">
            <v>0.11111111111111116</v>
          </cell>
          <cell r="DD72">
            <v>5.6194125159642505E-2</v>
          </cell>
          <cell r="DF72">
            <v>-5.0228310502283047E-2</v>
          </cell>
          <cell r="DG72">
            <v>-2.673796791443861E-3</v>
          </cell>
          <cell r="DH72">
            <v>-2.02360876897133E-2</v>
          </cell>
          <cell r="DJ72">
            <v>-2.4662162162161994E-2</v>
          </cell>
          <cell r="DK72">
            <v>-2.9326923076923306E-2</v>
          </cell>
          <cell r="DL72">
            <v>-2.73876404494382E-2</v>
          </cell>
          <cell r="DN72">
            <v>4.916050085372814E-2</v>
          </cell>
          <cell r="DO72">
            <v>-2.9869321717485908E-2</v>
          </cell>
          <cell r="DP72">
            <v>1.1407550535077471E-2</v>
          </cell>
          <cell r="DR72" t="str">
            <v>Year</v>
          </cell>
          <cell r="DS72">
            <v>-8.6391869000564614E-2</v>
          </cell>
          <cell r="DT72">
            <v>-5.5672823218997469E-2</v>
          </cell>
          <cell r="DU72">
            <v>-6.5455853263801433E-2</v>
          </cell>
          <cell r="DW72">
            <v>0.12860483242400655</v>
          </cell>
          <cell r="DX72">
            <v>-3.9893617021276584E-2</v>
          </cell>
          <cell r="DY72">
            <v>2.8453999367688665E-2</v>
          </cell>
          <cell r="EA72">
            <v>0</v>
          </cell>
          <cell r="EB72">
            <v>-1.6250725478815897E-2</v>
          </cell>
          <cell r="EC72">
            <v>-1.4598540145985495E-2</v>
          </cell>
          <cell r="EE72">
            <v>0.4031007751937985</v>
          </cell>
          <cell r="EF72">
            <v>-0.11694352159468435</v>
          </cell>
          <cell r="EG72">
            <v>-7.5887392900856776E-2</v>
          </cell>
          <cell r="EI72">
            <v>7.4540174249757785E-2</v>
          </cell>
          <cell r="EJ72">
            <v>-8.2706766917293173E-2</v>
          </cell>
          <cell r="EK72">
            <v>5.6603773584905648E-2</v>
          </cell>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A74" t="str">
            <v>1998</v>
          </cell>
          <cell r="AH74" t="str">
            <v>1998</v>
          </cell>
          <cell r="BS74" t="str">
            <v>1998</v>
          </cell>
          <cell r="CV74" t="str">
            <v>1998</v>
          </cell>
          <cell r="CW74">
            <v>0</v>
          </cell>
          <cell r="DR74" t="str">
            <v>1998</v>
          </cell>
          <cell r="EM74" t="str">
            <v>1998</v>
          </cell>
        </row>
        <row r="75">
          <cell r="A75" t="str">
            <v xml:space="preserve"> 1Q</v>
          </cell>
          <cell r="B75">
            <v>289.5</v>
          </cell>
          <cell r="C75">
            <v>88.4</v>
          </cell>
          <cell r="D75">
            <v>377.9</v>
          </cell>
          <cell r="F75">
            <v>138.1</v>
          </cell>
          <cell r="G75">
            <v>0</v>
          </cell>
          <cell r="H75">
            <v>138.1</v>
          </cell>
          <cell r="J75">
            <v>46.9</v>
          </cell>
          <cell r="K75">
            <v>51.6</v>
          </cell>
          <cell r="L75">
            <v>98.5</v>
          </cell>
          <cell r="N75">
            <v>7.6</v>
          </cell>
          <cell r="O75">
            <v>20.2</v>
          </cell>
          <cell r="P75">
            <v>27.799999999999997</v>
          </cell>
          <cell r="R75">
            <v>57.8</v>
          </cell>
          <cell r="S75">
            <v>8.1999999999999993</v>
          </cell>
          <cell r="T75">
            <v>66</v>
          </cell>
          <cell r="V75">
            <v>81.5</v>
          </cell>
          <cell r="W75">
            <v>14.4</v>
          </cell>
          <cell r="X75">
            <v>95.9</v>
          </cell>
          <cell r="Z75">
            <v>92.800000000000011</v>
          </cell>
          <cell r="AA75">
            <v>19.200000000000003</v>
          </cell>
          <cell r="AB75">
            <v>112.00000000000001</v>
          </cell>
          <cell r="AD75">
            <v>24.7</v>
          </cell>
          <cell r="AE75">
            <v>2.5</v>
          </cell>
          <cell r="AF75">
            <v>27.2</v>
          </cell>
          <cell r="AH75" t="str">
            <v xml:space="preserve"> 1Q</v>
          </cell>
          <cell r="AI75">
            <v>0.1</v>
          </cell>
          <cell r="AJ75">
            <v>20.100000000000001</v>
          </cell>
          <cell r="AK75">
            <v>20.200000000000003</v>
          </cell>
          <cell r="AM75">
            <v>-0.6</v>
          </cell>
          <cell r="AN75">
            <v>4.9000000000000004</v>
          </cell>
          <cell r="AO75">
            <v>4.3000000000000007</v>
          </cell>
          <cell r="AQ75">
            <v>42.7</v>
          </cell>
          <cell r="AR75">
            <v>51.4</v>
          </cell>
          <cell r="AS75">
            <v>94.1</v>
          </cell>
          <cell r="AY75">
            <v>22.499999999999972</v>
          </cell>
          <cell r="AZ75">
            <v>151.99999999999997</v>
          </cell>
          <cell r="BA75">
            <v>174.49999999999994</v>
          </cell>
          <cell r="BC75">
            <v>803.6</v>
          </cell>
          <cell r="BD75">
            <v>432.9</v>
          </cell>
          <cell r="BE75">
            <v>1236.5</v>
          </cell>
          <cell r="BG75">
            <v>803.60000000000014</v>
          </cell>
          <cell r="BH75">
            <v>432.9</v>
          </cell>
          <cell r="BK75">
            <v>0</v>
          </cell>
          <cell r="BL75">
            <v>0</v>
          </cell>
          <cell r="BM75">
            <v>0</v>
          </cell>
          <cell r="BO75">
            <v>803.6</v>
          </cell>
          <cell r="BP75">
            <v>432.9</v>
          </cell>
          <cell r="BQ75">
            <v>1236.5</v>
          </cell>
          <cell r="BS75" t="str">
            <v xml:space="preserve"> 1Q</v>
          </cell>
          <cell r="BT75">
            <v>51.1</v>
          </cell>
          <cell r="BU75">
            <v>116.3</v>
          </cell>
          <cell r="BV75">
            <v>167.4</v>
          </cell>
          <cell r="BX75">
            <v>82.8</v>
          </cell>
          <cell r="BY75">
            <v>22</v>
          </cell>
          <cell r="BZ75">
            <v>104.8</v>
          </cell>
          <cell r="CB75">
            <v>20.6</v>
          </cell>
          <cell r="CC75">
            <v>28</v>
          </cell>
          <cell r="CD75">
            <v>48.6</v>
          </cell>
          <cell r="CF75">
            <v>0</v>
          </cell>
          <cell r="CG75">
            <v>0</v>
          </cell>
          <cell r="CH75">
            <v>0</v>
          </cell>
          <cell r="CJ75">
            <v>37.799999999999997</v>
          </cell>
          <cell r="CK75">
            <v>6.1</v>
          </cell>
          <cell r="CL75">
            <v>43.9</v>
          </cell>
          <cell r="CN75">
            <v>36.1</v>
          </cell>
          <cell r="CO75">
            <v>2.9</v>
          </cell>
          <cell r="CP75">
            <v>39</v>
          </cell>
          <cell r="CR75">
            <v>16.7</v>
          </cell>
          <cell r="CS75">
            <v>2.1</v>
          </cell>
          <cell r="CT75">
            <v>18.8</v>
          </cell>
          <cell r="CV75" t="str">
            <v xml:space="preserve"> 1Q</v>
          </cell>
          <cell r="CX75">
            <v>19.3</v>
          </cell>
          <cell r="CY75">
            <v>6.7</v>
          </cell>
          <cell r="CZ75">
            <v>26</v>
          </cell>
          <cell r="DB75">
            <v>19.3</v>
          </cell>
          <cell r="DC75">
            <v>1.4</v>
          </cell>
          <cell r="DD75">
            <v>20.7</v>
          </cell>
          <cell r="DF75">
            <v>5</v>
          </cell>
          <cell r="DG75">
            <v>10.3</v>
          </cell>
          <cell r="DH75">
            <v>15.3</v>
          </cell>
          <cell r="DJ75">
            <v>65.699999999999974</v>
          </cell>
          <cell r="DK75">
            <v>99.300000000000011</v>
          </cell>
          <cell r="DL75">
            <v>165</v>
          </cell>
          <cell r="DN75">
            <v>354.4</v>
          </cell>
          <cell r="DO75">
            <v>295.10000000000002</v>
          </cell>
          <cell r="DP75">
            <v>649.5</v>
          </cell>
          <cell r="DR75" t="str">
            <v xml:space="preserve"> 1Q</v>
          </cell>
          <cell r="DS75">
            <v>28.7</v>
          </cell>
          <cell r="DT75">
            <v>85.7</v>
          </cell>
          <cell r="DU75">
            <v>114.4</v>
          </cell>
          <cell r="DW75">
            <v>33.5</v>
          </cell>
          <cell r="DX75">
            <v>44</v>
          </cell>
          <cell r="DY75">
            <v>77.5</v>
          </cell>
          <cell r="EA75">
            <v>5.2</v>
          </cell>
          <cell r="EB75">
            <v>37.700000000000003</v>
          </cell>
          <cell r="EC75">
            <v>42.900000000000006</v>
          </cell>
          <cell r="EE75">
            <v>4.5999999999999996</v>
          </cell>
          <cell r="EF75">
            <v>34.700000000000003</v>
          </cell>
          <cell r="EG75">
            <v>39.300000000000004</v>
          </cell>
          <cell r="EI75">
            <v>27.8</v>
          </cell>
          <cell r="EJ75">
            <v>3.1</v>
          </cell>
          <cell r="EK75">
            <v>30.900000000000002</v>
          </cell>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A76" t="str">
            <v xml:space="preserve"> 2Q</v>
          </cell>
          <cell r="B76">
            <v>407.4</v>
          </cell>
          <cell r="C76">
            <v>125.4</v>
          </cell>
          <cell r="D76">
            <v>532.79999999999995</v>
          </cell>
          <cell r="F76">
            <v>225.9</v>
          </cell>
          <cell r="G76">
            <v>0.3</v>
          </cell>
          <cell r="H76">
            <v>226.20000000000002</v>
          </cell>
          <cell r="J76">
            <v>64.8</v>
          </cell>
          <cell r="K76">
            <v>54.6</v>
          </cell>
          <cell r="L76">
            <v>119.4</v>
          </cell>
          <cell r="N76">
            <v>5.2</v>
          </cell>
          <cell r="O76">
            <v>18.399999999999999</v>
          </cell>
          <cell r="P76">
            <v>23.599999999999998</v>
          </cell>
          <cell r="R76">
            <v>51.1</v>
          </cell>
          <cell r="S76">
            <v>8.1</v>
          </cell>
          <cell r="T76">
            <v>59.2</v>
          </cell>
          <cell r="V76">
            <v>104.7</v>
          </cell>
          <cell r="W76">
            <v>17</v>
          </cell>
          <cell r="X76">
            <v>121.7</v>
          </cell>
          <cell r="Z76">
            <v>105.6</v>
          </cell>
          <cell r="AA76">
            <v>20.399999999999999</v>
          </cell>
          <cell r="AB76">
            <v>126</v>
          </cell>
          <cell r="AD76">
            <v>28.9</v>
          </cell>
          <cell r="AE76">
            <v>2.5</v>
          </cell>
          <cell r="AF76">
            <v>31.4</v>
          </cell>
          <cell r="AH76" t="str">
            <v xml:space="preserve"> 2Q</v>
          </cell>
          <cell r="AI76">
            <v>0</v>
          </cell>
          <cell r="AJ76">
            <v>21.3</v>
          </cell>
          <cell r="AK76">
            <v>21.3</v>
          </cell>
          <cell r="AM76">
            <v>0.6</v>
          </cell>
          <cell r="AN76">
            <v>2.6</v>
          </cell>
          <cell r="AO76">
            <v>3.2</v>
          </cell>
          <cell r="AQ76">
            <v>41.5</v>
          </cell>
          <cell r="AR76">
            <v>50.2</v>
          </cell>
          <cell r="AS76">
            <v>91.7</v>
          </cell>
          <cell r="AY76">
            <v>31.80000000000004</v>
          </cell>
          <cell r="AZ76">
            <v>150.30000000000001</v>
          </cell>
          <cell r="BA76">
            <v>182.10000000000005</v>
          </cell>
          <cell r="BC76">
            <v>1067.5</v>
          </cell>
          <cell r="BD76">
            <v>471.1</v>
          </cell>
          <cell r="BE76">
            <v>1538.6</v>
          </cell>
          <cell r="BG76">
            <v>1067.5</v>
          </cell>
          <cell r="BH76">
            <v>471.1</v>
          </cell>
          <cell r="BK76">
            <v>0</v>
          </cell>
          <cell r="BL76">
            <v>0</v>
          </cell>
          <cell r="BM76">
            <v>0</v>
          </cell>
          <cell r="BO76">
            <v>1067.5</v>
          </cell>
          <cell r="BP76">
            <v>471.1</v>
          </cell>
          <cell r="BQ76">
            <v>1538.6</v>
          </cell>
          <cell r="BS76" t="str">
            <v xml:space="preserve"> 2Q</v>
          </cell>
          <cell r="BT76">
            <v>62.8</v>
          </cell>
          <cell r="BU76">
            <v>133.19999999999999</v>
          </cell>
          <cell r="BV76">
            <v>196</v>
          </cell>
          <cell r="BX76">
            <v>79.599999999999994</v>
          </cell>
          <cell r="BY76">
            <v>24.3</v>
          </cell>
          <cell r="BZ76">
            <v>103.89999999999999</v>
          </cell>
          <cell r="CB76">
            <v>20.399999999999999</v>
          </cell>
          <cell r="CC76">
            <v>28.7</v>
          </cell>
          <cell r="CD76">
            <v>49.099999999999994</v>
          </cell>
          <cell r="CF76">
            <v>0</v>
          </cell>
          <cell r="CG76">
            <v>0</v>
          </cell>
          <cell r="CH76">
            <v>0</v>
          </cell>
          <cell r="CJ76">
            <v>22.9</v>
          </cell>
          <cell r="CK76">
            <v>6.2</v>
          </cell>
          <cell r="CL76">
            <v>29.099999999999998</v>
          </cell>
          <cell r="CN76">
            <v>37.5</v>
          </cell>
          <cell r="CO76">
            <v>4.5</v>
          </cell>
          <cell r="CP76">
            <v>42</v>
          </cell>
          <cell r="CR76">
            <v>19.399999999999999</v>
          </cell>
          <cell r="CS76">
            <v>1.9</v>
          </cell>
          <cell r="CT76">
            <v>21.299999999999997</v>
          </cell>
          <cell r="CV76" t="str">
            <v xml:space="preserve"> 2Q</v>
          </cell>
          <cell r="CX76">
            <v>20.5</v>
          </cell>
          <cell r="CY76">
            <v>5.8</v>
          </cell>
          <cell r="CZ76">
            <v>26.3</v>
          </cell>
          <cell r="DB76">
            <v>23.1</v>
          </cell>
          <cell r="DC76">
            <v>1.6</v>
          </cell>
          <cell r="DD76">
            <v>24.700000000000003</v>
          </cell>
          <cell r="DF76">
            <v>4.9000000000000004</v>
          </cell>
          <cell r="DG76">
            <v>5.6</v>
          </cell>
          <cell r="DH76">
            <v>10.5</v>
          </cell>
          <cell r="DJ76">
            <v>72.799999999999955</v>
          </cell>
          <cell r="DK76">
            <v>100.09999999999998</v>
          </cell>
          <cell r="DL76">
            <v>172.89999999999992</v>
          </cell>
          <cell r="DN76">
            <v>363.9</v>
          </cell>
          <cell r="DO76">
            <v>311.89999999999998</v>
          </cell>
          <cell r="DP76">
            <v>675.8</v>
          </cell>
          <cell r="DR76" t="str">
            <v xml:space="preserve"> 2Q</v>
          </cell>
          <cell r="DS76">
            <v>25.2</v>
          </cell>
          <cell r="DT76">
            <v>85.7</v>
          </cell>
          <cell r="DU76">
            <v>110.9</v>
          </cell>
          <cell r="DW76">
            <v>38.200000000000003</v>
          </cell>
          <cell r="DX76">
            <v>46.9</v>
          </cell>
          <cell r="DY76">
            <v>85.1</v>
          </cell>
          <cell r="EA76">
            <v>5</v>
          </cell>
          <cell r="EB76">
            <v>45.6</v>
          </cell>
          <cell r="EC76">
            <v>50.6</v>
          </cell>
          <cell r="EE76">
            <v>4.5999999999999996</v>
          </cell>
          <cell r="EF76">
            <v>35</v>
          </cell>
          <cell r="EG76">
            <v>39.6</v>
          </cell>
          <cell r="EI76">
            <v>29.5</v>
          </cell>
          <cell r="EJ76">
            <v>3.4</v>
          </cell>
          <cell r="EK76">
            <v>32.9</v>
          </cell>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A77" t="str">
            <v xml:space="preserve"> 3Q</v>
          </cell>
          <cell r="B77">
            <v>426.9</v>
          </cell>
          <cell r="C77">
            <v>142.1</v>
          </cell>
          <cell r="D77">
            <v>569</v>
          </cell>
          <cell r="F77">
            <v>180.9</v>
          </cell>
          <cell r="G77">
            <v>0.2</v>
          </cell>
          <cell r="H77">
            <v>181.1</v>
          </cell>
          <cell r="J77">
            <v>64</v>
          </cell>
          <cell r="K77">
            <v>56</v>
          </cell>
          <cell r="L77">
            <v>120</v>
          </cell>
          <cell r="N77">
            <v>6.7</v>
          </cell>
          <cell r="O77">
            <v>17.600000000000001</v>
          </cell>
          <cell r="P77">
            <v>24.3</v>
          </cell>
          <cell r="R77">
            <v>56.9</v>
          </cell>
          <cell r="S77">
            <v>8.1999999999999993</v>
          </cell>
          <cell r="T77">
            <v>65.099999999999994</v>
          </cell>
          <cell r="V77">
            <v>112.7</v>
          </cell>
          <cell r="W77">
            <v>19.3</v>
          </cell>
          <cell r="X77">
            <v>132</v>
          </cell>
          <cell r="Z77">
            <v>110</v>
          </cell>
          <cell r="AA77">
            <v>24</v>
          </cell>
          <cell r="AB77">
            <v>133.9</v>
          </cell>
          <cell r="AD77">
            <v>24.2</v>
          </cell>
          <cell r="AE77">
            <v>2.5</v>
          </cell>
          <cell r="AF77">
            <v>26.7</v>
          </cell>
          <cell r="AH77" t="str">
            <v xml:space="preserve"> 3Q</v>
          </cell>
          <cell r="AI77">
            <v>0</v>
          </cell>
          <cell r="AJ77">
            <v>19.5</v>
          </cell>
          <cell r="AK77">
            <v>19.5</v>
          </cell>
          <cell r="AM77">
            <v>0.4</v>
          </cell>
          <cell r="AN77">
            <v>2.2000000000000002</v>
          </cell>
          <cell r="AO77">
            <v>2.6</v>
          </cell>
          <cell r="AQ77">
            <v>39</v>
          </cell>
          <cell r="AR77">
            <v>46.8</v>
          </cell>
          <cell r="AS77">
            <v>85.8</v>
          </cell>
          <cell r="AY77">
            <v>31.100000000000037</v>
          </cell>
          <cell r="AZ77">
            <v>142.59999999999997</v>
          </cell>
          <cell r="BA77">
            <v>173.7</v>
          </cell>
          <cell r="BC77">
            <v>1052.8</v>
          </cell>
          <cell r="BD77">
            <v>481</v>
          </cell>
          <cell r="BE77">
            <v>1533.8</v>
          </cell>
          <cell r="BG77">
            <v>1052.8000000000002</v>
          </cell>
          <cell r="BH77">
            <v>480.99999999999994</v>
          </cell>
          <cell r="BI77">
            <v>1533.8000000000002</v>
          </cell>
          <cell r="BK77">
            <v>0</v>
          </cell>
          <cell r="BL77">
            <v>0</v>
          </cell>
          <cell r="BM77">
            <v>0</v>
          </cell>
          <cell r="BO77">
            <v>1052.8</v>
          </cell>
          <cell r="BP77">
            <v>481</v>
          </cell>
          <cell r="BQ77">
            <v>1533.8</v>
          </cell>
          <cell r="BS77" t="str">
            <v xml:space="preserve"> 3Q</v>
          </cell>
          <cell r="BT77">
            <v>59.7</v>
          </cell>
          <cell r="BU77">
            <v>132.9</v>
          </cell>
          <cell r="BV77">
            <v>192.60000000000002</v>
          </cell>
          <cell r="BX77">
            <v>81</v>
          </cell>
          <cell r="BY77">
            <v>26.6</v>
          </cell>
          <cell r="BZ77">
            <v>107.6</v>
          </cell>
          <cell r="CB77">
            <v>21.1</v>
          </cell>
          <cell r="CC77">
            <v>25.2</v>
          </cell>
          <cell r="CD77">
            <v>46.3</v>
          </cell>
          <cell r="CF77">
            <v>0</v>
          </cell>
          <cell r="CG77">
            <v>0</v>
          </cell>
          <cell r="CH77">
            <v>0</v>
          </cell>
          <cell r="CJ77">
            <v>35.6</v>
          </cell>
          <cell r="CK77">
            <v>6.7</v>
          </cell>
          <cell r="CL77">
            <v>42.300000000000004</v>
          </cell>
          <cell r="CN77">
            <v>41</v>
          </cell>
          <cell r="CO77">
            <v>2.7</v>
          </cell>
          <cell r="CP77">
            <v>43.7</v>
          </cell>
          <cell r="CR77">
            <v>15.9</v>
          </cell>
          <cell r="CS77">
            <v>2</v>
          </cell>
          <cell r="CT77">
            <v>17.899999999999999</v>
          </cell>
          <cell r="CV77" t="str">
            <v xml:space="preserve"> 3Q</v>
          </cell>
          <cell r="CX77">
            <v>19.100000000000001</v>
          </cell>
          <cell r="CY77">
            <v>7.6</v>
          </cell>
          <cell r="CZ77">
            <v>26.700000000000003</v>
          </cell>
          <cell r="DB77">
            <v>20.2</v>
          </cell>
          <cell r="DC77">
            <v>0.9</v>
          </cell>
          <cell r="DD77">
            <v>21.099999999999998</v>
          </cell>
          <cell r="DF77">
            <v>5</v>
          </cell>
          <cell r="DG77">
            <v>8.9</v>
          </cell>
          <cell r="DH77">
            <v>13.9</v>
          </cell>
          <cell r="DJ77">
            <v>79.500000000000043</v>
          </cell>
          <cell r="DK77">
            <v>98.399999999999963</v>
          </cell>
          <cell r="DL77">
            <v>177.9</v>
          </cell>
          <cell r="DN77">
            <v>378.1</v>
          </cell>
          <cell r="DO77">
            <v>311.89999999999998</v>
          </cell>
          <cell r="DP77">
            <v>690</v>
          </cell>
          <cell r="DR77" t="str">
            <v xml:space="preserve"> 3Q</v>
          </cell>
          <cell r="DS77">
            <v>45</v>
          </cell>
          <cell r="DT77">
            <v>88.1</v>
          </cell>
          <cell r="DU77">
            <v>133.1</v>
          </cell>
          <cell r="DW77">
            <v>33.5</v>
          </cell>
          <cell r="DX77">
            <v>43.8</v>
          </cell>
          <cell r="DY77">
            <v>77.3</v>
          </cell>
          <cell r="EA77">
            <v>4.5</v>
          </cell>
          <cell r="EB77">
            <v>42.9</v>
          </cell>
          <cell r="EC77">
            <v>47.4</v>
          </cell>
          <cell r="EE77">
            <v>4.3</v>
          </cell>
          <cell r="EF77">
            <v>34</v>
          </cell>
          <cell r="EG77">
            <v>38.299999999999997</v>
          </cell>
          <cell r="EI77">
            <v>24.4</v>
          </cell>
          <cell r="EJ77">
            <v>3.1</v>
          </cell>
          <cell r="EK77">
            <v>27.5</v>
          </cell>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A78" t="str">
            <v xml:space="preserve"> 4Q</v>
          </cell>
          <cell r="B78">
            <v>520.5</v>
          </cell>
          <cell r="C78">
            <v>184.4</v>
          </cell>
          <cell r="D78">
            <v>704.9</v>
          </cell>
          <cell r="F78">
            <v>201.6</v>
          </cell>
          <cell r="G78">
            <v>1.1000000000000001</v>
          </cell>
          <cell r="H78">
            <v>202.7</v>
          </cell>
          <cell r="J78">
            <v>59.1</v>
          </cell>
          <cell r="K78">
            <v>57.1</v>
          </cell>
          <cell r="L78">
            <v>116.2</v>
          </cell>
          <cell r="N78">
            <v>7.4</v>
          </cell>
          <cell r="O78">
            <v>17.2</v>
          </cell>
          <cell r="P78">
            <v>24.6</v>
          </cell>
          <cell r="R78">
            <v>79.2</v>
          </cell>
          <cell r="S78">
            <v>8.8000000000000007</v>
          </cell>
          <cell r="T78">
            <v>88</v>
          </cell>
          <cell r="V78">
            <v>143.80000000000001</v>
          </cell>
          <cell r="W78">
            <v>20.6</v>
          </cell>
          <cell r="X78">
            <v>164.4</v>
          </cell>
          <cell r="Z78">
            <v>125</v>
          </cell>
          <cell r="AA78">
            <v>33</v>
          </cell>
          <cell r="AB78">
            <v>158.19999999999999</v>
          </cell>
          <cell r="AD78">
            <v>42.7</v>
          </cell>
          <cell r="AE78">
            <v>1.6</v>
          </cell>
          <cell r="AF78">
            <v>44.300000000000004</v>
          </cell>
          <cell r="AH78" t="str">
            <v xml:space="preserve"> 4Q</v>
          </cell>
          <cell r="AI78">
            <v>0.2</v>
          </cell>
          <cell r="AJ78">
            <v>23.4</v>
          </cell>
          <cell r="AK78">
            <v>23.599999999999998</v>
          </cell>
          <cell r="AM78">
            <v>0.2</v>
          </cell>
          <cell r="AN78">
            <v>1.8</v>
          </cell>
          <cell r="AO78">
            <v>2</v>
          </cell>
          <cell r="AQ78">
            <v>41.5</v>
          </cell>
          <cell r="AR78">
            <v>53.4</v>
          </cell>
          <cell r="AS78">
            <v>94.9</v>
          </cell>
          <cell r="AY78">
            <v>27.20000000000006</v>
          </cell>
          <cell r="AZ78">
            <v>174.19999999999996</v>
          </cell>
          <cell r="BA78">
            <v>201.40000000000003</v>
          </cell>
          <cell r="BC78">
            <v>1248.4000000000001</v>
          </cell>
          <cell r="BD78">
            <v>576.6</v>
          </cell>
          <cell r="BE78">
            <v>1825</v>
          </cell>
          <cell r="BG78">
            <v>1248.4000000000003</v>
          </cell>
          <cell r="BH78">
            <v>576.6</v>
          </cell>
          <cell r="BK78">
            <v>0</v>
          </cell>
          <cell r="BL78">
            <v>0</v>
          </cell>
          <cell r="BM78">
            <v>0</v>
          </cell>
          <cell r="BO78">
            <v>1248.4000000000001</v>
          </cell>
          <cell r="BP78">
            <v>576.6</v>
          </cell>
          <cell r="BQ78">
            <v>1825</v>
          </cell>
          <cell r="BS78" t="str">
            <v xml:space="preserve"> 4Q</v>
          </cell>
          <cell r="BT78">
            <v>52.6</v>
          </cell>
          <cell r="BU78">
            <v>136.19999999999999</v>
          </cell>
          <cell r="BV78">
            <v>188.79999999999998</v>
          </cell>
          <cell r="BX78">
            <v>86.7</v>
          </cell>
          <cell r="BY78">
            <v>27</v>
          </cell>
          <cell r="BZ78">
            <v>113.7</v>
          </cell>
          <cell r="CB78">
            <v>20.100000000000001</v>
          </cell>
          <cell r="CC78">
            <v>28.9</v>
          </cell>
          <cell r="CD78">
            <v>49</v>
          </cell>
          <cell r="CF78">
            <v>0</v>
          </cell>
          <cell r="CG78">
            <v>0</v>
          </cell>
          <cell r="CH78">
            <v>0</v>
          </cell>
          <cell r="CJ78">
            <v>47</v>
          </cell>
          <cell r="CK78">
            <v>7.2</v>
          </cell>
          <cell r="CL78">
            <v>54.2</v>
          </cell>
          <cell r="CN78">
            <v>31.4</v>
          </cell>
          <cell r="CO78">
            <v>1.3</v>
          </cell>
          <cell r="CP78">
            <v>32.699999999999996</v>
          </cell>
          <cell r="CR78">
            <v>21</v>
          </cell>
          <cell r="CS78">
            <v>1.8</v>
          </cell>
          <cell r="CT78">
            <v>22.8</v>
          </cell>
          <cell r="CV78" t="str">
            <v xml:space="preserve"> 4Q</v>
          </cell>
          <cell r="CX78">
            <v>27.8</v>
          </cell>
          <cell r="CY78">
            <v>6.3</v>
          </cell>
          <cell r="CZ78">
            <v>34.1</v>
          </cell>
          <cell r="DB78">
            <v>15.1</v>
          </cell>
          <cell r="DC78">
            <v>1.1000000000000001</v>
          </cell>
          <cell r="DD78">
            <v>16.2</v>
          </cell>
          <cell r="DF78">
            <v>5.9</v>
          </cell>
          <cell r="DG78">
            <v>12.5</v>
          </cell>
          <cell r="DH78">
            <v>18.399999999999999</v>
          </cell>
          <cell r="DJ78">
            <v>70.7</v>
          </cell>
          <cell r="DK78">
            <v>106.00000000000004</v>
          </cell>
          <cell r="DL78">
            <v>176.70000000000005</v>
          </cell>
          <cell r="DN78">
            <v>378.3</v>
          </cell>
          <cell r="DO78">
            <v>328.3</v>
          </cell>
          <cell r="DP78">
            <v>706.6</v>
          </cell>
          <cell r="DR78" t="str">
            <v xml:space="preserve"> 4Q</v>
          </cell>
          <cell r="DS78">
            <v>62.9</v>
          </cell>
          <cell r="DT78">
            <v>98.4</v>
          </cell>
          <cell r="DU78">
            <v>161.30000000000001</v>
          </cell>
          <cell r="DW78">
            <v>39.6</v>
          </cell>
          <cell r="DX78">
            <v>45.8</v>
          </cell>
          <cell r="DY78">
            <v>85.4</v>
          </cell>
          <cell r="EA78">
            <v>4.8</v>
          </cell>
          <cell r="EB78">
            <v>43.3</v>
          </cell>
          <cell r="EC78">
            <v>48.099999999999994</v>
          </cell>
          <cell r="EE78">
            <v>4.5999999999999996</v>
          </cell>
          <cell r="EF78">
            <v>29.2</v>
          </cell>
          <cell r="EG78">
            <v>33.799999999999997</v>
          </cell>
          <cell r="EI78">
            <v>29.3</v>
          </cell>
          <cell r="EJ78">
            <v>2.6</v>
          </cell>
          <cell r="EK78">
            <v>31.900000000000002</v>
          </cell>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A80" t="str">
            <v>Year</v>
          </cell>
          <cell r="B80">
            <v>1644.3</v>
          </cell>
          <cell r="C80">
            <v>540.29999999999995</v>
          </cell>
          <cell r="D80">
            <v>2184.6</v>
          </cell>
          <cell r="F80">
            <v>746.5</v>
          </cell>
          <cell r="G80">
            <v>1.6</v>
          </cell>
          <cell r="H80">
            <v>748.09999999999991</v>
          </cell>
          <cell r="J80">
            <v>234.79999999999998</v>
          </cell>
          <cell r="K80">
            <v>219.29999999999998</v>
          </cell>
          <cell r="L80">
            <v>454.09999999999997</v>
          </cell>
          <cell r="N80">
            <v>26.9</v>
          </cell>
          <cell r="O80">
            <v>73.399999999999991</v>
          </cell>
          <cell r="P80">
            <v>100.29999999999998</v>
          </cell>
          <cell r="R80">
            <v>245</v>
          </cell>
          <cell r="S80">
            <v>33.299999999999997</v>
          </cell>
          <cell r="T80">
            <v>278.3</v>
          </cell>
          <cell r="V80">
            <v>442.7</v>
          </cell>
          <cell r="W80">
            <v>71.300000000000011</v>
          </cell>
          <cell r="X80">
            <v>514</v>
          </cell>
          <cell r="Z80">
            <v>433.4</v>
          </cell>
          <cell r="AA80">
            <v>96.6</v>
          </cell>
          <cell r="AB80">
            <v>530.09999999999991</v>
          </cell>
          <cell r="AD80">
            <v>120.5</v>
          </cell>
          <cell r="AE80">
            <v>9.1</v>
          </cell>
          <cell r="AF80">
            <v>129.6</v>
          </cell>
          <cell r="AH80" t="str">
            <v>Year</v>
          </cell>
          <cell r="AI80">
            <v>0.30000000000000004</v>
          </cell>
          <cell r="AJ80">
            <v>84.300000000000011</v>
          </cell>
          <cell r="AK80">
            <v>84.6</v>
          </cell>
          <cell r="AM80">
            <v>0.60000000000000009</v>
          </cell>
          <cell r="AN80">
            <v>11.5</v>
          </cell>
          <cell r="AO80">
            <v>12.100000000000001</v>
          </cell>
          <cell r="AQ80">
            <v>164.7</v>
          </cell>
          <cell r="AR80">
            <v>201.79999999999998</v>
          </cell>
          <cell r="AS80">
            <v>366.5</v>
          </cell>
          <cell r="AY80">
            <v>112.60000000000011</v>
          </cell>
          <cell r="AZ80">
            <v>619.09999999999991</v>
          </cell>
          <cell r="BA80">
            <v>731.7</v>
          </cell>
          <cell r="BC80">
            <v>4172.2999999999993</v>
          </cell>
          <cell r="BD80">
            <v>1961.6</v>
          </cell>
          <cell r="BE80">
            <v>6133.9</v>
          </cell>
          <cell r="BK80">
            <v>0</v>
          </cell>
          <cell r="BL80">
            <v>0</v>
          </cell>
          <cell r="BM80">
            <v>0</v>
          </cell>
          <cell r="BO80">
            <v>4172.2999999999993</v>
          </cell>
          <cell r="BP80">
            <v>1961.6</v>
          </cell>
          <cell r="BQ80">
            <v>6133.9</v>
          </cell>
          <cell r="BS80" t="str">
            <v>Year</v>
          </cell>
          <cell r="BT80">
            <v>226.20000000000002</v>
          </cell>
          <cell r="BU80">
            <v>518.59999999999991</v>
          </cell>
          <cell r="BV80">
            <v>744.8</v>
          </cell>
          <cell r="BX80">
            <v>330.09999999999997</v>
          </cell>
          <cell r="BY80">
            <v>99.9</v>
          </cell>
          <cell r="BZ80">
            <v>429.99999999999994</v>
          </cell>
          <cell r="CB80">
            <v>82.2</v>
          </cell>
          <cell r="CC80">
            <v>110.80000000000001</v>
          </cell>
          <cell r="CD80">
            <v>193</v>
          </cell>
          <cell r="CF80">
            <v>0</v>
          </cell>
          <cell r="CG80">
            <v>0</v>
          </cell>
          <cell r="CH80">
            <v>0</v>
          </cell>
          <cell r="CJ80">
            <v>143.30000000000001</v>
          </cell>
          <cell r="CK80">
            <v>26.2</v>
          </cell>
          <cell r="CL80">
            <v>169.5</v>
          </cell>
          <cell r="CN80">
            <v>146</v>
          </cell>
          <cell r="CO80">
            <v>11.400000000000002</v>
          </cell>
          <cell r="CP80">
            <v>157.4</v>
          </cell>
          <cell r="CR80">
            <v>73</v>
          </cell>
          <cell r="CS80">
            <v>7.8</v>
          </cell>
          <cell r="CT80">
            <v>80.8</v>
          </cell>
          <cell r="CV80" t="str">
            <v>Year</v>
          </cell>
          <cell r="CX80">
            <v>86.7</v>
          </cell>
          <cell r="CY80">
            <v>26.400000000000002</v>
          </cell>
          <cell r="CZ80">
            <v>113.1</v>
          </cell>
          <cell r="DB80">
            <v>77.7</v>
          </cell>
          <cell r="DC80">
            <v>5</v>
          </cell>
          <cell r="DD80">
            <v>82.7</v>
          </cell>
          <cell r="DF80">
            <v>20.8</v>
          </cell>
          <cell r="DG80">
            <v>37.299999999999997</v>
          </cell>
          <cell r="DH80">
            <v>58.1</v>
          </cell>
          <cell r="DJ80">
            <v>288.7</v>
          </cell>
          <cell r="DK80">
            <v>403.8</v>
          </cell>
          <cell r="DL80">
            <v>692.5</v>
          </cell>
          <cell r="DN80">
            <v>1474.7</v>
          </cell>
          <cell r="DO80">
            <v>1247.2</v>
          </cell>
          <cell r="DP80">
            <v>2721.9</v>
          </cell>
          <cell r="DR80" t="str">
            <v>Year</v>
          </cell>
          <cell r="DS80">
            <v>161.80000000000001</v>
          </cell>
          <cell r="DT80">
            <v>357.9</v>
          </cell>
          <cell r="DU80">
            <v>519.70000000000005</v>
          </cell>
          <cell r="DW80">
            <v>144.80000000000001</v>
          </cell>
          <cell r="DX80">
            <v>180.5</v>
          </cell>
          <cell r="DY80">
            <v>325.29999999999995</v>
          </cell>
          <cell r="EA80">
            <v>19.5</v>
          </cell>
          <cell r="EB80">
            <v>169.5</v>
          </cell>
          <cell r="EC80">
            <v>189</v>
          </cell>
          <cell r="EE80">
            <v>18.100000000000001</v>
          </cell>
          <cell r="EF80">
            <v>132.9</v>
          </cell>
          <cell r="EG80">
            <v>151</v>
          </cell>
          <cell r="EI80">
            <v>110.99999999999999</v>
          </cell>
          <cell r="EJ80">
            <v>12.2</v>
          </cell>
          <cell r="EK80">
            <v>123.2</v>
          </cell>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A82" t="str">
            <v xml:space="preserve">1999/98 </v>
          </cell>
          <cell r="AH82" t="str">
            <v xml:space="preserve">1999/98 </v>
          </cell>
          <cell r="BS82" t="str">
            <v xml:space="preserve">1999/98 </v>
          </cell>
          <cell r="CV82" t="str">
            <v xml:space="preserve">1999/98 </v>
          </cell>
          <cell r="DR82" t="str">
            <v xml:space="preserve">1999/98 </v>
          </cell>
          <cell r="EM82" t="str">
            <v xml:space="preserve">1999/98 </v>
          </cell>
        </row>
        <row r="83">
          <cell r="A83" t="str">
            <v xml:space="preserve"> 1Q</v>
          </cell>
          <cell r="B83">
            <v>0.84075993091537127</v>
          </cell>
          <cell r="C83">
            <v>1.4649321266968327</v>
          </cell>
          <cell r="D83">
            <v>0.98676898650436629</v>
          </cell>
          <cell r="F83">
            <v>0.33019551049963791</v>
          </cell>
          <cell r="G83" t="str">
            <v>NM</v>
          </cell>
          <cell r="H83">
            <v>0.33309196234612592</v>
          </cell>
          <cell r="I83" t="e">
            <v>#DIV/0!</v>
          </cell>
          <cell r="J83">
            <v>0.10021321961620466</v>
          </cell>
          <cell r="K83">
            <v>0.25</v>
          </cell>
          <cell r="L83">
            <v>0.17868020304568533</v>
          </cell>
          <cell r="M83" t="e">
            <v>#DIV/0!</v>
          </cell>
          <cell r="N83" t="str">
            <v>NM</v>
          </cell>
          <cell r="O83" t="str">
            <v>NM</v>
          </cell>
          <cell r="P83" t="str">
            <v>NM</v>
          </cell>
          <cell r="R83">
            <v>-5.1903114186850896E-3</v>
          </cell>
          <cell r="S83">
            <v>2.4390243902439046E-2</v>
          </cell>
          <cell r="T83">
            <v>-1.5151515151514694E-3</v>
          </cell>
          <cell r="U83" t="e">
            <v>#DIV/0!</v>
          </cell>
          <cell r="V83">
            <v>0.86012269938650299</v>
          </cell>
          <cell r="W83">
            <v>0.68055555555555536</v>
          </cell>
          <cell r="X83">
            <v>0.83315954118873803</v>
          </cell>
          <cell r="Z83">
            <v>0.20689655172413768</v>
          </cell>
          <cell r="AA83">
            <v>0.77083333333333304</v>
          </cell>
          <cell r="AB83">
            <v>0.30357142857142838</v>
          </cell>
          <cell r="AD83" t="str">
            <v>NM</v>
          </cell>
          <cell r="AE83" t="str">
            <v>NM</v>
          </cell>
          <cell r="AF83" t="str">
            <v>NM</v>
          </cell>
          <cell r="AH83" t="str">
            <v xml:space="preserve"> 1Q</v>
          </cell>
          <cell r="AI83" t="str">
            <v>NM</v>
          </cell>
          <cell r="AJ83" t="str">
            <v>NM</v>
          </cell>
          <cell r="AK83" t="str">
            <v>NM</v>
          </cell>
          <cell r="AM83" t="str">
            <v>NM</v>
          </cell>
          <cell r="AN83" t="str">
            <v>NM</v>
          </cell>
          <cell r="AO83" t="str">
            <v>NM</v>
          </cell>
          <cell r="AQ83">
            <v>-8.1967213114754078E-2</v>
          </cell>
          <cell r="AR83">
            <v>4.8638132295719894E-2</v>
          </cell>
          <cell r="AS83">
            <v>-1.062699256110522E-2</v>
          </cell>
          <cell r="AT83" t="e">
            <v>#DIV/0!</v>
          </cell>
          <cell r="AX83" t="e">
            <v>#DIV/0!</v>
          </cell>
          <cell r="AY83">
            <v>2.3555555555555547</v>
          </cell>
          <cell r="AZ83">
            <v>0.3348684210526327</v>
          </cell>
          <cell r="BA83">
            <v>0.59541547277937013</v>
          </cell>
          <cell r="BC83">
            <v>0.49825783972125426</v>
          </cell>
          <cell r="BD83">
            <v>0.40032340032340041</v>
          </cell>
          <cell r="BE83">
            <v>0.46397088556409227</v>
          </cell>
          <cell r="BK83" t="str">
            <v>NM</v>
          </cell>
          <cell r="BL83" t="str">
            <v>NM</v>
          </cell>
          <cell r="BM83" t="str">
            <v>NM</v>
          </cell>
          <cell r="BO83">
            <v>0.49825783972125426</v>
          </cell>
          <cell r="BP83">
            <v>0.40032340032340041</v>
          </cell>
          <cell r="BQ83">
            <v>0.46397088556409227</v>
          </cell>
          <cell r="BS83" t="str">
            <v xml:space="preserve"> 1Q</v>
          </cell>
          <cell r="BT83">
            <v>3.3268101761252389E-2</v>
          </cell>
          <cell r="BU83">
            <v>0.13585554600171967</v>
          </cell>
          <cell r="BV83">
            <v>0.10454002389486239</v>
          </cell>
          <cell r="BX83">
            <v>0.21980676328502424</v>
          </cell>
          <cell r="BY83">
            <v>0.21818181818181825</v>
          </cell>
          <cell r="BZ83">
            <v>0.21946564885496178</v>
          </cell>
          <cell r="CB83">
            <v>-4.3689320388349606E-2</v>
          </cell>
          <cell r="CC83">
            <v>8.9285714285714191E-2</v>
          </cell>
          <cell r="CD83">
            <v>3.292181069958855E-2</v>
          </cell>
          <cell r="CF83" t="str">
            <v>NM</v>
          </cell>
          <cell r="CG83" t="str">
            <v>NM</v>
          </cell>
          <cell r="CH83" t="str">
            <v>NM</v>
          </cell>
          <cell r="CI83" t="e">
            <v>#DIV/0!</v>
          </cell>
          <cell r="CJ83">
            <v>7.9365079365081304E-3</v>
          </cell>
          <cell r="CK83">
            <v>0</v>
          </cell>
          <cell r="CL83">
            <v>6.8337129840547739E-3</v>
          </cell>
          <cell r="CN83" t="str">
            <v>NM</v>
          </cell>
          <cell r="CO83" t="str">
            <v>NM</v>
          </cell>
          <cell r="CP83" t="str">
            <v>NM</v>
          </cell>
          <cell r="CR83">
            <v>-5.9880239520958112E-2</v>
          </cell>
          <cell r="CS83" t="str">
            <v>NM</v>
          </cell>
          <cell r="CT83">
            <v>-0.16489361702127669</v>
          </cell>
          <cell r="CV83" t="str">
            <v xml:space="preserve"> 1Q</v>
          </cell>
          <cell r="CX83">
            <v>0.41968911917098439</v>
          </cell>
          <cell r="CY83">
            <v>0.14925373134328357</v>
          </cell>
          <cell r="CZ83">
            <v>0.35000000000000009</v>
          </cell>
          <cell r="DB83">
            <v>-4.6632124352331661E-2</v>
          </cell>
          <cell r="DC83">
            <v>-0.14285714285714279</v>
          </cell>
          <cell r="DD83">
            <v>-5.3140096618357613E-2</v>
          </cell>
          <cell r="DF83" t="str">
            <v>NM</v>
          </cell>
          <cell r="DG83" t="str">
            <v>NM</v>
          </cell>
          <cell r="DH83" t="str">
            <v>NM</v>
          </cell>
          <cell r="DJ83">
            <v>0.53424657534246678</v>
          </cell>
          <cell r="DK83">
            <v>0.17019133937562936</v>
          </cell>
          <cell r="DL83">
            <v>0.3151515151515154</v>
          </cell>
          <cell r="DN83">
            <v>0.17155756207674955</v>
          </cell>
          <cell r="DO83">
            <v>8.6411385970857291E-2</v>
          </cell>
          <cell r="DP83">
            <v>0.13287143956889902</v>
          </cell>
          <cell r="DR83" t="str">
            <v xml:space="preserve"> 1Q</v>
          </cell>
          <cell r="DS83">
            <v>1.7421602787456525E-2</v>
          </cell>
          <cell r="DT83">
            <v>4.5507584597432871E-2</v>
          </cell>
          <cell r="DU83">
            <v>3.8461538461538325E-2</v>
          </cell>
          <cell r="DW83">
            <v>0.12537313432835839</v>
          </cell>
          <cell r="DX83">
            <v>-2.954545454545443E-2</v>
          </cell>
          <cell r="DY83">
            <v>3.741935483870984E-2</v>
          </cell>
          <cell r="EA83">
            <v>-9.6153846153846145E-2</v>
          </cell>
          <cell r="EB83">
            <v>0.16445623342175053</v>
          </cell>
          <cell r="EC83">
            <v>0.1328671328671327</v>
          </cell>
          <cell r="EE83">
            <v>0</v>
          </cell>
          <cell r="EF83">
            <v>0</v>
          </cell>
          <cell r="EG83">
            <v>0</v>
          </cell>
          <cell r="EI83">
            <v>0</v>
          </cell>
          <cell r="EJ83">
            <v>-0.12903225806451613</v>
          </cell>
          <cell r="EK83">
            <v>-1.2944983818770295E-2</v>
          </cell>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A84" t="str">
            <v xml:space="preserve"> 2Q</v>
          </cell>
          <cell r="B84">
            <v>0.57461953853706449</v>
          </cell>
          <cell r="C84">
            <v>0.9489633173843699</v>
          </cell>
          <cell r="D84">
            <v>0.66272522522522537</v>
          </cell>
          <cell r="F84">
            <v>-0.24435590969455523</v>
          </cell>
          <cell r="G84">
            <v>1.3333333333333335</v>
          </cell>
          <cell r="H84">
            <v>-0.24226348364279415</v>
          </cell>
          <cell r="I84" t="e">
            <v>#DIV/0!</v>
          </cell>
          <cell r="J84">
            <v>-5.4012345679012363E-2</v>
          </cell>
          <cell r="K84">
            <v>0.19413919413919412</v>
          </cell>
          <cell r="L84">
            <v>5.9463986599664898E-2</v>
          </cell>
          <cell r="M84" t="e">
            <v>#DIV/0!</v>
          </cell>
          <cell r="N84" t="str">
            <v>NM</v>
          </cell>
          <cell r="O84" t="str">
            <v>NM</v>
          </cell>
          <cell r="P84" t="str">
            <v>NM</v>
          </cell>
          <cell r="R84">
            <v>-0.13307240704500989</v>
          </cell>
          <cell r="S84">
            <v>0.18518518518518512</v>
          </cell>
          <cell r="T84">
            <v>-8.9527027027027084E-2</v>
          </cell>
          <cell r="U84" t="e">
            <v>#DIV/0!</v>
          </cell>
          <cell r="V84">
            <v>0.70391595033428844</v>
          </cell>
          <cell r="W84">
            <v>0.62941176470588234</v>
          </cell>
          <cell r="X84">
            <v>0.69350862777321276</v>
          </cell>
          <cell r="Z84">
            <v>6.9128787878788067E-2</v>
          </cell>
          <cell r="AA84">
            <v>0.75000000000000022</v>
          </cell>
          <cell r="AB84">
            <v>0.17936507936507962</v>
          </cell>
          <cell r="AD84" t="str">
            <v>NM</v>
          </cell>
          <cell r="AE84" t="str">
            <v>NM</v>
          </cell>
          <cell r="AF84" t="str">
            <v>NM</v>
          </cell>
          <cell r="AH84" t="str">
            <v xml:space="preserve"> 2Q</v>
          </cell>
          <cell r="AI84" t="str">
            <v>NM</v>
          </cell>
          <cell r="AJ84" t="str">
            <v>NM</v>
          </cell>
          <cell r="AK84" t="str">
            <v>NM</v>
          </cell>
          <cell r="AM84" t="str">
            <v>NM</v>
          </cell>
          <cell r="AN84" t="str">
            <v>NM</v>
          </cell>
          <cell r="AO84" t="str">
            <v>NM</v>
          </cell>
          <cell r="AQ84">
            <v>1.4457831325301207E-2</v>
          </cell>
          <cell r="AR84">
            <v>0.14541832669322696</v>
          </cell>
          <cell r="AS84">
            <v>8.6150490730643403E-2</v>
          </cell>
          <cell r="AT84" t="e">
            <v>#DIV/0!</v>
          </cell>
          <cell r="AX84" t="e">
            <v>#DIV/0!</v>
          </cell>
          <cell r="AY84">
            <v>0.98742138364780474</v>
          </cell>
          <cell r="AZ84">
            <v>0.21357285429141704</v>
          </cell>
          <cell r="BA84">
            <v>0.34870950027457548</v>
          </cell>
          <cell r="BC84">
            <v>0.23128805620608905</v>
          </cell>
          <cell r="BD84">
            <v>0.32286138824028865</v>
          </cell>
          <cell r="BE84">
            <v>0.25932666060054621</v>
          </cell>
          <cell r="BK84" t="str">
            <v>NM</v>
          </cell>
          <cell r="BL84" t="str">
            <v>NM</v>
          </cell>
          <cell r="BM84" t="str">
            <v>NM</v>
          </cell>
          <cell r="BO84">
            <v>0.23128805620608905</v>
          </cell>
          <cell r="BP84">
            <v>0.32286138824028865</v>
          </cell>
          <cell r="BQ84">
            <v>0.25932666060054621</v>
          </cell>
          <cell r="BS84" t="str">
            <v xml:space="preserve"> 2Q</v>
          </cell>
          <cell r="BT84">
            <v>-7.4840764331210119E-2</v>
          </cell>
          <cell r="BU84">
            <v>2.2522522522522515E-2</v>
          </cell>
          <cell r="BV84">
            <v>-8.6734693877551505E-3</v>
          </cell>
          <cell r="BX84">
            <v>4.2713567839196109E-2</v>
          </cell>
          <cell r="BY84">
            <v>0.20987654320987637</v>
          </cell>
          <cell r="BZ84">
            <v>8.1809432146294547E-2</v>
          </cell>
          <cell r="CB84">
            <v>1.9607843137255054E-2</v>
          </cell>
          <cell r="CC84">
            <v>2.4390243902439046E-2</v>
          </cell>
          <cell r="CD84">
            <v>2.2403258655804725E-2</v>
          </cell>
          <cell r="CF84" t="str">
            <v>NM</v>
          </cell>
          <cell r="CG84" t="str">
            <v>NM</v>
          </cell>
          <cell r="CH84" t="str">
            <v>NM</v>
          </cell>
          <cell r="CI84" t="e">
            <v>#DIV/0!</v>
          </cell>
          <cell r="CJ84">
            <v>0.11353711790393017</v>
          </cell>
          <cell r="CK84">
            <v>6.4516129032258007E-2</v>
          </cell>
          <cell r="CL84">
            <v>0.10309278350515472</v>
          </cell>
          <cell r="CN84" t="str">
            <v>NM</v>
          </cell>
          <cell r="CO84" t="str">
            <v>NM</v>
          </cell>
          <cell r="CP84" t="str">
            <v>NM</v>
          </cell>
          <cell r="CR84">
            <v>-0.13402061855670089</v>
          </cell>
          <cell r="CS84">
            <v>0.94736842105263186</v>
          </cell>
          <cell r="CT84">
            <v>-3.7558685446009266E-2</v>
          </cell>
          <cell r="CV84" t="str">
            <v xml:space="preserve"> 2Q</v>
          </cell>
          <cell r="CX84">
            <v>0.14634146341463405</v>
          </cell>
          <cell r="CY84">
            <v>0.31034482758620685</v>
          </cell>
          <cell r="CZ84">
            <v>0.18250950570342206</v>
          </cell>
          <cell r="DB84">
            <v>7.3593073593073655E-2</v>
          </cell>
          <cell r="DC84">
            <v>0.25</v>
          </cell>
          <cell r="DD84">
            <v>8.502024291497956E-2</v>
          </cell>
          <cell r="DF84" t="str">
            <v>NM</v>
          </cell>
          <cell r="DG84" t="str">
            <v>NM</v>
          </cell>
          <cell r="DH84" t="str">
            <v>NM</v>
          </cell>
          <cell r="DJ84">
            <v>0.57554945054945095</v>
          </cell>
          <cell r="DK84">
            <v>0.08</v>
          </cell>
          <cell r="DL84">
            <v>0.25159051474840988</v>
          </cell>
          <cell r="DN84">
            <v>0.12915636163781263</v>
          </cell>
          <cell r="DO84">
            <v>2.4687399807630905E-2</v>
          </cell>
          <cell r="DP84">
            <v>8.0941106836342147E-2</v>
          </cell>
          <cell r="DR84" t="str">
            <v xml:space="preserve"> 2Q</v>
          </cell>
          <cell r="DS84">
            <v>-0.115079365079365</v>
          </cell>
          <cell r="DT84">
            <v>-2.333722287047868E-3</v>
          </cell>
          <cell r="DU84">
            <v>-2.7953110910730494E-2</v>
          </cell>
          <cell r="DW84">
            <v>0.17801047120418834</v>
          </cell>
          <cell r="DX84">
            <v>5.3304904051172608E-2</v>
          </cell>
          <cell r="DY84">
            <v>0.10928319623971805</v>
          </cell>
          <cell r="EA84">
            <v>-5.9999999999999942E-2</v>
          </cell>
          <cell r="EB84">
            <v>-3.5087719298245612E-2</v>
          </cell>
          <cell r="EC84">
            <v>-3.7549407114624511E-2</v>
          </cell>
          <cell r="EE84">
            <v>-6.5217391304347783E-2</v>
          </cell>
          <cell r="EF84">
            <v>-0.16000000000000003</v>
          </cell>
          <cell r="EG84">
            <v>-0.14898989898989912</v>
          </cell>
          <cell r="EI84">
            <v>1.3559322033898313E-2</v>
          </cell>
          <cell r="EJ84">
            <v>-0.11764705882352944</v>
          </cell>
          <cell r="EK84">
            <v>0</v>
          </cell>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A85" t="str">
            <v xml:space="preserve"> 3Q</v>
          </cell>
          <cell r="B85">
            <v>0.71023658936519096</v>
          </cell>
          <cell r="C85">
            <v>0.76917663617171028</v>
          </cell>
          <cell r="D85">
            <v>0.72495606326889273</v>
          </cell>
          <cell r="F85">
            <v>-0.26368159203980113</v>
          </cell>
          <cell r="G85">
            <v>2.4999999999999996</v>
          </cell>
          <cell r="H85">
            <v>-0.26062948647156281</v>
          </cell>
          <cell r="J85">
            <v>0.13749999999999996</v>
          </cell>
          <cell r="K85">
            <v>0.10714285714285721</v>
          </cell>
          <cell r="L85">
            <v>0.12333333333333352</v>
          </cell>
          <cell r="N85" t="str">
            <v>NM</v>
          </cell>
          <cell r="O85" t="str">
            <v>NM</v>
          </cell>
          <cell r="P85" t="str">
            <v>NM</v>
          </cell>
          <cell r="R85">
            <v>-0.14411247803163441</v>
          </cell>
          <cell r="S85">
            <v>0.14634146341463428</v>
          </cell>
          <cell r="T85">
            <v>-0.10752688172043001</v>
          </cell>
          <cell r="V85">
            <v>0.83939662821650396</v>
          </cell>
          <cell r="W85">
            <v>0.52849740932642475</v>
          </cell>
          <cell r="X85">
            <v>0.79393939393939394</v>
          </cell>
          <cell r="Z85">
            <v>-0.17999999999999994</v>
          </cell>
          <cell r="AA85">
            <v>-9.1666666666666674E-2</v>
          </cell>
          <cell r="AB85">
            <v>-0.16355489171023152</v>
          </cell>
          <cell r="AD85" t="str">
            <v>NM</v>
          </cell>
          <cell r="AE85" t="str">
            <v>NM</v>
          </cell>
          <cell r="AF85" t="str">
            <v>NM</v>
          </cell>
          <cell r="AH85" t="str">
            <v xml:space="preserve"> 3Q</v>
          </cell>
          <cell r="AI85" t="str">
            <v>NM</v>
          </cell>
          <cell r="AJ85" t="str">
            <v>NM</v>
          </cell>
          <cell r="AK85" t="str">
            <v>NM</v>
          </cell>
          <cell r="AM85" t="str">
            <v>NM</v>
          </cell>
          <cell r="AN85" t="str">
            <v>NM</v>
          </cell>
          <cell r="AO85" t="str">
            <v>NM</v>
          </cell>
          <cell r="AQ85">
            <v>9.2307692307692424E-2</v>
          </cell>
          <cell r="AR85">
            <v>0.17735042735042739</v>
          </cell>
          <cell r="AS85">
            <v>0.13869463869463883</v>
          </cell>
          <cell r="AY85">
            <v>1.4598070739549844</v>
          </cell>
          <cell r="AZ85">
            <v>0.14656381486676073</v>
          </cell>
          <cell r="BA85">
            <v>0.3816925734024188</v>
          </cell>
          <cell r="BC85">
            <v>0.33111702127659592</v>
          </cell>
          <cell r="BD85">
            <v>0.23367983367983358</v>
          </cell>
          <cell r="BE85">
            <v>0.30056069891772075</v>
          </cell>
          <cell r="BK85" t="str">
            <v>NM</v>
          </cell>
          <cell r="BL85" t="str">
            <v>NM</v>
          </cell>
          <cell r="BM85" t="str">
            <v>NM</v>
          </cell>
          <cell r="BO85">
            <v>0.33111702127659592</v>
          </cell>
          <cell r="BP85">
            <v>0.23367983367983358</v>
          </cell>
          <cell r="BQ85">
            <v>0.30056069891772075</v>
          </cell>
          <cell r="BS85" t="str">
            <v xml:space="preserve"> 3Q</v>
          </cell>
          <cell r="BT85">
            <v>0.19932998324958118</v>
          </cell>
          <cell r="BU85">
            <v>5.5680963130173122E-2</v>
          </cell>
          <cell r="BV85">
            <v>0.10020768431983385</v>
          </cell>
          <cell r="BX85">
            <v>2.9629629629629672E-2</v>
          </cell>
          <cell r="BY85">
            <v>0.20300751879699241</v>
          </cell>
          <cell r="BZ85">
            <v>7.2490706319702669E-2</v>
          </cell>
          <cell r="CB85">
            <v>3.3175355450236976E-2</v>
          </cell>
          <cell r="CC85">
            <v>-7.0000000000000007E-2</v>
          </cell>
          <cell r="CD85">
            <v>0.1187904967602591</v>
          </cell>
          <cell r="CF85" t="str">
            <v>NM</v>
          </cell>
          <cell r="CG85" t="str">
            <v>NM</v>
          </cell>
          <cell r="CH85" t="str">
            <v>NM</v>
          </cell>
          <cell r="CJ85">
            <v>-1.966292134831471E-2</v>
          </cell>
          <cell r="CK85">
            <v>1.4925373134328401E-2</v>
          </cell>
          <cell r="CL85">
            <v>-1.418439716312081E-2</v>
          </cell>
          <cell r="CN85" t="str">
            <v>NM</v>
          </cell>
          <cell r="CO85" t="str">
            <v>NM</v>
          </cell>
          <cell r="CP85" t="str">
            <v>NM</v>
          </cell>
          <cell r="CR85">
            <v>0.11949685534591192</v>
          </cell>
          <cell r="CS85">
            <v>-5.0000000000000044E-2</v>
          </cell>
          <cell r="CT85">
            <v>0.1005586592178771</v>
          </cell>
          <cell r="CV85" t="str">
            <v xml:space="preserve"> 3Q</v>
          </cell>
          <cell r="CX85">
            <v>9.4240837696334845E-2</v>
          </cell>
          <cell r="CY85">
            <v>-5.2631578947368363E-2</v>
          </cell>
          <cell r="CZ85">
            <v>5.2434456928838857E-2</v>
          </cell>
          <cell r="DB85">
            <v>4.9504950495049549E-2</v>
          </cell>
          <cell r="DC85">
            <v>-0.22222222222222232</v>
          </cell>
          <cell r="DD85">
            <v>3.7914691943127909E-2</v>
          </cell>
          <cell r="DF85" t="str">
            <v>NM</v>
          </cell>
          <cell r="DG85" t="str">
            <v>NM</v>
          </cell>
          <cell r="DH85" t="str">
            <v>NM</v>
          </cell>
          <cell r="DJ85">
            <v>0.52704402515723237</v>
          </cell>
          <cell r="DK85">
            <v>0</v>
          </cell>
          <cell r="DL85">
            <v>0.32040472175379442</v>
          </cell>
          <cell r="DN85">
            <v>0.13038878603544024</v>
          </cell>
          <cell r="DO85">
            <v>7.0535428021801794E-2</v>
          </cell>
          <cell r="DP85">
            <v>0.10333333333333328</v>
          </cell>
          <cell r="DR85" t="str">
            <v xml:space="preserve"> 3Q</v>
          </cell>
          <cell r="DS85">
            <v>-0.10888888888888881</v>
          </cell>
          <cell r="DT85">
            <v>1.8161180476730987E-2</v>
          </cell>
          <cell r="DU85">
            <v>-2.4793388429751984E-2</v>
          </cell>
          <cell r="DW85">
            <v>2.9850746268658135E-3</v>
          </cell>
          <cell r="DX85">
            <v>-2.5114155251141468E-2</v>
          </cell>
          <cell r="DY85">
            <v>-1.2936610608020538E-2</v>
          </cell>
          <cell r="EA85">
            <v>-6.6666666666666652E-2</v>
          </cell>
          <cell r="EB85">
            <v>-1.6317016317016209E-2</v>
          </cell>
          <cell r="EC85">
            <v>-2.1097046413501963E-2</v>
          </cell>
          <cell r="EE85">
            <v>0.13953488372093026</v>
          </cell>
          <cell r="EF85">
            <v>-0.11764705882352944</v>
          </cell>
          <cell r="EG85">
            <v>-8.877284595300261E-2</v>
          </cell>
          <cell r="EI85">
            <v>0.15163934426229519</v>
          </cell>
          <cell r="EJ85">
            <v>-0.16129032258064513</v>
          </cell>
          <cell r="EK85">
            <v>0.11636363636363645</v>
          </cell>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A86" t="str">
            <v xml:space="preserve"> 4Q</v>
          </cell>
          <cell r="B86">
            <v>0.5536983669548512</v>
          </cell>
          <cell r="C86">
            <v>0.65672451193058556</v>
          </cell>
          <cell r="D86">
            <v>0.5806497375514259</v>
          </cell>
          <cell r="F86">
            <v>-0.33134920634920628</v>
          </cell>
          <cell r="G86">
            <v>-0.36363636363636376</v>
          </cell>
          <cell r="H86">
            <v>-0.33152442032560425</v>
          </cell>
          <cell r="J86">
            <v>0.2554991539763114</v>
          </cell>
          <cell r="K86">
            <v>8.4063047285463988E-2</v>
          </cell>
          <cell r="L86">
            <v>0.17125645438898451</v>
          </cell>
          <cell r="N86" t="str">
            <v>NM</v>
          </cell>
          <cell r="O86" t="str">
            <v>NM</v>
          </cell>
          <cell r="P86" t="str">
            <v>NM</v>
          </cell>
          <cell r="R86">
            <v>-0.35606060606060608</v>
          </cell>
          <cell r="S86">
            <v>0.19318181818181812</v>
          </cell>
          <cell r="T86">
            <v>-0.30113636363636365</v>
          </cell>
          <cell r="V86">
            <v>0.79763560500695396</v>
          </cell>
          <cell r="W86">
            <v>0.72815533980582514</v>
          </cell>
          <cell r="X86">
            <v>0.78892944038929458</v>
          </cell>
          <cell r="Z86">
            <v>-0.14400000000000002</v>
          </cell>
          <cell r="AA86">
            <v>-0.51515151515151514</v>
          </cell>
          <cell r="AB86">
            <v>-0.22250316055625785</v>
          </cell>
          <cell r="AD86" t="str">
            <v>NM</v>
          </cell>
          <cell r="AE86" t="str">
            <v>NM</v>
          </cell>
          <cell r="AF86" t="str">
            <v>NM</v>
          </cell>
          <cell r="AH86" t="str">
            <v xml:space="preserve"> 4Q</v>
          </cell>
          <cell r="AI86" t="str">
            <v>NM</v>
          </cell>
          <cell r="AJ86" t="str">
            <v>NM</v>
          </cell>
          <cell r="AK86" t="str">
            <v>NM</v>
          </cell>
          <cell r="AM86" t="str">
            <v>NM</v>
          </cell>
          <cell r="AN86" t="str">
            <v>NM</v>
          </cell>
          <cell r="AO86" t="str">
            <v>NM</v>
          </cell>
          <cell r="AQ86">
            <v>4.8192771084337283E-2</v>
          </cell>
          <cell r="AR86">
            <v>7.6779026217228541E-2</v>
          </cell>
          <cell r="AS86">
            <v>6.427818756585868E-2</v>
          </cell>
          <cell r="AY86">
            <v>0</v>
          </cell>
          <cell r="AZ86">
            <v>0.05</v>
          </cell>
          <cell r="BA86">
            <v>0.35203574975173768</v>
          </cell>
          <cell r="BC86">
            <v>0.25496635693687919</v>
          </cell>
          <cell r="BD86">
            <v>0.16718695802982997</v>
          </cell>
          <cell r="BE86">
            <v>0.22723287671232861</v>
          </cell>
          <cell r="BK86" t="str">
            <v>NM</v>
          </cell>
          <cell r="BL86" t="str">
            <v>NM</v>
          </cell>
          <cell r="BM86" t="str">
            <v>NM</v>
          </cell>
          <cell r="BO86">
            <v>0.25496635693687919</v>
          </cell>
          <cell r="BP86">
            <v>0.16718695802982997</v>
          </cell>
          <cell r="BQ86">
            <v>0.22723287671232861</v>
          </cell>
          <cell r="BS86" t="str">
            <v xml:space="preserve"> 4Q</v>
          </cell>
          <cell r="BT86">
            <v>7.4144486692015121E-2</v>
          </cell>
          <cell r="BU86">
            <v>6.0939794419970772E-2</v>
          </cell>
          <cell r="BV86">
            <v>6.4618644067796716E-2</v>
          </cell>
          <cell r="BX86">
            <v>0.15340253748558252</v>
          </cell>
          <cell r="BY86">
            <v>0.15555555555555545</v>
          </cell>
          <cell r="BZ86">
            <v>0.15391380826737011</v>
          </cell>
          <cell r="CB86">
            <v>1.990049751243772E-2</v>
          </cell>
          <cell r="CC86">
            <v>4.844290657439454E-2</v>
          </cell>
          <cell r="CD86">
            <v>3.6734693877551017E-2</v>
          </cell>
          <cell r="CF86" t="str">
            <v>NM</v>
          </cell>
          <cell r="CG86" t="str">
            <v>NM</v>
          </cell>
          <cell r="CH86" t="str">
            <v>NM</v>
          </cell>
          <cell r="CJ86">
            <v>-6.382978723404209E-3</v>
          </cell>
          <cell r="CK86">
            <v>-5.555555555555558E-2</v>
          </cell>
          <cell r="CL86">
            <v>-1.291512915129156E-2</v>
          </cell>
          <cell r="CN86" t="str">
            <v>NM</v>
          </cell>
          <cell r="CO86" t="str">
            <v>NM</v>
          </cell>
          <cell r="CP86" t="str">
            <v>NM</v>
          </cell>
          <cell r="CR86">
            <v>-0.19999999999999996</v>
          </cell>
          <cell r="CS86">
            <v>0.11111111111111116</v>
          </cell>
          <cell r="CT86">
            <v>-0.17543859649122806</v>
          </cell>
          <cell r="CV86" t="str">
            <v xml:space="preserve"> 4Q</v>
          </cell>
          <cell r="CX86">
            <v>-0.03</v>
          </cell>
          <cell r="CY86">
            <v>0.11</v>
          </cell>
          <cell r="CZ86">
            <v>8.5043988269794646E-2</v>
          </cell>
          <cell r="DB86">
            <v>0.1258278145695364</v>
          </cell>
          <cell r="DC86">
            <v>-0.18181818181818188</v>
          </cell>
          <cell r="DD86">
            <v>0.10493827160493829</v>
          </cell>
          <cell r="DF86" t="str">
            <v>NM</v>
          </cell>
          <cell r="DG86" t="str">
            <v>NM</v>
          </cell>
          <cell r="DH86" t="str">
            <v>NM</v>
          </cell>
          <cell r="DJ86">
            <v>0.4214992927864214</v>
          </cell>
          <cell r="DK86">
            <v>0.02</v>
          </cell>
          <cell r="DL86">
            <v>0.21788341822297652</v>
          </cell>
          <cell r="DN86">
            <v>0.13322759714512289</v>
          </cell>
          <cell r="DO86">
            <v>3.4419738044471515E-2</v>
          </cell>
          <cell r="DP86">
            <v>8.7319558448910151E-2</v>
          </cell>
          <cell r="DR86" t="str">
            <v xml:space="preserve"> 4Q</v>
          </cell>
          <cell r="DS86">
            <v>0.03</v>
          </cell>
          <cell r="DT86">
            <v>0.06</v>
          </cell>
          <cell r="DU86">
            <v>8.4314941103533547E-2</v>
          </cell>
          <cell r="DW86">
            <v>9.59595959595958E-2</v>
          </cell>
          <cell r="DX86">
            <v>4.366812227074357E-3</v>
          </cell>
          <cell r="DY86">
            <v>4.6838407494145251E-2</v>
          </cell>
          <cell r="EA86">
            <v>-4.1666666666666741E-2</v>
          </cell>
          <cell r="EB86">
            <v>2.5404157043879882E-2</v>
          </cell>
          <cell r="EC86">
            <v>1.8711018711018879E-2</v>
          </cell>
          <cell r="EE86">
            <v>-0.17391304347826086</v>
          </cell>
          <cell r="EF86">
            <v>-0.10273972602739723</v>
          </cell>
          <cell r="EG86">
            <v>-0.11242603550295849</v>
          </cell>
          <cell r="EI86">
            <v>1.7064846416382284E-2</v>
          </cell>
          <cell r="EJ86">
            <v>7.6923076923076872E-2</v>
          </cell>
          <cell r="EK86">
            <v>2.1943573667711602E-2</v>
          </cell>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A88" t="str">
            <v>Year</v>
          </cell>
          <cell r="B88">
            <v>0.65006385696040869</v>
          </cell>
          <cell r="C88">
            <v>0.88635942994632644</v>
          </cell>
          <cell r="D88">
            <v>0.70850498947175677</v>
          </cell>
          <cell r="F88">
            <v>-0.16624246483590088</v>
          </cell>
          <cell r="G88">
            <v>0.5625</v>
          </cell>
          <cell r="H88">
            <v>-0.16468386579334304</v>
          </cell>
          <cell r="J88">
            <v>0.10689948892674606</v>
          </cell>
          <cell r="K88">
            <v>0.15640674874601013</v>
          </cell>
          <cell r="L88">
            <v>0.13080819202818761</v>
          </cell>
          <cell r="N88" t="str">
            <v>NM</v>
          </cell>
          <cell r="O88" t="str">
            <v>NM</v>
          </cell>
          <cell r="P88" t="str">
            <v>NM</v>
          </cell>
          <cell r="R88">
            <v>-0.17755102040816328</v>
          </cell>
          <cell r="S88">
            <v>0.13813813813813813</v>
          </cell>
          <cell r="T88">
            <v>-0.13977721882860228</v>
          </cell>
          <cell r="V88">
            <v>0.79760560198780217</v>
          </cell>
          <cell r="W88">
            <v>0.64095371669004186</v>
          </cell>
          <cell r="X88">
            <v>0.77587548638132309</v>
          </cell>
          <cell r="Z88">
            <v>-2.6072911859713832E-2</v>
          </cell>
          <cell r="AA88">
            <v>0.11283643892339557</v>
          </cell>
          <cell r="AB88">
            <v>-9.4321826070531412E-4</v>
          </cell>
          <cell r="AD88" t="str">
            <v>NM</v>
          </cell>
          <cell r="AE88" t="str">
            <v>NM</v>
          </cell>
          <cell r="AF88" t="str">
            <v>NM</v>
          </cell>
          <cell r="AH88" t="str">
            <v>Year</v>
          </cell>
          <cell r="AI88" t="str">
            <v>NM</v>
          </cell>
          <cell r="AJ88" t="str">
            <v>NM</v>
          </cell>
          <cell r="AK88" t="str">
            <v>NM</v>
          </cell>
          <cell r="AM88" t="str">
            <v>NM</v>
          </cell>
          <cell r="AN88" t="str">
            <v>NM</v>
          </cell>
          <cell r="AO88" t="str">
            <v>NM</v>
          </cell>
          <cell r="AQ88">
            <v>1.6393442622950838E-2</v>
          </cell>
          <cell r="AR88">
            <v>0.11000991080277522</v>
          </cell>
          <cell r="AS88">
            <v>6.79399727148704E-2</v>
          </cell>
          <cell r="AY88">
            <v>1.6838365896980458</v>
          </cell>
          <cell r="AZ88">
            <v>0.18575351316427113</v>
          </cell>
          <cell r="BA88">
            <v>0.41629082957496299</v>
          </cell>
          <cell r="BC88">
            <v>0.31498214414112136</v>
          </cell>
          <cell r="BD88">
            <v>0.27232871125611768</v>
          </cell>
          <cell r="BE88">
            <v>0.30134172386246938</v>
          </cell>
          <cell r="BK88" t="str">
            <v>NM</v>
          </cell>
          <cell r="BL88" t="str">
            <v>NM</v>
          </cell>
          <cell r="BM88" t="str">
            <v>NM</v>
          </cell>
          <cell r="BO88">
            <v>0.31498214414112136</v>
          </cell>
          <cell r="BP88">
            <v>0.27232871125611768</v>
          </cell>
          <cell r="BQ88">
            <v>0.30134172386246938</v>
          </cell>
          <cell r="BS88" t="str">
            <v>Year</v>
          </cell>
          <cell r="BT88">
            <v>5.6587091069849604E-2</v>
          </cell>
          <cell r="BU88">
            <v>6.6525260316236068E-2</v>
          </cell>
          <cell r="BV88">
            <v>6.3506981740064417E-2</v>
          </cell>
          <cell r="BX88">
            <v>0.11299606179945476</v>
          </cell>
          <cell r="BY88">
            <v>0.19519519519519513</v>
          </cell>
          <cell r="BZ88">
            <v>0.13209302325581418</v>
          </cell>
          <cell r="CB88">
            <v>7.2992700729925808E-3</v>
          </cell>
          <cell r="CC88">
            <v>8.4837545126353664E-2</v>
          </cell>
          <cell r="CD88">
            <v>5.1813471502590636E-2</v>
          </cell>
          <cell r="CF88" t="str">
            <v>NM</v>
          </cell>
          <cell r="CG88" t="str">
            <v>NM</v>
          </cell>
          <cell r="CH88" t="str">
            <v>NM</v>
          </cell>
          <cell r="CJ88">
            <v>1.3258897418004123E-2</v>
          </cell>
          <cell r="CK88">
            <v>3.8167938931297218E-3</v>
          </cell>
          <cell r="CL88">
            <v>1.1799410029498469E-2</v>
          </cell>
          <cell r="CN88" t="str">
            <v>NM</v>
          </cell>
          <cell r="CO88" t="str">
            <v>NM</v>
          </cell>
          <cell r="CP88" t="str">
            <v>NM</v>
          </cell>
          <cell r="CR88">
            <v>-8.0821917808219235E-2</v>
          </cell>
          <cell r="CS88">
            <v>-2.5641025641025661E-2</v>
          </cell>
          <cell r="CT88">
            <v>-7.5495049504950451E-2</v>
          </cell>
          <cell r="CV88" t="str">
            <v>Year</v>
          </cell>
          <cell r="CX88">
            <v>0.16724336793540928</v>
          </cell>
          <cell r="CY88">
            <v>0.14015151515151514</v>
          </cell>
          <cell r="CZ88">
            <v>0.16091954022988531</v>
          </cell>
          <cell r="DB88">
            <v>4.7619047619047672E-2</v>
          </cell>
          <cell r="DC88">
            <v>-3.9999999999999813E-2</v>
          </cell>
          <cell r="DD88">
            <v>4.2321644498185984E-2</v>
          </cell>
          <cell r="DF88" t="str">
            <v>NM</v>
          </cell>
          <cell r="DG88" t="str">
            <v>NM</v>
          </cell>
          <cell r="DH88" t="str">
            <v>NM</v>
          </cell>
          <cell r="DJ88">
            <v>0.55000000000000004</v>
          </cell>
          <cell r="DK88">
            <v>0.10475482912332845</v>
          </cell>
          <cell r="DL88">
            <v>0.27581227436823097</v>
          </cell>
          <cell r="DN88">
            <v>0.14070658439004546</v>
          </cell>
          <cell r="DO88">
            <v>5.3319435535599702E-2</v>
          </cell>
          <cell r="DP88">
            <v>0.10066497667070773</v>
          </cell>
          <cell r="DR88" t="str">
            <v>Year</v>
          </cell>
          <cell r="DS88">
            <v>5.006180469715682E-2</v>
          </cell>
          <cell r="DT88">
            <v>9.7792679519419501E-3</v>
          </cell>
          <cell r="DU88">
            <v>2.2320569559360903E-2</v>
          </cell>
          <cell r="DW88">
            <v>0.1029005524861879</v>
          </cell>
          <cell r="DX88">
            <v>1.6620498614958734E-3</v>
          </cell>
          <cell r="DY88">
            <v>4.6726098985552023E-2</v>
          </cell>
          <cell r="EA88">
            <v>-6.6666666666666541E-2</v>
          </cell>
          <cell r="EB88">
            <v>2.9498525073746507E-2</v>
          </cell>
          <cell r="EC88">
            <v>1.9576719576719581E-2</v>
          </cell>
          <cell r="EE88">
            <v>-2.7624309392265345E-2</v>
          </cell>
          <cell r="EF88">
            <v>-9.4808126410835247E-2</v>
          </cell>
          <cell r="EG88">
            <v>-8.6754966887417129E-2</v>
          </cell>
          <cell r="EI88">
            <v>4.1441441441441684E-2</v>
          </cell>
          <cell r="EJ88">
            <v>-9.0163934426229386E-2</v>
          </cell>
          <cell r="EK88">
            <v>2.8409090909090828E-2</v>
          </cell>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A90" t="str">
            <v>1999</v>
          </cell>
          <cell r="E90">
            <v>0</v>
          </cell>
          <cell r="I90">
            <v>0</v>
          </cell>
          <cell r="M90">
            <v>0</v>
          </cell>
          <cell r="Q90">
            <v>0</v>
          </cell>
          <cell r="U90">
            <v>0</v>
          </cell>
          <cell r="Y90">
            <v>0</v>
          </cell>
          <cell r="AH90" t="str">
            <v>1999</v>
          </cell>
          <cell r="AL90">
            <v>0</v>
          </cell>
          <cell r="AP90">
            <v>0</v>
          </cell>
          <cell r="AT90">
            <v>0</v>
          </cell>
          <cell r="AX90">
            <v>0</v>
          </cell>
          <cell r="BB90">
            <v>0</v>
          </cell>
          <cell r="BJ90">
            <v>0</v>
          </cell>
          <cell r="BS90" t="str">
            <v>1999</v>
          </cell>
          <cell r="BW90">
            <v>0</v>
          </cell>
          <cell r="CA90">
            <v>0</v>
          </cell>
          <cell r="CI90">
            <v>0</v>
          </cell>
          <cell r="CM90">
            <v>0</v>
          </cell>
          <cell r="CQ90">
            <v>0</v>
          </cell>
          <cell r="CV90" t="str">
            <v>1999</v>
          </cell>
          <cell r="CW90">
            <v>0</v>
          </cell>
          <cell r="DA90">
            <v>0</v>
          </cell>
          <cell r="DE90">
            <v>0</v>
          </cell>
          <cell r="DI90">
            <v>0</v>
          </cell>
          <cell r="DM90">
            <v>0</v>
          </cell>
          <cell r="DR90" t="str">
            <v>1999</v>
          </cell>
          <cell r="DV90">
            <v>0</v>
          </cell>
          <cell r="DZ90">
            <v>0</v>
          </cell>
          <cell r="ED90">
            <v>0</v>
          </cell>
          <cell r="EH90">
            <v>0</v>
          </cell>
          <cell r="EM90" t="str">
            <v>1999</v>
          </cell>
          <cell r="EQ90">
            <v>0</v>
          </cell>
          <cell r="EU90">
            <v>0</v>
          </cell>
          <cell r="EY90">
            <v>0</v>
          </cell>
          <cell r="FC90">
            <v>0</v>
          </cell>
        </row>
        <row r="91">
          <cell r="A91" t="str">
            <v xml:space="preserve"> 1Q</v>
          </cell>
          <cell r="B91">
            <v>532.9</v>
          </cell>
          <cell r="C91">
            <v>217.9</v>
          </cell>
          <cell r="D91">
            <v>750.8</v>
          </cell>
          <cell r="F91">
            <v>183.7</v>
          </cell>
          <cell r="G91">
            <v>0.4</v>
          </cell>
          <cell r="H91">
            <v>184.1</v>
          </cell>
          <cell r="J91">
            <v>51.6</v>
          </cell>
          <cell r="K91">
            <v>64.5</v>
          </cell>
          <cell r="L91">
            <v>116.1</v>
          </cell>
          <cell r="N91" t="str">
            <v>NM</v>
          </cell>
          <cell r="O91" t="str">
            <v>NM</v>
          </cell>
          <cell r="P91" t="str">
            <v>NM</v>
          </cell>
          <cell r="R91">
            <v>57.5</v>
          </cell>
          <cell r="S91">
            <v>8.4</v>
          </cell>
          <cell r="T91">
            <v>65.900000000000006</v>
          </cell>
          <cell r="V91">
            <v>151.6</v>
          </cell>
          <cell r="W91">
            <v>24.2</v>
          </cell>
          <cell r="X91">
            <v>175.79999999999998</v>
          </cell>
          <cell r="Z91">
            <v>112</v>
          </cell>
          <cell r="AA91">
            <v>34</v>
          </cell>
          <cell r="AB91">
            <v>146</v>
          </cell>
          <cell r="AD91" t="str">
            <v>NM</v>
          </cell>
          <cell r="AE91" t="str">
            <v>NM</v>
          </cell>
          <cell r="AF91" t="str">
            <v>NM</v>
          </cell>
          <cell r="AH91" t="str">
            <v xml:space="preserve"> 1Q</v>
          </cell>
          <cell r="AI91" t="str">
            <v>NM</v>
          </cell>
          <cell r="AJ91" t="str">
            <v>NM</v>
          </cell>
          <cell r="AK91" t="str">
            <v>NM</v>
          </cell>
          <cell r="AM91" t="str">
            <v>NM</v>
          </cell>
          <cell r="AN91" t="str">
            <v>NM</v>
          </cell>
          <cell r="AO91" t="str">
            <v>NM</v>
          </cell>
          <cell r="AQ91">
            <v>39.200000000000003</v>
          </cell>
          <cell r="AR91">
            <v>53.9</v>
          </cell>
          <cell r="AS91">
            <v>93.1</v>
          </cell>
          <cell r="AW91">
            <v>0</v>
          </cell>
          <cell r="AY91">
            <v>75.499999999999886</v>
          </cell>
          <cell r="AZ91">
            <v>202.90000000000012</v>
          </cell>
          <cell r="BA91">
            <v>278.39999999999998</v>
          </cell>
          <cell r="BC91">
            <v>1204</v>
          </cell>
          <cell r="BD91">
            <v>606.20000000000005</v>
          </cell>
          <cell r="BE91">
            <v>1810.2</v>
          </cell>
          <cell r="BK91">
            <v>0</v>
          </cell>
          <cell r="BL91">
            <v>0</v>
          </cell>
          <cell r="BM91">
            <v>0</v>
          </cell>
          <cell r="BO91">
            <v>1204</v>
          </cell>
          <cell r="BP91">
            <v>606.20000000000005</v>
          </cell>
          <cell r="BQ91">
            <v>1810.2</v>
          </cell>
          <cell r="BS91" t="str">
            <v xml:space="preserve"> 1Q</v>
          </cell>
          <cell r="BT91">
            <v>52.8</v>
          </cell>
          <cell r="BU91">
            <v>132.1</v>
          </cell>
          <cell r="BV91">
            <v>184.89999999999998</v>
          </cell>
          <cell r="BX91">
            <v>101</v>
          </cell>
          <cell r="BY91">
            <v>26.8</v>
          </cell>
          <cell r="BZ91">
            <v>127.8</v>
          </cell>
          <cell r="CB91">
            <v>19.7</v>
          </cell>
          <cell r="CC91">
            <v>30.5</v>
          </cell>
          <cell r="CD91">
            <v>50.2</v>
          </cell>
          <cell r="CF91">
            <v>41.3</v>
          </cell>
          <cell r="CG91">
            <v>0</v>
          </cell>
          <cell r="CH91">
            <v>41.3</v>
          </cell>
          <cell r="CJ91">
            <v>38.1</v>
          </cell>
          <cell r="CK91">
            <v>6.1</v>
          </cell>
          <cell r="CL91">
            <v>44.2</v>
          </cell>
          <cell r="CN91" t="str">
            <v>NM</v>
          </cell>
          <cell r="CO91" t="str">
            <v>NM</v>
          </cell>
          <cell r="CP91" t="str">
            <v>NM</v>
          </cell>
          <cell r="CR91">
            <v>15.7</v>
          </cell>
          <cell r="CS91">
            <v>0</v>
          </cell>
          <cell r="CT91">
            <v>15.7</v>
          </cell>
          <cell r="CV91" t="str">
            <v xml:space="preserve"> 1Q</v>
          </cell>
          <cell r="CX91">
            <v>27.4</v>
          </cell>
          <cell r="CY91">
            <v>7.7</v>
          </cell>
          <cell r="CZ91">
            <v>35.1</v>
          </cell>
          <cell r="DB91">
            <v>18.399999999999999</v>
          </cell>
          <cell r="DC91">
            <v>1.2</v>
          </cell>
          <cell r="DD91">
            <v>19.599999999999998</v>
          </cell>
          <cell r="DF91" t="str">
            <v>NM</v>
          </cell>
          <cell r="DG91" t="str">
            <v>NM</v>
          </cell>
          <cell r="DH91" t="str">
            <v>NM</v>
          </cell>
          <cell r="DJ91">
            <v>100.80000000000003</v>
          </cell>
          <cell r="DK91">
            <v>116.20000000000002</v>
          </cell>
          <cell r="DL91">
            <v>217.00000000000006</v>
          </cell>
          <cell r="DN91">
            <v>415.2</v>
          </cell>
          <cell r="DO91">
            <v>320.60000000000002</v>
          </cell>
          <cell r="DP91">
            <v>735.8</v>
          </cell>
          <cell r="DR91" t="str">
            <v xml:space="preserve"> 1Q</v>
          </cell>
          <cell r="DS91">
            <v>29.2</v>
          </cell>
          <cell r="DT91">
            <v>89.6</v>
          </cell>
          <cell r="DU91">
            <v>118.8</v>
          </cell>
          <cell r="DW91">
            <v>37.700000000000003</v>
          </cell>
          <cell r="DX91">
            <v>42.7</v>
          </cell>
          <cell r="DY91">
            <v>80.400000000000006</v>
          </cell>
          <cell r="EA91">
            <v>4.7</v>
          </cell>
          <cell r="EB91">
            <v>43.9</v>
          </cell>
          <cell r="EC91">
            <v>48.6</v>
          </cell>
          <cell r="EE91">
            <v>4.5999999999999996</v>
          </cell>
          <cell r="EF91">
            <v>34.700000000000003</v>
          </cell>
          <cell r="EG91">
            <v>39.300000000000004</v>
          </cell>
          <cell r="EI91">
            <v>27.8</v>
          </cell>
          <cell r="EJ91">
            <v>2.7</v>
          </cell>
          <cell r="EK91">
            <v>30.5</v>
          </cell>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A92" t="str">
            <v xml:space="preserve"> 2Q</v>
          </cell>
          <cell r="B92">
            <v>641.5</v>
          </cell>
          <cell r="C92">
            <v>244.4</v>
          </cell>
          <cell r="D92">
            <v>885.9</v>
          </cell>
          <cell r="F92">
            <v>170.7</v>
          </cell>
          <cell r="G92">
            <v>0.7</v>
          </cell>
          <cell r="H92">
            <v>171.39999999999998</v>
          </cell>
          <cell r="J92">
            <v>61.3</v>
          </cell>
          <cell r="K92">
            <v>65.2</v>
          </cell>
          <cell r="L92">
            <v>126.5</v>
          </cell>
          <cell r="N92" t="str">
            <v>NM</v>
          </cell>
          <cell r="O92" t="str">
            <v>NM</v>
          </cell>
          <cell r="P92" t="str">
            <v>NM</v>
          </cell>
          <cell r="R92">
            <v>44.3</v>
          </cell>
          <cell r="S92">
            <v>9.6</v>
          </cell>
          <cell r="T92">
            <v>53.9</v>
          </cell>
          <cell r="V92">
            <v>178.4</v>
          </cell>
          <cell r="W92">
            <v>27.7</v>
          </cell>
          <cell r="X92">
            <v>206.1</v>
          </cell>
          <cell r="Z92">
            <v>112.9</v>
          </cell>
          <cell r="AA92">
            <v>35.700000000000003</v>
          </cell>
          <cell r="AB92">
            <v>148.60000000000002</v>
          </cell>
          <cell r="AD92" t="str">
            <v>NM</v>
          </cell>
          <cell r="AE92" t="str">
            <v>NM</v>
          </cell>
          <cell r="AF92" t="str">
            <v>NM</v>
          </cell>
          <cell r="AH92" t="str">
            <v xml:space="preserve"> 2Q</v>
          </cell>
          <cell r="AI92" t="str">
            <v>NM</v>
          </cell>
          <cell r="AJ92" t="str">
            <v>NM</v>
          </cell>
          <cell r="AK92" t="str">
            <v>NM</v>
          </cell>
          <cell r="AM92" t="str">
            <v>NM</v>
          </cell>
          <cell r="AN92" t="str">
            <v>NM</v>
          </cell>
          <cell r="AO92" t="str">
            <v>NM</v>
          </cell>
          <cell r="AQ92">
            <v>42.1</v>
          </cell>
          <cell r="AR92">
            <v>57.5</v>
          </cell>
          <cell r="AS92">
            <v>99.6</v>
          </cell>
          <cell r="AW92">
            <v>0</v>
          </cell>
          <cell r="AY92">
            <v>63.200000000000273</v>
          </cell>
          <cell r="AZ92">
            <v>182.4</v>
          </cell>
          <cell r="BA92">
            <v>245.60000000000028</v>
          </cell>
          <cell r="BC92">
            <v>1314.4</v>
          </cell>
          <cell r="BD92">
            <v>623.20000000000005</v>
          </cell>
          <cell r="BE92">
            <v>1937.6000000000001</v>
          </cell>
          <cell r="BK92">
            <v>0</v>
          </cell>
          <cell r="BL92">
            <v>0</v>
          </cell>
          <cell r="BM92">
            <v>0</v>
          </cell>
          <cell r="BO92">
            <v>1314.4</v>
          </cell>
          <cell r="BP92">
            <v>623.20000000000005</v>
          </cell>
          <cell r="BQ92">
            <v>1937.6000000000001</v>
          </cell>
          <cell r="BS92" t="str">
            <v xml:space="preserve"> 2Q</v>
          </cell>
          <cell r="BT92">
            <v>58.1</v>
          </cell>
          <cell r="BU92">
            <v>136.19999999999999</v>
          </cell>
          <cell r="BV92">
            <v>194.29999999999998</v>
          </cell>
          <cell r="BX92">
            <v>83</v>
          </cell>
          <cell r="BY92">
            <v>29.4</v>
          </cell>
          <cell r="BZ92">
            <v>112.4</v>
          </cell>
          <cell r="CB92">
            <v>20.8</v>
          </cell>
          <cell r="CC92">
            <v>29.4</v>
          </cell>
          <cell r="CD92">
            <v>50.2</v>
          </cell>
          <cell r="CF92">
            <v>43.7</v>
          </cell>
          <cell r="CG92">
            <v>3</v>
          </cell>
          <cell r="CH92">
            <v>46.7</v>
          </cell>
          <cell r="CJ92">
            <v>25.5</v>
          </cell>
          <cell r="CK92">
            <v>6.6</v>
          </cell>
          <cell r="CL92">
            <v>32.1</v>
          </cell>
          <cell r="CN92" t="str">
            <v>NM</v>
          </cell>
          <cell r="CO92" t="str">
            <v>NM</v>
          </cell>
          <cell r="CP92" t="str">
            <v>NM</v>
          </cell>
          <cell r="CR92">
            <v>16.8</v>
          </cell>
          <cell r="CS92">
            <v>3.7</v>
          </cell>
          <cell r="CT92">
            <v>20.5</v>
          </cell>
          <cell r="CV92" t="str">
            <v xml:space="preserve"> 2Q</v>
          </cell>
          <cell r="CX92">
            <v>23.5</v>
          </cell>
          <cell r="CY92">
            <v>7.6</v>
          </cell>
          <cell r="CZ92">
            <v>31.1</v>
          </cell>
          <cell r="DB92">
            <v>24.8</v>
          </cell>
          <cell r="DC92">
            <v>2</v>
          </cell>
          <cell r="DD92">
            <v>26.8</v>
          </cell>
          <cell r="DF92" t="str">
            <v>NM</v>
          </cell>
          <cell r="DG92" t="str">
            <v>NM</v>
          </cell>
          <cell r="DH92" t="str">
            <v>NM</v>
          </cell>
          <cell r="DJ92">
            <v>114.69999999999996</v>
          </cell>
          <cell r="DK92">
            <v>101.70000000000002</v>
          </cell>
          <cell r="DL92">
            <v>216.39999999999998</v>
          </cell>
          <cell r="DN92">
            <v>410.9</v>
          </cell>
          <cell r="DO92">
            <v>319.60000000000002</v>
          </cell>
          <cell r="DP92">
            <v>730.5</v>
          </cell>
          <cell r="DR92" t="str">
            <v xml:space="preserve"> 2Q</v>
          </cell>
          <cell r="DS92">
            <v>22.3</v>
          </cell>
          <cell r="DT92">
            <v>85.5</v>
          </cell>
          <cell r="DU92">
            <v>107.8</v>
          </cell>
          <cell r="DW92">
            <v>45</v>
          </cell>
          <cell r="DX92">
            <v>49.4</v>
          </cell>
          <cell r="DY92">
            <v>94.4</v>
          </cell>
          <cell r="EA92">
            <v>4.7</v>
          </cell>
          <cell r="EB92">
            <v>44</v>
          </cell>
          <cell r="EC92">
            <v>48.7</v>
          </cell>
          <cell r="EE92">
            <v>4.3</v>
          </cell>
          <cell r="EF92">
            <v>29.4</v>
          </cell>
          <cell r="EG92">
            <v>33.699999999999996</v>
          </cell>
          <cell r="EI92">
            <v>29.9</v>
          </cell>
          <cell r="EJ92">
            <v>3</v>
          </cell>
          <cell r="EK92">
            <v>32.9</v>
          </cell>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A93" t="str">
            <v xml:space="preserve"> 3Q</v>
          </cell>
          <cell r="B93">
            <v>730.1</v>
          </cell>
          <cell r="C93">
            <v>251.4</v>
          </cell>
          <cell r="D93">
            <v>981.5</v>
          </cell>
          <cell r="F93">
            <v>133.19999999999999</v>
          </cell>
          <cell r="G93">
            <v>0.7</v>
          </cell>
          <cell r="H93">
            <v>133.89999999999998</v>
          </cell>
          <cell r="J93">
            <v>72.8</v>
          </cell>
          <cell r="K93">
            <v>62</v>
          </cell>
          <cell r="L93">
            <v>134.80000000000001</v>
          </cell>
          <cell r="N93" t="str">
            <v>NM</v>
          </cell>
          <cell r="O93" t="str">
            <v>NM</v>
          </cell>
          <cell r="P93" t="str">
            <v>NM</v>
          </cell>
          <cell r="R93">
            <v>48.7</v>
          </cell>
          <cell r="S93">
            <v>9.4</v>
          </cell>
          <cell r="T93">
            <v>58.1</v>
          </cell>
          <cell r="V93">
            <v>207.3</v>
          </cell>
          <cell r="W93">
            <v>29.5</v>
          </cell>
          <cell r="X93">
            <v>236.8</v>
          </cell>
          <cell r="Z93">
            <v>90.2</v>
          </cell>
          <cell r="AA93">
            <v>21.8</v>
          </cell>
          <cell r="AB93">
            <v>112</v>
          </cell>
          <cell r="AD93" t="str">
            <v>NM</v>
          </cell>
          <cell r="AE93" t="str">
            <v>NM</v>
          </cell>
          <cell r="AF93" t="str">
            <v>NM</v>
          </cell>
          <cell r="AH93" t="str">
            <v xml:space="preserve"> 3Q</v>
          </cell>
          <cell r="AI93" t="str">
            <v>NM</v>
          </cell>
          <cell r="AJ93" t="str">
            <v>NM</v>
          </cell>
          <cell r="AK93" t="str">
            <v>NM</v>
          </cell>
          <cell r="AM93" t="str">
            <v>NM</v>
          </cell>
          <cell r="AN93" t="str">
            <v>NM</v>
          </cell>
          <cell r="AO93" t="str">
            <v>NM</v>
          </cell>
          <cell r="AQ93">
            <v>42.6</v>
          </cell>
          <cell r="AR93">
            <v>55.1</v>
          </cell>
          <cell r="AS93">
            <v>97.7</v>
          </cell>
          <cell r="AW93">
            <v>0</v>
          </cell>
          <cell r="AY93">
            <v>76.500000000000114</v>
          </cell>
          <cell r="AZ93">
            <v>163.50000000000003</v>
          </cell>
          <cell r="BA93">
            <v>240.00000000000014</v>
          </cell>
          <cell r="BC93">
            <v>1401.4</v>
          </cell>
          <cell r="BD93">
            <v>593.4</v>
          </cell>
          <cell r="BE93">
            <v>1994.8000000000002</v>
          </cell>
          <cell r="BK93">
            <v>0</v>
          </cell>
          <cell r="BL93">
            <v>0</v>
          </cell>
          <cell r="BM93">
            <v>0</v>
          </cell>
          <cell r="BO93">
            <v>1401.4</v>
          </cell>
          <cell r="BP93">
            <v>593.4</v>
          </cell>
          <cell r="BQ93">
            <v>1994.8000000000002</v>
          </cell>
          <cell r="BS93" t="str">
            <v xml:space="preserve"> 3Q</v>
          </cell>
          <cell r="BT93">
            <v>71.599999999999994</v>
          </cell>
          <cell r="BU93">
            <v>140.30000000000001</v>
          </cell>
          <cell r="BV93">
            <v>211.9</v>
          </cell>
          <cell r="BX93">
            <v>83.4</v>
          </cell>
          <cell r="BY93">
            <v>32</v>
          </cell>
          <cell r="BZ93">
            <v>115.4</v>
          </cell>
          <cell r="CB93">
            <v>21.8</v>
          </cell>
          <cell r="CC93">
            <v>30</v>
          </cell>
          <cell r="CD93">
            <v>51.8</v>
          </cell>
          <cell r="CF93">
            <v>34.4</v>
          </cell>
          <cell r="CG93">
            <v>1.5</v>
          </cell>
          <cell r="CH93">
            <v>35.9</v>
          </cell>
          <cell r="CJ93">
            <v>34.9</v>
          </cell>
          <cell r="CK93">
            <v>6.8</v>
          </cell>
          <cell r="CL93">
            <v>41.699999999999996</v>
          </cell>
          <cell r="CN93" t="str">
            <v>NM</v>
          </cell>
          <cell r="CO93" t="str">
            <v>NM</v>
          </cell>
          <cell r="CP93" t="str">
            <v>NM</v>
          </cell>
          <cell r="CR93">
            <v>17.8</v>
          </cell>
          <cell r="CS93">
            <v>1.9</v>
          </cell>
          <cell r="CT93">
            <v>19.7</v>
          </cell>
          <cell r="CV93" t="str">
            <v xml:space="preserve"> 3Q</v>
          </cell>
          <cell r="CX93">
            <v>20.9</v>
          </cell>
          <cell r="CY93">
            <v>7.2</v>
          </cell>
          <cell r="CZ93">
            <v>28.099999999999998</v>
          </cell>
          <cell r="DB93">
            <v>21.2</v>
          </cell>
          <cell r="DC93">
            <v>0.7</v>
          </cell>
          <cell r="DD93">
            <v>21.9</v>
          </cell>
          <cell r="DF93" t="str">
            <v>NM</v>
          </cell>
          <cell r="DG93" t="str">
            <v>NM</v>
          </cell>
          <cell r="DH93" t="str">
            <v>NM</v>
          </cell>
          <cell r="DJ93">
            <v>121.40000000000003</v>
          </cell>
          <cell r="DK93">
            <v>113.5</v>
          </cell>
          <cell r="DL93">
            <v>234.90000000000003</v>
          </cell>
          <cell r="DN93">
            <v>427.4</v>
          </cell>
          <cell r="DO93">
            <v>333.9</v>
          </cell>
          <cell r="DP93">
            <v>761.3</v>
          </cell>
          <cell r="DR93" t="str">
            <v xml:space="preserve"> 3Q</v>
          </cell>
          <cell r="DS93">
            <v>40.1</v>
          </cell>
          <cell r="DT93">
            <v>89.7</v>
          </cell>
          <cell r="DU93">
            <v>129.80000000000001</v>
          </cell>
          <cell r="DW93">
            <v>33.6</v>
          </cell>
          <cell r="DX93">
            <v>42.7</v>
          </cell>
          <cell r="DY93">
            <v>76.300000000000011</v>
          </cell>
          <cell r="EA93">
            <v>4.2</v>
          </cell>
          <cell r="EB93">
            <v>42.2</v>
          </cell>
          <cell r="EC93">
            <v>46.400000000000006</v>
          </cell>
          <cell r="EE93">
            <v>4.9000000000000004</v>
          </cell>
          <cell r="EF93">
            <v>30</v>
          </cell>
          <cell r="EG93">
            <v>34.9</v>
          </cell>
          <cell r="EI93">
            <v>28.1</v>
          </cell>
          <cell r="EJ93">
            <v>2.6</v>
          </cell>
          <cell r="EK93">
            <v>30.700000000000003</v>
          </cell>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A94" t="str">
            <v xml:space="preserve"> 4Q</v>
          </cell>
          <cell r="B94">
            <v>808.7</v>
          </cell>
          <cell r="C94">
            <v>305.5</v>
          </cell>
          <cell r="D94">
            <v>1114.2</v>
          </cell>
          <cell r="F94">
            <v>134.80000000000001</v>
          </cell>
          <cell r="G94">
            <v>0.7</v>
          </cell>
          <cell r="H94">
            <v>135.5</v>
          </cell>
          <cell r="J94">
            <v>74.2</v>
          </cell>
          <cell r="K94">
            <v>61.9</v>
          </cell>
          <cell r="L94">
            <v>136.1</v>
          </cell>
          <cell r="N94" t="str">
            <v>NM</v>
          </cell>
          <cell r="O94" t="str">
            <v>NM</v>
          </cell>
          <cell r="P94" t="str">
            <v>NM</v>
          </cell>
          <cell r="R94">
            <v>51</v>
          </cell>
          <cell r="S94">
            <v>10.5</v>
          </cell>
          <cell r="T94">
            <v>61.5</v>
          </cell>
          <cell r="V94">
            <v>258.5</v>
          </cell>
          <cell r="W94">
            <v>35.6</v>
          </cell>
          <cell r="X94">
            <v>294.10000000000002</v>
          </cell>
          <cell r="Z94">
            <v>107</v>
          </cell>
          <cell r="AA94">
            <v>16</v>
          </cell>
          <cell r="AB94">
            <v>123</v>
          </cell>
          <cell r="AD94" t="str">
            <v>NM</v>
          </cell>
          <cell r="AE94" t="str">
            <v>NM</v>
          </cell>
          <cell r="AF94" t="str">
            <v>NM</v>
          </cell>
          <cell r="AH94" t="str">
            <v xml:space="preserve"> 4Q</v>
          </cell>
          <cell r="AI94" t="str">
            <v>NM</v>
          </cell>
          <cell r="AJ94" t="str">
            <v>NM</v>
          </cell>
          <cell r="AK94" t="str">
            <v>NM</v>
          </cell>
          <cell r="AM94" t="str">
            <v>NM</v>
          </cell>
          <cell r="AN94" t="str">
            <v>NM</v>
          </cell>
          <cell r="AO94" t="str">
            <v>NM</v>
          </cell>
          <cell r="AQ94">
            <v>43.5</v>
          </cell>
          <cell r="AR94">
            <v>57.5</v>
          </cell>
          <cell r="AS94">
            <v>101</v>
          </cell>
          <cell r="AU94">
            <v>2</v>
          </cell>
          <cell r="AV94">
            <v>0</v>
          </cell>
          <cell r="AW94">
            <v>2</v>
          </cell>
          <cell r="AY94">
            <v>87</v>
          </cell>
          <cell r="AZ94">
            <v>185.3</v>
          </cell>
          <cell r="BA94">
            <v>272.3</v>
          </cell>
          <cell r="BC94">
            <v>1566.7</v>
          </cell>
          <cell r="BD94">
            <v>673</v>
          </cell>
          <cell r="BE94">
            <v>2239.6999999999998</v>
          </cell>
          <cell r="BK94">
            <v>0</v>
          </cell>
          <cell r="BL94">
            <v>0</v>
          </cell>
          <cell r="BM94">
            <v>0</v>
          </cell>
          <cell r="BO94">
            <v>1566.7</v>
          </cell>
          <cell r="BP94">
            <v>673</v>
          </cell>
          <cell r="BQ94">
            <v>2239.6999999999998</v>
          </cell>
          <cell r="BS94" t="str">
            <v xml:space="preserve"> 4Q</v>
          </cell>
          <cell r="BT94">
            <v>56.5</v>
          </cell>
          <cell r="BU94">
            <v>144.5</v>
          </cell>
          <cell r="BV94">
            <v>201</v>
          </cell>
          <cell r="BX94">
            <v>100</v>
          </cell>
          <cell r="BY94">
            <v>31.2</v>
          </cell>
          <cell r="BZ94">
            <v>131.19999999999999</v>
          </cell>
          <cell r="CB94">
            <v>20.5</v>
          </cell>
          <cell r="CC94">
            <v>30.3</v>
          </cell>
          <cell r="CD94">
            <v>50.8</v>
          </cell>
          <cell r="CF94">
            <v>41.3</v>
          </cell>
          <cell r="CG94">
            <v>1.6</v>
          </cell>
          <cell r="CH94">
            <v>42.9</v>
          </cell>
          <cell r="CJ94">
            <v>46.7</v>
          </cell>
          <cell r="CK94">
            <v>6.8</v>
          </cell>
          <cell r="CL94">
            <v>53.5</v>
          </cell>
          <cell r="CN94" t="str">
            <v>NM</v>
          </cell>
          <cell r="CO94" t="str">
            <v>NM</v>
          </cell>
          <cell r="CP94" t="str">
            <v>NM</v>
          </cell>
          <cell r="CR94">
            <v>16.8</v>
          </cell>
          <cell r="CS94">
            <v>2</v>
          </cell>
          <cell r="CT94">
            <v>18.8</v>
          </cell>
          <cell r="CV94" t="str">
            <v xml:space="preserve"> 4Q</v>
          </cell>
          <cell r="CX94">
            <v>29.4</v>
          </cell>
          <cell r="CY94">
            <v>7.6</v>
          </cell>
          <cell r="CZ94">
            <v>37</v>
          </cell>
          <cell r="DB94">
            <v>17</v>
          </cell>
          <cell r="DC94">
            <v>0.9</v>
          </cell>
          <cell r="DD94">
            <v>17.899999999999999</v>
          </cell>
          <cell r="DF94" t="str">
            <v>NM</v>
          </cell>
          <cell r="DG94" t="str">
            <v>NM</v>
          </cell>
          <cell r="DH94" t="str">
            <v>NM</v>
          </cell>
          <cell r="DJ94">
            <v>100.5</v>
          </cell>
          <cell r="DK94">
            <v>114.69999999999999</v>
          </cell>
          <cell r="DL94">
            <v>215.2</v>
          </cell>
          <cell r="DN94">
            <v>428.7</v>
          </cell>
          <cell r="DO94">
            <v>339.6</v>
          </cell>
          <cell r="DP94">
            <v>768.3</v>
          </cell>
          <cell r="DR94" t="str">
            <v xml:space="preserve"> 4Q</v>
          </cell>
          <cell r="DS94">
            <v>78.3</v>
          </cell>
          <cell r="DT94">
            <v>96.6</v>
          </cell>
          <cell r="DU94">
            <v>174.89999999999998</v>
          </cell>
          <cell r="DW94">
            <v>43.4</v>
          </cell>
          <cell r="DX94">
            <v>46</v>
          </cell>
          <cell r="DY94">
            <v>89.4</v>
          </cell>
          <cell r="EA94">
            <v>4.5999999999999996</v>
          </cell>
          <cell r="EB94">
            <v>44.4</v>
          </cell>
          <cell r="EC94">
            <v>49</v>
          </cell>
          <cell r="EE94">
            <v>3.8</v>
          </cell>
          <cell r="EF94">
            <v>26.2</v>
          </cell>
          <cell r="EG94">
            <v>30</v>
          </cell>
          <cell r="EI94">
            <v>29.8</v>
          </cell>
          <cell r="EJ94">
            <v>2.8</v>
          </cell>
          <cell r="EK94">
            <v>32.6</v>
          </cell>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A96" t="str">
            <v>Year</v>
          </cell>
          <cell r="B96">
            <v>2713.2</v>
          </cell>
          <cell r="C96">
            <v>1019.2</v>
          </cell>
          <cell r="D96">
            <v>3732.3999999999996</v>
          </cell>
          <cell r="F96">
            <v>622.4</v>
          </cell>
          <cell r="G96">
            <v>2.5</v>
          </cell>
          <cell r="H96">
            <v>624.9</v>
          </cell>
          <cell r="J96">
            <v>259.89999999999998</v>
          </cell>
          <cell r="K96">
            <v>253.6</v>
          </cell>
          <cell r="L96">
            <v>513.5</v>
          </cell>
          <cell r="N96" t="str">
            <v>NM</v>
          </cell>
          <cell r="O96" t="str">
            <v>NM</v>
          </cell>
          <cell r="P96" t="str">
            <v>NM</v>
          </cell>
          <cell r="R96">
            <v>201.5</v>
          </cell>
          <cell r="S96">
            <v>37.9</v>
          </cell>
          <cell r="T96">
            <v>239.4</v>
          </cell>
          <cell r="V96">
            <v>795.8</v>
          </cell>
          <cell r="W96">
            <v>117</v>
          </cell>
          <cell r="X96">
            <v>912.80000000000007</v>
          </cell>
          <cell r="Z96">
            <v>422.1</v>
          </cell>
          <cell r="AA96">
            <v>107.5</v>
          </cell>
          <cell r="AB96">
            <v>529.6</v>
          </cell>
          <cell r="AD96" t="str">
            <v>NM</v>
          </cell>
          <cell r="AE96" t="str">
            <v>NM</v>
          </cell>
          <cell r="AF96" t="str">
            <v>NM</v>
          </cell>
          <cell r="AH96" t="str">
            <v>Year</v>
          </cell>
          <cell r="AI96" t="str">
            <v>NM</v>
          </cell>
          <cell r="AJ96" t="str">
            <v>NM</v>
          </cell>
          <cell r="AK96" t="str">
            <v>NM</v>
          </cell>
          <cell r="AM96" t="str">
            <v>NM</v>
          </cell>
          <cell r="AN96" t="str">
            <v>NM</v>
          </cell>
          <cell r="AO96" t="str">
            <v>NM</v>
          </cell>
          <cell r="AQ96">
            <v>167.4</v>
          </cell>
          <cell r="AR96">
            <v>224</v>
          </cell>
          <cell r="AS96">
            <v>391.4</v>
          </cell>
          <cell r="AU96">
            <v>2</v>
          </cell>
          <cell r="AV96">
            <v>0</v>
          </cell>
          <cell r="AW96">
            <v>2</v>
          </cell>
          <cell r="AY96">
            <v>302.20000000000027</v>
          </cell>
          <cell r="AZ96">
            <v>734.10000000000014</v>
          </cell>
          <cell r="BA96">
            <v>1036.3000000000004</v>
          </cell>
          <cell r="BC96">
            <v>5486.5</v>
          </cell>
          <cell r="BD96">
            <v>2495.8000000000002</v>
          </cell>
          <cell r="BE96">
            <v>7982.3</v>
          </cell>
          <cell r="BK96">
            <v>0</v>
          </cell>
          <cell r="BL96">
            <v>0</v>
          </cell>
          <cell r="BM96">
            <v>0</v>
          </cell>
          <cell r="BO96">
            <v>5486.5</v>
          </cell>
          <cell r="BP96">
            <v>2495.8000000000002</v>
          </cell>
          <cell r="BQ96">
            <v>7982.3</v>
          </cell>
          <cell r="BS96" t="str">
            <v>Year</v>
          </cell>
          <cell r="BT96">
            <v>239</v>
          </cell>
          <cell r="BU96">
            <v>553.09999999999991</v>
          </cell>
          <cell r="BV96">
            <v>792.09999999999991</v>
          </cell>
          <cell r="BX96">
            <v>367.4</v>
          </cell>
          <cell r="BY96">
            <v>119.4</v>
          </cell>
          <cell r="BZ96">
            <v>486.8</v>
          </cell>
          <cell r="CB96">
            <v>82.8</v>
          </cell>
          <cell r="CC96">
            <v>120.2</v>
          </cell>
          <cell r="CD96">
            <v>203</v>
          </cell>
          <cell r="CF96">
            <v>160.69999999999999</v>
          </cell>
          <cell r="CG96">
            <v>6.1</v>
          </cell>
          <cell r="CH96">
            <v>166.8</v>
          </cell>
          <cell r="CJ96">
            <v>145.19999999999999</v>
          </cell>
          <cell r="CK96">
            <v>26.3</v>
          </cell>
          <cell r="CL96">
            <v>171.5</v>
          </cell>
          <cell r="CN96" t="str">
            <v>NM</v>
          </cell>
          <cell r="CO96" t="str">
            <v>NM</v>
          </cell>
          <cell r="CP96" t="str">
            <v>NM</v>
          </cell>
          <cell r="CR96">
            <v>67.099999999999994</v>
          </cell>
          <cell r="CS96">
            <v>7.6</v>
          </cell>
          <cell r="CT96">
            <v>74.7</v>
          </cell>
          <cell r="CV96" t="str">
            <v>Year</v>
          </cell>
          <cell r="CX96">
            <v>101.19999999999999</v>
          </cell>
          <cell r="CY96">
            <v>30.1</v>
          </cell>
          <cell r="CZ96">
            <v>131.30000000000001</v>
          </cell>
          <cell r="DB96">
            <v>81.400000000000006</v>
          </cell>
          <cell r="DC96">
            <v>4.8000000000000007</v>
          </cell>
          <cell r="DD96">
            <v>86.199999999999989</v>
          </cell>
          <cell r="DF96" t="str">
            <v>NM</v>
          </cell>
          <cell r="DG96" t="str">
            <v>NM</v>
          </cell>
          <cell r="DH96" t="str">
            <v>NM</v>
          </cell>
          <cell r="DJ96">
            <v>437.40000000000003</v>
          </cell>
          <cell r="DK96">
            <v>446.1</v>
          </cell>
          <cell r="DL96">
            <v>883.5</v>
          </cell>
          <cell r="DN96">
            <v>1682.2</v>
          </cell>
          <cell r="DO96">
            <v>1313.7</v>
          </cell>
          <cell r="DP96">
            <v>2995.8999999999996</v>
          </cell>
          <cell r="DR96" t="str">
            <v>Year</v>
          </cell>
          <cell r="DS96">
            <v>169.89999999999998</v>
          </cell>
          <cell r="DT96">
            <v>361.4</v>
          </cell>
          <cell r="DU96">
            <v>531.29999999999995</v>
          </cell>
          <cell r="DW96">
            <v>159.70000000000002</v>
          </cell>
          <cell r="DX96">
            <v>180.8</v>
          </cell>
          <cell r="DY96">
            <v>340.5</v>
          </cell>
          <cell r="EA96">
            <v>18.200000000000003</v>
          </cell>
          <cell r="EB96">
            <v>174.50000000000003</v>
          </cell>
          <cell r="EC96">
            <v>192.70000000000002</v>
          </cell>
          <cell r="EE96">
            <v>17.599999999999998</v>
          </cell>
          <cell r="EF96">
            <v>120.3</v>
          </cell>
          <cell r="EG96">
            <v>137.9</v>
          </cell>
          <cell r="EI96">
            <v>115.60000000000001</v>
          </cell>
          <cell r="EJ96">
            <v>11.100000000000001</v>
          </cell>
          <cell r="EK96">
            <v>126.69999999999999</v>
          </cell>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A98" t="str">
            <v>2000E/99</v>
          </cell>
          <cell r="AH98" t="str">
            <v>2000E/99</v>
          </cell>
          <cell r="BS98" t="str">
            <v>2000E/99</v>
          </cell>
          <cell r="CV98" t="str">
            <v>2000E/99</v>
          </cell>
          <cell r="DR98" t="str">
            <v>2000E/99</v>
          </cell>
          <cell r="EM98" t="str">
            <v>2000E/99</v>
          </cell>
        </row>
        <row r="99">
          <cell r="A99" t="str">
            <v xml:space="preserve"> 1QA</v>
          </cell>
          <cell r="B99">
            <v>0.49502720960780655</v>
          </cell>
          <cell r="C99">
            <v>0.37723726480036723</v>
          </cell>
          <cell r="D99">
            <v>0.46084176877996841</v>
          </cell>
          <cell r="F99">
            <v>-0.43984757757212845</v>
          </cell>
          <cell r="G99">
            <v>0.25</v>
          </cell>
          <cell r="H99">
            <v>-0.43834872351982612</v>
          </cell>
          <cell r="J99">
            <v>0.35852713178294549</v>
          </cell>
          <cell r="K99">
            <v>-7.906976744186045E-2</v>
          </cell>
          <cell r="L99">
            <v>0.1154177433247201</v>
          </cell>
          <cell r="R99">
            <v>-0.14086956521739136</v>
          </cell>
          <cell r="S99">
            <v>4.7619047619047672E-2</v>
          </cell>
          <cell r="T99">
            <v>-0.11684370257966614</v>
          </cell>
          <cell r="V99">
            <v>0.74736147757255922</v>
          </cell>
          <cell r="W99">
            <v>0.49173553719008267</v>
          </cell>
          <cell r="X99">
            <v>0.71217292377701957</v>
          </cell>
          <cell r="Z99">
            <v>-9.1071428571428581E-2</v>
          </cell>
          <cell r="AA99">
            <v>-0.7382352941176471</v>
          </cell>
          <cell r="AB99">
            <v>-0.24178082191780825</v>
          </cell>
          <cell r="AH99" t="str">
            <v xml:space="preserve"> 1QA</v>
          </cell>
          <cell r="AQ99">
            <v>8.1632653061224358E-2</v>
          </cell>
          <cell r="AR99">
            <v>8.7198515769944418E-2</v>
          </cell>
          <cell r="AS99">
            <v>8.4854994629430802E-2</v>
          </cell>
          <cell r="AY99">
            <v>0.14304635761589513</v>
          </cell>
          <cell r="AZ99">
            <v>-0.15130606209955666</v>
          </cell>
          <cell r="BA99">
            <v>-7.147988505747116E-2</v>
          </cell>
          <cell r="BC99">
            <v>0.25789036544850497</v>
          </cell>
          <cell r="BD99">
            <v>6.3345430550973303E-2</v>
          </cell>
          <cell r="BE99">
            <v>0.19274113357640021</v>
          </cell>
          <cell r="BK99" t="str">
            <v>NA</v>
          </cell>
          <cell r="BL99" t="str">
            <v>NA</v>
          </cell>
          <cell r="BM99" t="str">
            <v>NA</v>
          </cell>
          <cell r="BO99">
            <v>0.25789036544850497</v>
          </cell>
          <cell r="BP99">
            <v>6.3345430550973303E-2</v>
          </cell>
          <cell r="BQ99">
            <v>0.19274113357640021</v>
          </cell>
          <cell r="BS99" t="str">
            <v xml:space="preserve"> 1QA</v>
          </cell>
          <cell r="BT99">
            <v>-2.6515151515151492E-2</v>
          </cell>
          <cell r="BU99">
            <v>1.2112036336108911E-2</v>
          </cell>
          <cell r="BV99">
            <v>1.0816657652785722E-3</v>
          </cell>
          <cell r="BX99">
            <v>-5.0495049504950429E-2</v>
          </cell>
          <cell r="BY99">
            <v>0.22761194029850729</v>
          </cell>
          <cell r="BZ99">
            <v>7.8247261345854024E-3</v>
          </cell>
          <cell r="CB99">
            <v>5.0761421319796884E-2</v>
          </cell>
          <cell r="CC99">
            <v>0</v>
          </cell>
          <cell r="CD99">
            <v>1.9920318725099584E-2</v>
          </cell>
          <cell r="CF99">
            <v>-0.26876513317191275</v>
          </cell>
          <cell r="CG99" t="str">
            <v>NA</v>
          </cell>
          <cell r="CH99">
            <v>-0.23002421307506049</v>
          </cell>
          <cell r="CJ99">
            <v>8.9238845144356871E-2</v>
          </cell>
          <cell r="CK99">
            <v>-3.2786885245901565E-2</v>
          </cell>
          <cell r="CL99">
            <v>7.2398190045248834E-2</v>
          </cell>
          <cell r="CR99">
            <v>0.11464968152866239</v>
          </cell>
          <cell r="CS99" t="str">
            <v>NA</v>
          </cell>
          <cell r="CT99">
            <v>0.22929936305732501</v>
          </cell>
          <cell r="CV99" t="str">
            <v xml:space="preserve"> 1QA</v>
          </cell>
          <cell r="CX99">
            <v>-5.4744525547445244E-2</v>
          </cell>
          <cell r="CY99">
            <v>1.298701298701288E-2</v>
          </cell>
          <cell r="CZ99">
            <v>-3.9886039886040003E-2</v>
          </cell>
          <cell r="DB99">
            <v>0.17391304347826098</v>
          </cell>
          <cell r="DC99">
            <v>0</v>
          </cell>
          <cell r="DD99">
            <v>0.16326530612244916</v>
          </cell>
          <cell r="DJ99">
            <v>9.5238095238095344E-2</v>
          </cell>
          <cell r="DK99">
            <v>8.6058519793459354E-3</v>
          </cell>
          <cell r="DL99">
            <v>4.8847926267280961E-2</v>
          </cell>
          <cell r="DN99">
            <v>-2.4084778420030428E-4</v>
          </cell>
          <cell r="DO99">
            <v>3.7429819089207728E-2</v>
          </cell>
          <cell r="DP99">
            <v>1.6172873063332593E-2</v>
          </cell>
          <cell r="DR99" t="str">
            <v xml:space="preserve"> 1QA</v>
          </cell>
          <cell r="DS99">
            <v>0.12671232876712324</v>
          </cell>
          <cell r="DT99">
            <v>0.11160714285714279</v>
          </cell>
          <cell r="DU99">
            <v>0.11531986531986527</v>
          </cell>
          <cell r="DW99">
            <v>0.15649867374005311</v>
          </cell>
          <cell r="DX99">
            <v>0.13348946135831374</v>
          </cell>
          <cell r="DY99">
            <v>0.14427860696517403</v>
          </cell>
          <cell r="EA99">
            <v>-0.21276595744680848</v>
          </cell>
          <cell r="EB99">
            <v>2.0501138952163878E-2</v>
          </cell>
          <cell r="EC99">
            <v>-2.057613168724326E-3</v>
          </cell>
          <cell r="EE99">
            <v>0.13043478260869579</v>
          </cell>
          <cell r="EF99">
            <v>-0.12103746397694537</v>
          </cell>
          <cell r="EG99">
            <v>-9.1603053435114545E-2</v>
          </cell>
          <cell r="EI99">
            <v>-0.37410071942446055</v>
          </cell>
          <cell r="EJ99">
            <v>-0.18518518518518512</v>
          </cell>
          <cell r="EK99">
            <v>-0.35737704918032798</v>
          </cell>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A100" t="str">
            <v xml:space="preserve"> 2QE</v>
          </cell>
          <cell r="B100">
            <v>0.35</v>
          </cell>
          <cell r="C100">
            <v>0.53</v>
          </cell>
          <cell r="D100">
            <v>0.39965797494073829</v>
          </cell>
          <cell r="F100" t="str">
            <v>NM</v>
          </cell>
          <cell r="G100">
            <v>0</v>
          </cell>
          <cell r="H100">
            <v>-1</v>
          </cell>
          <cell r="J100">
            <v>0.15</v>
          </cell>
          <cell r="K100">
            <v>0.04</v>
          </cell>
          <cell r="L100">
            <v>9.3304347826086875E-2</v>
          </cell>
          <cell r="R100">
            <v>-0.2</v>
          </cell>
          <cell r="S100">
            <v>0.03</v>
          </cell>
          <cell r="T100">
            <v>-0.15903525046382194</v>
          </cell>
          <cell r="V100">
            <v>0.53</v>
          </cell>
          <cell r="W100">
            <v>0.4</v>
          </cell>
          <cell r="X100">
            <v>0.51252789907811724</v>
          </cell>
          <cell r="Z100">
            <v>0.05</v>
          </cell>
          <cell r="AA100">
            <v>0.15</v>
          </cell>
          <cell r="AB100">
            <v>7.4024226110363411E-2</v>
          </cell>
          <cell r="AH100" t="str">
            <v xml:space="preserve"> 2QE</v>
          </cell>
          <cell r="AQ100">
            <v>0.05</v>
          </cell>
          <cell r="AR100">
            <v>0.03</v>
          </cell>
          <cell r="AS100">
            <v>3.84538152610443E-2</v>
          </cell>
          <cell r="AY100">
            <v>0.12</v>
          </cell>
          <cell r="AZ100">
            <v>3.5000000000000003E-2</v>
          </cell>
          <cell r="BA100">
            <v>5.6872964169381257E-2</v>
          </cell>
          <cell r="BC100">
            <v>0.12480675593426671</v>
          </cell>
          <cell r="BD100">
            <v>0.25075738125802305</v>
          </cell>
          <cell r="BE100">
            <v>0.1653168868703554</v>
          </cell>
          <cell r="BK100" t="str">
            <v>NA</v>
          </cell>
          <cell r="BL100" t="str">
            <v>NA</v>
          </cell>
          <cell r="BM100" t="str">
            <v>NA</v>
          </cell>
          <cell r="BO100">
            <v>0.12480675593426671</v>
          </cell>
          <cell r="BP100">
            <v>0.25075738125802305</v>
          </cell>
          <cell r="BQ100">
            <v>0.1653168868703554</v>
          </cell>
          <cell r="BS100" t="str">
            <v xml:space="preserve"> 2QE</v>
          </cell>
          <cell r="BT100">
            <v>0.05</v>
          </cell>
          <cell r="BU100">
            <v>0.06</v>
          </cell>
          <cell r="BV100">
            <v>5.7009778692743263E-2</v>
          </cell>
          <cell r="BX100">
            <v>0.08</v>
          </cell>
          <cell r="BY100">
            <v>0.1</v>
          </cell>
          <cell r="BZ100">
            <v>8.5231316725978612E-2</v>
          </cell>
          <cell r="CB100">
            <v>0.05</v>
          </cell>
          <cell r="CC100">
            <v>0.05</v>
          </cell>
          <cell r="CD100">
            <v>5.0000000000000044E-2</v>
          </cell>
          <cell r="CF100">
            <v>0.05</v>
          </cell>
          <cell r="CG100">
            <v>0.06</v>
          </cell>
          <cell r="CH100">
            <v>5.0642398286937951E-2</v>
          </cell>
          <cell r="CJ100">
            <v>0.02</v>
          </cell>
          <cell r="CK100">
            <v>0</v>
          </cell>
          <cell r="CL100">
            <v>1.5887850467289688E-2</v>
          </cell>
          <cell r="CR100">
            <v>-0.03</v>
          </cell>
          <cell r="CS100">
            <v>0</v>
          </cell>
          <cell r="CT100">
            <v>-2.4585365853658558E-2</v>
          </cell>
          <cell r="CV100" t="str">
            <v xml:space="preserve"> 2QE</v>
          </cell>
          <cell r="CX100">
            <v>0.15</v>
          </cell>
          <cell r="CY100">
            <v>0.05</v>
          </cell>
          <cell r="CZ100">
            <v>0.12556270096463007</v>
          </cell>
          <cell r="DB100">
            <v>0.06</v>
          </cell>
          <cell r="DC100">
            <v>0</v>
          </cell>
          <cell r="DD100">
            <v>5.5522388059701555E-2</v>
          </cell>
          <cell r="DJ100">
            <v>0.06</v>
          </cell>
          <cell r="DK100">
            <v>0.05</v>
          </cell>
          <cell r="DL100">
            <v>5.5300369685767237E-2</v>
          </cell>
          <cell r="DN100">
            <v>6.0041372596738807E-2</v>
          </cell>
          <cell r="DO100">
            <v>5.7030663329161291E-2</v>
          </cell>
          <cell r="DP100">
            <v>5.8724161533196373E-2</v>
          </cell>
          <cell r="DR100" t="str">
            <v xml:space="preserve"> 2QE</v>
          </cell>
          <cell r="DS100">
            <v>0.05</v>
          </cell>
          <cell r="DT100">
            <v>0.06</v>
          </cell>
          <cell r="DU100">
            <v>5.7931354359926024E-2</v>
          </cell>
          <cell r="DW100">
            <v>7.0000000000000007E-2</v>
          </cell>
          <cell r="DX100">
            <v>0.05</v>
          </cell>
          <cell r="DY100">
            <v>5.953389830508482E-2</v>
          </cell>
          <cell r="EA100">
            <v>-0.01</v>
          </cell>
          <cell r="EB100">
            <v>0.03</v>
          </cell>
          <cell r="EC100">
            <v>2.6139630390143553E-2</v>
          </cell>
          <cell r="EE100">
            <v>0.05</v>
          </cell>
          <cell r="EF100">
            <v>0.08</v>
          </cell>
          <cell r="EG100">
            <v>7.6172106824925923E-2</v>
          </cell>
          <cell r="EI100">
            <v>-0.1</v>
          </cell>
          <cell r="EJ100">
            <v>-0.03</v>
          </cell>
          <cell r="EK100">
            <v>-9.3617021276595658E-2</v>
          </cell>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A101" t="str">
            <v xml:space="preserve"> 3QE</v>
          </cell>
          <cell r="B101">
            <v>0.28000000000000003</v>
          </cell>
          <cell r="C101">
            <v>0.65</v>
          </cell>
          <cell r="D101">
            <v>0.37477126846663267</v>
          </cell>
          <cell r="F101" t="str">
            <v>NM</v>
          </cell>
          <cell r="G101">
            <v>0</v>
          </cell>
          <cell r="H101">
            <v>-1</v>
          </cell>
          <cell r="J101">
            <v>7.0000000000000007E-2</v>
          </cell>
          <cell r="K101">
            <v>0.08</v>
          </cell>
          <cell r="L101">
            <v>7.459940652818986E-2</v>
          </cell>
          <cell r="R101">
            <v>-0.2</v>
          </cell>
          <cell r="S101">
            <v>0.02</v>
          </cell>
          <cell r="T101">
            <v>-0.164406196213425</v>
          </cell>
          <cell r="V101">
            <v>0.5</v>
          </cell>
          <cell r="W101">
            <v>0.4</v>
          </cell>
          <cell r="X101">
            <v>0.48754222972972983</v>
          </cell>
          <cell r="Z101">
            <v>0.05</v>
          </cell>
          <cell r="AA101">
            <v>0.15</v>
          </cell>
          <cell r="AB101">
            <v>6.9464285714285756E-2</v>
          </cell>
          <cell r="AH101" t="str">
            <v xml:space="preserve"> 3QE</v>
          </cell>
          <cell r="AQ101">
            <v>0.05</v>
          </cell>
          <cell r="AR101">
            <v>0.03</v>
          </cell>
          <cell r="AS101">
            <v>3.8720573183213869E-2</v>
          </cell>
          <cell r="AY101">
            <v>0.12</v>
          </cell>
          <cell r="AZ101">
            <v>0.03</v>
          </cell>
          <cell r="BA101">
            <v>5.8687500000000004E-2</v>
          </cell>
          <cell r="BC101">
            <v>0.13276295133437999</v>
          </cell>
          <cell r="BD101">
            <v>0.31932254802831173</v>
          </cell>
          <cell r="BE101">
            <v>0.18825947463404846</v>
          </cell>
          <cell r="BK101" t="str">
            <v>NA</v>
          </cell>
          <cell r="BL101" t="str">
            <v>NA</v>
          </cell>
          <cell r="BM101" t="str">
            <v>NA</v>
          </cell>
          <cell r="BO101">
            <v>0.13847152847152855</v>
          </cell>
          <cell r="BP101">
            <v>0.31932254802831173</v>
          </cell>
          <cell r="BQ101">
            <v>0.19226990174453573</v>
          </cell>
          <cell r="BS101" t="str">
            <v xml:space="preserve"> 3QE</v>
          </cell>
          <cell r="BT101">
            <v>0.05</v>
          </cell>
          <cell r="BU101">
            <v>0.06</v>
          </cell>
          <cell r="BV101">
            <v>5.6621047663992563E-2</v>
          </cell>
          <cell r="BX101">
            <v>0.08</v>
          </cell>
          <cell r="BY101">
            <v>0.1</v>
          </cell>
          <cell r="BZ101">
            <v>8.5545927209705441E-2</v>
          </cell>
          <cell r="CB101">
            <v>0.04</v>
          </cell>
          <cell r="CC101">
            <v>0.05</v>
          </cell>
          <cell r="CD101">
            <v>4.5791505791505704E-2</v>
          </cell>
          <cell r="CF101">
            <v>0.05</v>
          </cell>
          <cell r="CG101">
            <v>0.06</v>
          </cell>
          <cell r="CH101">
            <v>5.0417827298050222E-2</v>
          </cell>
          <cell r="CJ101">
            <v>0.02</v>
          </cell>
          <cell r="CK101">
            <v>0</v>
          </cell>
          <cell r="CL101">
            <v>1.6738609112709746E-2</v>
          </cell>
          <cell r="CR101">
            <v>-0.02</v>
          </cell>
          <cell r="CS101">
            <v>0</v>
          </cell>
          <cell r="CT101">
            <v>-1.8071065989847757E-2</v>
          </cell>
          <cell r="CV101" t="str">
            <v xml:space="preserve"> 3QE</v>
          </cell>
          <cell r="CX101">
            <v>0.1</v>
          </cell>
          <cell r="CY101">
            <v>0.05</v>
          </cell>
          <cell r="CZ101">
            <v>8.7188612099644347E-2</v>
          </cell>
          <cell r="DB101">
            <v>7.0000000000000007E-2</v>
          </cell>
          <cell r="DC101">
            <v>0</v>
          </cell>
          <cell r="DD101">
            <v>6.7762557077625685E-2</v>
          </cell>
          <cell r="DJ101">
            <v>0.06</v>
          </cell>
          <cell r="DK101">
            <v>0.05</v>
          </cell>
          <cell r="DL101">
            <v>5.5168156662409595E-2</v>
          </cell>
          <cell r="DN101">
            <v>5.6256434253626697E-2</v>
          </cell>
          <cell r="DO101">
            <v>5.7631027253668865E-2</v>
          </cell>
          <cell r="DP101">
            <v>5.6859319584920742E-2</v>
          </cell>
          <cell r="DR101" t="str">
            <v xml:space="preserve"> 3QE</v>
          </cell>
          <cell r="DS101">
            <v>0.05</v>
          </cell>
          <cell r="DT101">
            <v>0.06</v>
          </cell>
          <cell r="DU101">
            <v>5.6910631741140305E-2</v>
          </cell>
          <cell r="DW101">
            <v>0.13</v>
          </cell>
          <cell r="DX101">
            <v>0.05</v>
          </cell>
          <cell r="DY101">
            <v>8.5229357798164873E-2</v>
          </cell>
          <cell r="EA101">
            <v>-0.01</v>
          </cell>
          <cell r="EB101">
            <v>0.03</v>
          </cell>
          <cell r="EC101">
            <v>2.6379310344827545E-2</v>
          </cell>
          <cell r="EE101">
            <v>0.05</v>
          </cell>
          <cell r="EF101">
            <v>0.08</v>
          </cell>
          <cell r="EG101">
            <v>7.578796561604606E-2</v>
          </cell>
          <cell r="EI101">
            <v>0.05</v>
          </cell>
          <cell r="EJ101">
            <v>-0.03</v>
          </cell>
          <cell r="EK101">
            <v>4.3224755700325579E-2</v>
          </cell>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A102" t="str">
            <v xml:space="preserve"> 4QE</v>
          </cell>
          <cell r="B102">
            <v>0.21697910226289108</v>
          </cell>
          <cell r="C102">
            <v>0.60693289689034469</v>
          </cell>
          <cell r="D102">
            <v>0.32389965894812445</v>
          </cell>
          <cell r="F102" t="str">
            <v>NM</v>
          </cell>
          <cell r="G102">
            <v>0</v>
          </cell>
          <cell r="H102">
            <v>-1</v>
          </cell>
          <cell r="J102">
            <v>4.8450134770889886E-2</v>
          </cell>
          <cell r="K102">
            <v>0.12400646203554122</v>
          </cell>
          <cell r="L102">
            <v>8.2814107274063575E-2</v>
          </cell>
          <cell r="R102">
            <v>-0.26666666666666661</v>
          </cell>
          <cell r="S102">
            <v>2.4857142857142467E-2</v>
          </cell>
          <cell r="T102">
            <v>-0.21689430894308936</v>
          </cell>
          <cell r="V102">
            <v>0.33422823984526029</v>
          </cell>
          <cell r="W102">
            <v>0.40567134831460705</v>
          </cell>
          <cell r="X102">
            <v>0.34287623257395361</v>
          </cell>
          <cell r="Z102">
            <v>0.1976635514018692</v>
          </cell>
          <cell r="AA102">
            <v>2.0374999999999992</v>
          </cell>
          <cell r="AB102">
            <v>0.43699186991869921</v>
          </cell>
          <cell r="AH102" t="str">
            <v xml:space="preserve"> 4QE</v>
          </cell>
          <cell r="AQ102">
            <v>2.149425287356288E-2</v>
          </cell>
          <cell r="AR102">
            <v>-2.3617391304347701E-2</v>
          </cell>
          <cell r="AS102">
            <v>-4.1881188118811918E-3</v>
          </cell>
          <cell r="AY102">
            <v>0.37788505747126333</v>
          </cell>
          <cell r="AZ102">
            <v>0.30283864004317373</v>
          </cell>
          <cell r="BA102">
            <v>0.32681601175174446</v>
          </cell>
          <cell r="BC102">
            <v>0.10852428671730396</v>
          </cell>
          <cell r="BD102">
            <v>0.43752585438335867</v>
          </cell>
          <cell r="BE102">
            <v>0.20738487297405928</v>
          </cell>
          <cell r="BK102" t="str">
            <v>NA</v>
          </cell>
          <cell r="BL102" t="str">
            <v>NA</v>
          </cell>
          <cell r="BM102" t="str">
            <v>NA</v>
          </cell>
          <cell r="BO102">
            <v>0.13533222697389413</v>
          </cell>
          <cell r="BP102">
            <v>0.43752585438335867</v>
          </cell>
          <cell r="BQ102">
            <v>0.22613738447113496</v>
          </cell>
          <cell r="BS102" t="str">
            <v xml:space="preserve"> 4QE</v>
          </cell>
          <cell r="BT102">
            <v>0.12150442477876156</v>
          </cell>
          <cell r="BU102">
            <v>0.10377854671280229</v>
          </cell>
          <cell r="BV102">
            <v>0.10876119402985052</v>
          </cell>
          <cell r="BX102">
            <v>0.21179999999999932</v>
          </cell>
          <cell r="BY102">
            <v>-4.7884615384615303E-2</v>
          </cell>
          <cell r="BZ102">
            <v>0.15004573170731672</v>
          </cell>
          <cell r="CB102">
            <v>1.9512195121950571E-2</v>
          </cell>
          <cell r="CC102">
            <v>0.14000000000000012</v>
          </cell>
          <cell r="CD102">
            <v>9.1377952755905545E-2</v>
          </cell>
          <cell r="CF102">
            <v>0.36876513317191284</v>
          </cell>
          <cell r="CG102">
            <v>-0.94000000000000039</v>
          </cell>
          <cell r="CH102">
            <v>0.3199533799533798</v>
          </cell>
          <cell r="CJ102">
            <v>-3.648822269807328E-2</v>
          </cell>
          <cell r="CK102">
            <v>2.9411764705882248E-2</v>
          </cell>
          <cell r="CL102">
            <v>-2.8112149532710684E-2</v>
          </cell>
          <cell r="CR102">
            <v>-0.15580357142857137</v>
          </cell>
          <cell r="CS102">
            <v>-0.90000000000000013</v>
          </cell>
          <cell r="CT102">
            <v>-0.23497340425531921</v>
          </cell>
          <cell r="CV102" t="str">
            <v xml:space="preserve"> 4QE</v>
          </cell>
          <cell r="CX102">
            <v>0.20425170068027176</v>
          </cell>
          <cell r="CY102">
            <v>8.7500000000000355E-2</v>
          </cell>
          <cell r="CZ102">
            <v>0.18027027027026987</v>
          </cell>
          <cell r="DB102">
            <v>-7.57647058823534E-2</v>
          </cell>
          <cell r="DC102">
            <v>0</v>
          </cell>
          <cell r="DD102">
            <v>-7.1955307262570045E-2</v>
          </cell>
          <cell r="DJ102">
            <v>2.4656716417910562E-2</v>
          </cell>
          <cell r="DK102">
            <v>9.1935483870967838E-2</v>
          </cell>
          <cell r="DL102">
            <v>6.0515799256505742E-2</v>
          </cell>
          <cell r="DN102">
            <v>0.1085805924889196</v>
          </cell>
          <cell r="DO102">
            <v>7.6118963486454305E-2</v>
          </cell>
          <cell r="DP102">
            <v>9.4232070805674528E-2</v>
          </cell>
          <cell r="DR102" t="str">
            <v xml:space="preserve"> 4QE</v>
          </cell>
          <cell r="DS102">
            <v>2.1392081736908874E-2</v>
          </cell>
          <cell r="DT102">
            <v>1.2132505175983743E-2</v>
          </cell>
          <cell r="DU102">
            <v>1.6277873070326132E-2</v>
          </cell>
          <cell r="DW102">
            <v>2.2004608294931227E-2</v>
          </cell>
          <cell r="DX102">
            <v>-2.7500000000000302E-2</v>
          </cell>
          <cell r="DY102">
            <v>-3.4675615212528266E-3</v>
          </cell>
          <cell r="EA102">
            <v>0.19717391304347931</v>
          </cell>
          <cell r="EB102">
            <v>4.4397700331911372E-2</v>
          </cell>
          <cell r="EC102">
            <v>5.8739957035446322E-2</v>
          </cell>
          <cell r="EE102">
            <v>-4.7368421052632392E-2</v>
          </cell>
          <cell r="EF102">
            <v>0.34625954198473297</v>
          </cell>
          <cell r="EG102">
            <v>0.2964</v>
          </cell>
          <cell r="EI102">
            <v>-0.17969798657718072</v>
          </cell>
          <cell r="EJ102">
            <v>7.1428571428633347E-4</v>
          </cell>
          <cell r="EK102">
            <v>-0.16420245398772959</v>
          </cell>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3">
          <cell r="CS103">
            <v>0</v>
          </cell>
        </row>
        <row r="104">
          <cell r="A104" t="str">
            <v>Year</v>
          </cell>
          <cell r="B104">
            <v>0.32</v>
          </cell>
          <cell r="C104">
            <v>0.55000000000000004</v>
          </cell>
          <cell r="D104">
            <v>0.38280570142535653</v>
          </cell>
          <cell r="F104" t="str">
            <v>NM</v>
          </cell>
          <cell r="G104">
            <v>0</v>
          </cell>
          <cell r="H104">
            <v>-0.83453352536405823</v>
          </cell>
          <cell r="J104">
            <v>0.14000000000000001</v>
          </cell>
          <cell r="K104">
            <v>0.04</v>
          </cell>
          <cell r="L104">
            <v>9.0613437195715685E-2</v>
          </cell>
          <cell r="R104">
            <v>-0.2</v>
          </cell>
          <cell r="S104">
            <v>0.03</v>
          </cell>
          <cell r="T104">
            <v>-0.16358813700918962</v>
          </cell>
          <cell r="V104">
            <v>0.5</v>
          </cell>
          <cell r="W104">
            <v>0.42070000000000002</v>
          </cell>
          <cell r="X104">
            <v>0.48983556091148084</v>
          </cell>
          <cell r="Z104">
            <v>0.05</v>
          </cell>
          <cell r="AA104">
            <v>0.15</v>
          </cell>
          <cell r="AB104">
            <v>7.0298338368580016E-2</v>
          </cell>
          <cell r="AH104" t="str">
            <v>Year</v>
          </cell>
          <cell r="AQ104">
            <v>0.05</v>
          </cell>
          <cell r="AR104">
            <v>0.03</v>
          </cell>
          <cell r="AS104">
            <v>3.8553909044455992E-2</v>
          </cell>
          <cell r="AY104">
            <v>0.2</v>
          </cell>
          <cell r="AZ104">
            <v>0.05</v>
          </cell>
          <cell r="BA104">
            <v>9.3742159606291731E-2</v>
          </cell>
          <cell r="BC104">
            <v>0.15139433154105553</v>
          </cell>
          <cell r="BD104">
            <v>0.2719019552848787</v>
          </cell>
          <cell r="BE104">
            <v>0.18907306164889826</v>
          </cell>
          <cell r="BK104" t="str">
            <v>NA</v>
          </cell>
          <cell r="BL104" t="str">
            <v>NA</v>
          </cell>
          <cell r="BM104" t="str">
            <v>NA</v>
          </cell>
          <cell r="BO104">
            <v>0.1605076095871687</v>
          </cell>
          <cell r="BP104">
            <v>0.2719019552848787</v>
          </cell>
          <cell r="BQ104">
            <v>0.19533692043646589</v>
          </cell>
          <cell r="BS104" t="str">
            <v>Year</v>
          </cell>
          <cell r="BT104">
            <v>0.05</v>
          </cell>
          <cell r="BU104">
            <v>0.06</v>
          </cell>
          <cell r="BV104">
            <v>5.6982704204014745E-2</v>
          </cell>
          <cell r="BX104">
            <v>0.08</v>
          </cell>
          <cell r="BY104">
            <v>0.09</v>
          </cell>
          <cell r="BZ104">
            <v>8.2452752670501228E-2</v>
          </cell>
          <cell r="CB104">
            <v>0.04</v>
          </cell>
          <cell r="CC104">
            <v>0.06</v>
          </cell>
          <cell r="CD104">
            <v>5.1842364532019625E-2</v>
          </cell>
          <cell r="CF104">
            <v>0.05</v>
          </cell>
          <cell r="CG104">
            <v>0.06</v>
          </cell>
          <cell r="CH104">
            <v>5.0365707434052664E-2</v>
          </cell>
          <cell r="CJ104">
            <v>0.02</v>
          </cell>
          <cell r="CK104">
            <v>0</v>
          </cell>
          <cell r="CL104">
            <v>1.6932944606413924E-2</v>
          </cell>
          <cell r="CR104">
            <v>-2.5000000000000001E-2</v>
          </cell>
          <cell r="CS104">
            <v>0</v>
          </cell>
          <cell r="CT104">
            <v>-2.2456492637215608E-2</v>
          </cell>
          <cell r="CV104" t="str">
            <v>Year</v>
          </cell>
          <cell r="CX104">
            <v>0.1</v>
          </cell>
          <cell r="CY104">
            <v>0.05</v>
          </cell>
          <cell r="CZ104">
            <v>8.8537699923838531E-2</v>
          </cell>
          <cell r="DB104">
            <v>0.06</v>
          </cell>
          <cell r="DC104">
            <v>0</v>
          </cell>
          <cell r="DD104">
            <v>5.6658932714617416E-2</v>
          </cell>
          <cell r="DJ104">
            <v>0.06</v>
          </cell>
          <cell r="DK104">
            <v>0.05</v>
          </cell>
          <cell r="DL104">
            <v>5.495076400679122E-2</v>
          </cell>
          <cell r="DN104">
            <v>5.6570859588633837E-2</v>
          </cell>
          <cell r="DO104">
            <v>5.7334246783892873E-2</v>
          </cell>
          <cell r="DP104">
            <v>5.6905604325912185E-2</v>
          </cell>
          <cell r="DR104" t="str">
            <v>Year</v>
          </cell>
          <cell r="DS104">
            <v>0.05</v>
          </cell>
          <cell r="DT104">
            <v>0.06</v>
          </cell>
          <cell r="DU104">
            <v>5.6802183323922728E-2</v>
          </cell>
          <cell r="DW104">
            <v>0.09</v>
          </cell>
          <cell r="DX104">
            <v>0.05</v>
          </cell>
          <cell r="DY104">
            <v>1.5743524229074879E-2</v>
          </cell>
          <cell r="EA104">
            <v>-0.01</v>
          </cell>
          <cell r="EB104">
            <v>3.127368421052612E-2</v>
          </cell>
          <cell r="EC104">
            <v>2.737549504274428E-2</v>
          </cell>
          <cell r="EE104">
            <v>0.05</v>
          </cell>
          <cell r="EF104">
            <v>0.08</v>
          </cell>
          <cell r="EG104">
            <v>7.617113850616386E-2</v>
          </cell>
          <cell r="EI104">
            <v>-0.15</v>
          </cell>
          <cell r="EJ104">
            <v>-0.06</v>
          </cell>
          <cell r="EK104">
            <v>-0.14211523283346483</v>
          </cell>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A106" t="str">
            <v>2000E</v>
          </cell>
          <cell r="AH106" t="str">
            <v>2000E</v>
          </cell>
          <cell r="BS106" t="str">
            <v>2000E</v>
          </cell>
          <cell r="CV106" t="str">
            <v>2000E</v>
          </cell>
          <cell r="DR106" t="str">
            <v>2000E</v>
          </cell>
          <cell r="EM106" t="str">
            <v>2000E</v>
          </cell>
        </row>
        <row r="107">
          <cell r="A107" t="str">
            <v xml:space="preserve"> 1QA</v>
          </cell>
          <cell r="B107">
            <v>796.7</v>
          </cell>
          <cell r="C107">
            <v>300.10000000000002</v>
          </cell>
          <cell r="D107">
            <v>1096.8000000000002</v>
          </cell>
          <cell r="F107">
            <v>102.9</v>
          </cell>
          <cell r="G107">
            <v>0.5</v>
          </cell>
          <cell r="H107">
            <v>103.4</v>
          </cell>
          <cell r="J107">
            <v>70.099999999999994</v>
          </cell>
          <cell r="K107">
            <v>59.4</v>
          </cell>
          <cell r="L107">
            <v>129.5</v>
          </cell>
          <cell r="R107">
            <v>49.4</v>
          </cell>
          <cell r="S107">
            <v>8.8000000000000007</v>
          </cell>
          <cell r="T107">
            <v>58.2</v>
          </cell>
          <cell r="V107">
            <v>264.89999999999998</v>
          </cell>
          <cell r="W107">
            <v>36.1</v>
          </cell>
          <cell r="X107">
            <v>301</v>
          </cell>
          <cell r="Z107">
            <v>101.8</v>
          </cell>
          <cell r="AA107">
            <v>8.9</v>
          </cell>
          <cell r="AB107">
            <v>110.7</v>
          </cell>
          <cell r="AH107" t="str">
            <v xml:space="preserve"> 1QA</v>
          </cell>
          <cell r="AQ107">
            <v>42.4</v>
          </cell>
          <cell r="AR107">
            <v>58.6</v>
          </cell>
          <cell r="AS107">
            <v>101</v>
          </cell>
          <cell r="AY107">
            <v>86.299999999999955</v>
          </cell>
          <cell r="AZ107">
            <v>172.20000000000005</v>
          </cell>
          <cell r="BA107">
            <v>258.5</v>
          </cell>
          <cell r="BC107">
            <v>1514.5</v>
          </cell>
          <cell r="BD107">
            <v>644.6</v>
          </cell>
          <cell r="BE107">
            <v>2159.1</v>
          </cell>
          <cell r="BK107">
            <v>0</v>
          </cell>
          <cell r="BL107">
            <v>0</v>
          </cell>
          <cell r="BM107">
            <v>0</v>
          </cell>
          <cell r="BO107">
            <v>1514.5</v>
          </cell>
          <cell r="BP107">
            <v>644.6</v>
          </cell>
          <cell r="BQ107">
            <v>2159.1</v>
          </cell>
          <cell r="BS107" t="str">
            <v xml:space="preserve"> 1QA</v>
          </cell>
          <cell r="BT107">
            <v>51.4</v>
          </cell>
          <cell r="BU107">
            <v>133.69999999999999</v>
          </cell>
          <cell r="BV107">
            <v>185.1</v>
          </cell>
          <cell r="BX107">
            <v>95.9</v>
          </cell>
          <cell r="BY107">
            <v>32.9</v>
          </cell>
          <cell r="BZ107">
            <v>128.80000000000001</v>
          </cell>
          <cell r="CB107">
            <v>20.7</v>
          </cell>
          <cell r="CC107">
            <v>30.5</v>
          </cell>
          <cell r="CD107">
            <v>51.2</v>
          </cell>
          <cell r="CF107">
            <v>30.2</v>
          </cell>
          <cell r="CG107">
            <v>1.6</v>
          </cell>
          <cell r="CH107">
            <v>31.8</v>
          </cell>
          <cell r="CJ107">
            <v>41.5</v>
          </cell>
          <cell r="CK107">
            <v>5.9</v>
          </cell>
          <cell r="CL107">
            <v>47.4</v>
          </cell>
          <cell r="CR107">
            <v>17.5</v>
          </cell>
          <cell r="CS107">
            <v>1.8</v>
          </cell>
          <cell r="CT107">
            <v>19.3</v>
          </cell>
          <cell r="CV107" t="str">
            <v xml:space="preserve"> 1QA</v>
          </cell>
          <cell r="CX107">
            <v>25.9</v>
          </cell>
          <cell r="CY107">
            <v>7.8</v>
          </cell>
          <cell r="CZ107">
            <v>33.699999999999996</v>
          </cell>
          <cell r="DB107">
            <v>21.6</v>
          </cell>
          <cell r="DC107">
            <v>1.2</v>
          </cell>
          <cell r="DD107">
            <v>22.8</v>
          </cell>
          <cell r="DJ107">
            <v>110.40000000000003</v>
          </cell>
          <cell r="DK107">
            <v>117.20000000000002</v>
          </cell>
          <cell r="DL107">
            <v>227.60000000000005</v>
          </cell>
          <cell r="DN107">
            <v>415.1</v>
          </cell>
          <cell r="DO107">
            <v>332.6</v>
          </cell>
          <cell r="DP107">
            <v>747.7</v>
          </cell>
          <cell r="DR107" t="str">
            <v xml:space="preserve"> 1QA</v>
          </cell>
          <cell r="DS107">
            <v>32.9</v>
          </cell>
          <cell r="DT107">
            <v>99.6</v>
          </cell>
          <cell r="DU107">
            <v>132.5</v>
          </cell>
          <cell r="DW107">
            <v>43.6</v>
          </cell>
          <cell r="DX107">
            <v>48.4</v>
          </cell>
          <cell r="DY107">
            <v>92</v>
          </cell>
          <cell r="EA107">
            <v>3.7</v>
          </cell>
          <cell r="EB107">
            <v>44.8</v>
          </cell>
          <cell r="EC107">
            <v>48.5</v>
          </cell>
          <cell r="EE107">
            <v>5.2</v>
          </cell>
          <cell r="EF107">
            <v>30.5</v>
          </cell>
          <cell r="EG107">
            <v>35.700000000000003</v>
          </cell>
          <cell r="EI107">
            <v>17.399999999999999</v>
          </cell>
          <cell r="EJ107">
            <v>2.2000000000000002</v>
          </cell>
          <cell r="EK107">
            <v>19.599999999999998</v>
          </cell>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A108" t="str">
            <v xml:space="preserve"> 2QE</v>
          </cell>
          <cell r="B108">
            <v>866.02500000000009</v>
          </cell>
          <cell r="C108">
            <v>373.93200000000002</v>
          </cell>
          <cell r="D108">
            <v>1239.9570000000001</v>
          </cell>
          <cell r="F108">
            <v>0</v>
          </cell>
          <cell r="G108">
            <v>0</v>
          </cell>
          <cell r="H108">
            <v>0</v>
          </cell>
          <cell r="J108">
            <v>70.49499999999999</v>
          </cell>
          <cell r="K108">
            <v>67.808000000000007</v>
          </cell>
          <cell r="L108">
            <v>138.303</v>
          </cell>
          <cell r="R108">
            <v>35.44</v>
          </cell>
          <cell r="S108">
            <v>9.8879999999999999</v>
          </cell>
          <cell r="T108">
            <v>45.327999999999996</v>
          </cell>
          <cell r="V108">
            <v>272.952</v>
          </cell>
          <cell r="W108">
            <v>38.779999999999994</v>
          </cell>
          <cell r="X108">
            <v>311.73199999999997</v>
          </cell>
          <cell r="Z108">
            <v>118.54500000000002</v>
          </cell>
          <cell r="AA108">
            <v>41.055</v>
          </cell>
          <cell r="AB108">
            <v>159.60000000000002</v>
          </cell>
          <cell r="AH108" t="str">
            <v xml:space="preserve"> 2QE</v>
          </cell>
          <cell r="AQ108">
            <v>44.205000000000005</v>
          </cell>
          <cell r="AR108">
            <v>59.225000000000001</v>
          </cell>
          <cell r="AS108">
            <v>103.43</v>
          </cell>
          <cell r="AY108">
            <v>70.784000000000319</v>
          </cell>
          <cell r="AZ108">
            <v>188.78399999999999</v>
          </cell>
          <cell r="BA108">
            <v>259.56800000000032</v>
          </cell>
          <cell r="BC108">
            <v>1478.4460000000004</v>
          </cell>
          <cell r="BD108">
            <v>779.47199999999998</v>
          </cell>
          <cell r="BE108">
            <v>2257.9180000000006</v>
          </cell>
          <cell r="BK108">
            <v>0</v>
          </cell>
          <cell r="BL108">
            <v>0</v>
          </cell>
          <cell r="BM108">
            <v>0</v>
          </cell>
          <cell r="BO108">
            <v>1478.4460000000004</v>
          </cell>
          <cell r="BP108">
            <v>779.47199999999998</v>
          </cell>
          <cell r="BQ108">
            <v>2257.9180000000006</v>
          </cell>
          <cell r="BS108" t="str">
            <v xml:space="preserve"> 2QE</v>
          </cell>
          <cell r="BT108">
            <v>61.005000000000003</v>
          </cell>
          <cell r="BU108">
            <v>144.37199999999999</v>
          </cell>
          <cell r="BV108">
            <v>205.37699999999998</v>
          </cell>
          <cell r="BX108">
            <v>89.64</v>
          </cell>
          <cell r="BY108">
            <v>32.340000000000003</v>
          </cell>
          <cell r="BZ108">
            <v>121.98</v>
          </cell>
          <cell r="CB108">
            <v>21.840000000000003</v>
          </cell>
          <cell r="CC108">
            <v>30.87</v>
          </cell>
          <cell r="CD108">
            <v>52.710000000000008</v>
          </cell>
          <cell r="CF108">
            <v>45.885000000000005</v>
          </cell>
          <cell r="CG108">
            <v>3.18</v>
          </cell>
          <cell r="CH108">
            <v>49.065000000000005</v>
          </cell>
          <cell r="CJ108">
            <v>26.01</v>
          </cell>
          <cell r="CK108">
            <v>6.6</v>
          </cell>
          <cell r="CL108">
            <v>32.61</v>
          </cell>
          <cell r="CR108">
            <v>16.295999999999999</v>
          </cell>
          <cell r="CS108">
            <v>3.7</v>
          </cell>
          <cell r="CT108">
            <v>19.995999999999999</v>
          </cell>
          <cell r="CV108" t="str">
            <v xml:space="preserve"> 2QE</v>
          </cell>
          <cell r="CX108">
            <v>27.024999999999999</v>
          </cell>
          <cell r="CY108">
            <v>7.9799999999999995</v>
          </cell>
          <cell r="CZ108">
            <v>35.004999999999995</v>
          </cell>
          <cell r="DB108">
            <v>26.288000000000004</v>
          </cell>
          <cell r="DC108">
            <v>2</v>
          </cell>
          <cell r="DD108">
            <v>28.288000000000004</v>
          </cell>
          <cell r="DJ108">
            <v>121.58199999999997</v>
          </cell>
          <cell r="DK108">
            <v>106.78500000000003</v>
          </cell>
          <cell r="DL108">
            <v>228.36699999999999</v>
          </cell>
          <cell r="DN108">
            <v>435.57099999999991</v>
          </cell>
          <cell r="DO108">
            <v>337.827</v>
          </cell>
          <cell r="DP108">
            <v>773.39799999999991</v>
          </cell>
          <cell r="DR108" t="str">
            <v xml:space="preserve"> 2QE</v>
          </cell>
          <cell r="DS108">
            <v>23.415000000000003</v>
          </cell>
          <cell r="DT108">
            <v>90.63000000000001</v>
          </cell>
          <cell r="DU108">
            <v>114.04500000000002</v>
          </cell>
          <cell r="DW108">
            <v>48.150000000000006</v>
          </cell>
          <cell r="DX108">
            <v>51.87</v>
          </cell>
          <cell r="DY108">
            <v>100.02000000000001</v>
          </cell>
          <cell r="EA108">
            <v>4.6530000000000005</v>
          </cell>
          <cell r="EB108">
            <v>45.32</v>
          </cell>
          <cell r="EC108">
            <v>49.972999999999999</v>
          </cell>
          <cell r="EE108">
            <v>4.5149999999999997</v>
          </cell>
          <cell r="EF108">
            <v>31.751999999999999</v>
          </cell>
          <cell r="EG108">
            <v>36.266999999999996</v>
          </cell>
          <cell r="EI108">
            <v>26.91</v>
          </cell>
          <cell r="EJ108">
            <v>2.91</v>
          </cell>
          <cell r="EK108">
            <v>29.82</v>
          </cell>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A109" t="str">
            <v xml:space="preserve"> 3QE</v>
          </cell>
          <cell r="B109">
            <v>934.52800000000002</v>
          </cell>
          <cell r="C109">
            <v>414.81</v>
          </cell>
          <cell r="D109">
            <v>1349.338</v>
          </cell>
          <cell r="F109">
            <v>0</v>
          </cell>
          <cell r="G109">
            <v>0</v>
          </cell>
          <cell r="H109">
            <v>0</v>
          </cell>
          <cell r="J109">
            <v>77.896000000000001</v>
          </cell>
          <cell r="K109">
            <v>66.960000000000008</v>
          </cell>
          <cell r="L109">
            <v>144.85599999999999</v>
          </cell>
          <cell r="R109">
            <v>38.960000000000008</v>
          </cell>
          <cell r="S109">
            <v>9.588000000000001</v>
          </cell>
          <cell r="T109">
            <v>48.548000000000009</v>
          </cell>
          <cell r="V109">
            <v>310.95000000000005</v>
          </cell>
          <cell r="W109">
            <v>41.3</v>
          </cell>
          <cell r="X109">
            <v>352.25000000000006</v>
          </cell>
          <cell r="Z109">
            <v>94.710000000000008</v>
          </cell>
          <cell r="AA109">
            <v>25.07</v>
          </cell>
          <cell r="AB109">
            <v>119.78</v>
          </cell>
          <cell r="AH109" t="str">
            <v xml:space="preserve"> 3QE</v>
          </cell>
          <cell r="AQ109">
            <v>44.730000000000004</v>
          </cell>
          <cell r="AR109">
            <v>56.753</v>
          </cell>
          <cell r="AS109">
            <v>101.483</v>
          </cell>
          <cell r="AY109">
            <v>85.680000000000135</v>
          </cell>
          <cell r="AZ109">
            <v>168.40500000000003</v>
          </cell>
          <cell r="BA109">
            <v>254.08500000000015</v>
          </cell>
          <cell r="BC109">
            <v>1587.4540000000002</v>
          </cell>
          <cell r="BD109">
            <v>782.88600000000019</v>
          </cell>
          <cell r="BE109">
            <v>2370.34</v>
          </cell>
          <cell r="BK109">
            <v>8</v>
          </cell>
          <cell r="BL109">
            <v>0</v>
          </cell>
          <cell r="BM109">
            <v>8</v>
          </cell>
          <cell r="BO109">
            <v>1595.4540000000002</v>
          </cell>
          <cell r="BP109">
            <v>782.88600000000019</v>
          </cell>
          <cell r="BQ109">
            <v>2378.34</v>
          </cell>
          <cell r="BS109" t="str">
            <v xml:space="preserve"> 3QE</v>
          </cell>
          <cell r="BT109">
            <v>75.179999999999993</v>
          </cell>
          <cell r="BU109">
            <v>148.71800000000002</v>
          </cell>
          <cell r="BV109">
            <v>223.89800000000002</v>
          </cell>
          <cell r="BX109">
            <v>90.072000000000017</v>
          </cell>
          <cell r="BY109">
            <v>35.200000000000003</v>
          </cell>
          <cell r="BZ109">
            <v>125.27200000000002</v>
          </cell>
          <cell r="CB109">
            <v>22.672000000000001</v>
          </cell>
          <cell r="CC109">
            <v>31.5</v>
          </cell>
          <cell r="CD109">
            <v>54.171999999999997</v>
          </cell>
          <cell r="CF109">
            <v>36.119999999999997</v>
          </cell>
          <cell r="CG109">
            <v>1.59</v>
          </cell>
          <cell r="CH109">
            <v>37.71</v>
          </cell>
          <cell r="CJ109">
            <v>35.597999999999999</v>
          </cell>
          <cell r="CK109">
            <v>6.8</v>
          </cell>
          <cell r="CL109">
            <v>42.397999999999996</v>
          </cell>
          <cell r="CR109">
            <v>17.443999999999999</v>
          </cell>
          <cell r="CS109">
            <v>1.9</v>
          </cell>
          <cell r="CT109">
            <v>19.343999999999998</v>
          </cell>
          <cell r="CV109" t="str">
            <v xml:space="preserve"> 3QE</v>
          </cell>
          <cell r="CX109">
            <v>22.990000000000002</v>
          </cell>
          <cell r="CY109">
            <v>7.5600000000000005</v>
          </cell>
          <cell r="CZ109">
            <v>30.550000000000004</v>
          </cell>
          <cell r="DB109">
            <v>22.684000000000001</v>
          </cell>
          <cell r="DC109">
            <v>0.7</v>
          </cell>
          <cell r="DD109">
            <v>23.384</v>
          </cell>
          <cell r="DJ109">
            <v>128.68400000000005</v>
          </cell>
          <cell r="DK109">
            <v>119.17500000000001</v>
          </cell>
          <cell r="DL109">
            <v>247.85900000000007</v>
          </cell>
          <cell r="DN109">
            <v>451.44400000000007</v>
          </cell>
          <cell r="DO109">
            <v>353.14300000000003</v>
          </cell>
          <cell r="DP109">
            <v>804.5870000000001</v>
          </cell>
          <cell r="DR109" t="str">
            <v xml:space="preserve"> 3QE</v>
          </cell>
          <cell r="DS109">
            <v>42.105000000000004</v>
          </cell>
          <cell r="DT109">
            <v>95.082000000000008</v>
          </cell>
          <cell r="DU109">
            <v>137.18700000000001</v>
          </cell>
          <cell r="DW109">
            <v>37.967999999999996</v>
          </cell>
          <cell r="DX109">
            <v>44.835000000000008</v>
          </cell>
          <cell r="DY109">
            <v>82.802999999999997</v>
          </cell>
          <cell r="EA109">
            <v>4.1580000000000004</v>
          </cell>
          <cell r="EB109">
            <v>43.466000000000001</v>
          </cell>
          <cell r="EC109">
            <v>47.624000000000002</v>
          </cell>
          <cell r="EE109">
            <v>5.1450000000000005</v>
          </cell>
          <cell r="EF109">
            <v>32.400000000000006</v>
          </cell>
          <cell r="EG109">
            <v>37.545000000000009</v>
          </cell>
          <cell r="EI109">
            <v>29.505000000000003</v>
          </cell>
          <cell r="EJ109">
            <v>2.5219999999999998</v>
          </cell>
          <cell r="EK109">
            <v>32.027000000000001</v>
          </cell>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A110" t="str">
            <v xml:space="preserve"> 4QE</v>
          </cell>
          <cell r="B110">
            <v>984.17100000000005</v>
          </cell>
          <cell r="C110">
            <v>490.91800000000029</v>
          </cell>
          <cell r="D110">
            <v>1475.0890000000004</v>
          </cell>
          <cell r="F110">
            <v>0</v>
          </cell>
          <cell r="G110">
            <v>0</v>
          </cell>
          <cell r="H110">
            <v>0</v>
          </cell>
          <cell r="J110">
            <v>77.79500000000003</v>
          </cell>
          <cell r="K110">
            <v>69.575999999999993</v>
          </cell>
          <cell r="L110">
            <v>147.37100000000004</v>
          </cell>
          <cell r="R110">
            <v>37.400000000000006</v>
          </cell>
          <cell r="S110">
            <v>10.760999999999996</v>
          </cell>
          <cell r="T110">
            <v>48.161000000000001</v>
          </cell>
          <cell r="V110">
            <v>344.8979999999998</v>
          </cell>
          <cell r="W110">
            <v>50.041900000000012</v>
          </cell>
          <cell r="X110">
            <v>394.9398999999998</v>
          </cell>
          <cell r="Z110">
            <v>128.15</v>
          </cell>
          <cell r="AA110">
            <v>48.599999999999987</v>
          </cell>
          <cell r="AB110">
            <v>176.75</v>
          </cell>
          <cell r="AH110" t="str">
            <v xml:space="preserve"> 4QE</v>
          </cell>
          <cell r="AQ110">
            <v>44.434999999999988</v>
          </cell>
          <cell r="AR110">
            <v>56.14200000000001</v>
          </cell>
          <cell r="AS110">
            <v>100.577</v>
          </cell>
          <cell r="AY110">
            <v>119.87599999999991</v>
          </cell>
          <cell r="AZ110">
            <v>241.41600000000011</v>
          </cell>
          <cell r="BA110">
            <v>361.29200000000003</v>
          </cell>
          <cell r="BC110">
            <v>1736.7250000000001</v>
          </cell>
          <cell r="BD110">
            <v>967.45490000000041</v>
          </cell>
          <cell r="BE110">
            <v>2704.1799000000005</v>
          </cell>
          <cell r="BK110">
            <v>42</v>
          </cell>
          <cell r="BL110">
            <v>0</v>
          </cell>
          <cell r="BM110">
            <v>42</v>
          </cell>
          <cell r="BO110">
            <v>1778.7250000000001</v>
          </cell>
          <cell r="BP110">
            <v>967.45490000000041</v>
          </cell>
          <cell r="BQ110">
            <v>2746.1799000000005</v>
          </cell>
          <cell r="BS110" t="str">
            <v xml:space="preserve"> 4QE</v>
          </cell>
          <cell r="BT110">
            <v>63.365000000000023</v>
          </cell>
          <cell r="BU110">
            <v>159.49599999999992</v>
          </cell>
          <cell r="BV110">
            <v>222.86099999999993</v>
          </cell>
          <cell r="BX110">
            <v>121.17999999999994</v>
          </cell>
          <cell r="BY110">
            <v>29.706000000000003</v>
          </cell>
          <cell r="BZ110">
            <v>150.88599999999994</v>
          </cell>
          <cell r="CB110">
            <v>20.899999999999988</v>
          </cell>
          <cell r="CC110">
            <v>34.542000000000002</v>
          </cell>
          <cell r="CD110">
            <v>55.441999999999993</v>
          </cell>
          <cell r="CF110">
            <v>56.529999999999994</v>
          </cell>
          <cell r="CG110">
            <v>9.5999999999999419E-2</v>
          </cell>
          <cell r="CH110">
            <v>56.625999999999991</v>
          </cell>
          <cell r="CJ110">
            <v>44.995999999999981</v>
          </cell>
          <cell r="CK110">
            <v>6.9999999999999991</v>
          </cell>
          <cell r="CL110">
            <v>51.995999999999981</v>
          </cell>
          <cell r="CR110">
            <v>14.182500000000001</v>
          </cell>
          <cell r="CS110">
            <v>0.19999999999999973</v>
          </cell>
          <cell r="CT110">
            <v>14.3825</v>
          </cell>
          <cell r="CV110" t="str">
            <v xml:space="preserve"> 4QE</v>
          </cell>
          <cell r="CX110">
            <v>35.404999999999987</v>
          </cell>
          <cell r="CY110">
            <v>8.2650000000000023</v>
          </cell>
          <cell r="CZ110">
            <v>43.669999999999987</v>
          </cell>
          <cell r="DB110">
            <v>15.711999999999993</v>
          </cell>
          <cell r="DC110">
            <v>0.90000000000000058</v>
          </cell>
          <cell r="DD110">
            <v>16.611999999999995</v>
          </cell>
          <cell r="DJ110">
            <v>102.97800000000001</v>
          </cell>
          <cell r="DK110">
            <v>125.245</v>
          </cell>
          <cell r="DL110">
            <v>228.22300000000001</v>
          </cell>
          <cell r="DN110">
            <v>475.24849999999986</v>
          </cell>
          <cell r="DO110">
            <v>365.44999999999993</v>
          </cell>
          <cell r="DP110">
            <v>840.69849999999974</v>
          </cell>
          <cell r="DR110" t="str">
            <v xml:space="preserve"> 4QE</v>
          </cell>
          <cell r="DS110">
            <v>79.974999999999966</v>
          </cell>
          <cell r="DT110">
            <v>97.772000000000034</v>
          </cell>
          <cell r="DU110">
            <v>177.74700000000001</v>
          </cell>
          <cell r="DW110">
            <v>44.355000000000011</v>
          </cell>
          <cell r="DX110">
            <v>44.734999999999985</v>
          </cell>
          <cell r="DY110">
            <v>89.09</v>
          </cell>
          <cell r="EA110">
            <v>5.5070000000000041</v>
          </cell>
          <cell r="EB110">
            <v>46.371257894736864</v>
          </cell>
          <cell r="EC110">
            <v>51.878257894736869</v>
          </cell>
          <cell r="EE110">
            <v>3.6199999999999966</v>
          </cell>
          <cell r="EF110">
            <v>35.272000000000006</v>
          </cell>
          <cell r="EG110">
            <v>38.892000000000003</v>
          </cell>
          <cell r="EI110">
            <v>24.445000000000014</v>
          </cell>
          <cell r="EJ110">
            <v>2.8020000000000018</v>
          </cell>
          <cell r="EK110">
            <v>27.247000000000018</v>
          </cell>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1">
          <cell r="CY111" t="str">
            <v xml:space="preserve"> </v>
          </cell>
        </row>
        <row r="112">
          <cell r="A112" t="str">
            <v>Year</v>
          </cell>
          <cell r="B112">
            <v>3581.424</v>
          </cell>
          <cell r="C112">
            <v>1579.7600000000002</v>
          </cell>
          <cell r="D112">
            <v>5161.1840000000002</v>
          </cell>
          <cell r="F112">
            <v>102.9</v>
          </cell>
          <cell r="G112">
            <v>0.5</v>
          </cell>
          <cell r="H112">
            <v>103.4</v>
          </cell>
          <cell r="J112">
            <v>296.286</v>
          </cell>
          <cell r="K112">
            <v>263.74400000000003</v>
          </cell>
          <cell r="L112">
            <v>560.03</v>
          </cell>
          <cell r="R112">
            <v>161.20000000000002</v>
          </cell>
          <cell r="S112">
            <v>39.036999999999999</v>
          </cell>
          <cell r="T112">
            <v>200.23700000000002</v>
          </cell>
          <cell r="V112">
            <v>1193.6999999999998</v>
          </cell>
          <cell r="W112">
            <v>166.22190000000001</v>
          </cell>
          <cell r="X112">
            <v>1359.9218999999998</v>
          </cell>
          <cell r="Z112">
            <v>443.20500000000004</v>
          </cell>
          <cell r="AA112">
            <v>123.62499999999999</v>
          </cell>
          <cell r="AB112">
            <v>566.83000000000004</v>
          </cell>
          <cell r="AH112" t="str">
            <v>Year</v>
          </cell>
          <cell r="AQ112">
            <v>175.77</v>
          </cell>
          <cell r="AR112">
            <v>230.72</v>
          </cell>
          <cell r="AS112">
            <v>406.49</v>
          </cell>
          <cell r="AY112">
            <v>362.64000000000033</v>
          </cell>
          <cell r="AZ112">
            <v>770.80500000000018</v>
          </cell>
          <cell r="BA112">
            <v>1133.4450000000006</v>
          </cell>
          <cell r="BC112">
            <v>6317.1250000000009</v>
          </cell>
          <cell r="BD112">
            <v>3174.4129000000007</v>
          </cell>
          <cell r="BE112">
            <v>9491.5379000000012</v>
          </cell>
          <cell r="BK112">
            <v>50</v>
          </cell>
          <cell r="BL112">
            <v>0</v>
          </cell>
          <cell r="BM112">
            <v>50</v>
          </cell>
          <cell r="BO112">
            <v>6367.1250000000009</v>
          </cell>
          <cell r="BP112">
            <v>3174.4129000000007</v>
          </cell>
          <cell r="BQ112">
            <v>9541.5379000000012</v>
          </cell>
          <cell r="BS112" t="str">
            <v>Year</v>
          </cell>
          <cell r="BT112">
            <v>250.95000000000002</v>
          </cell>
          <cell r="BU112">
            <v>586.28599999999994</v>
          </cell>
          <cell r="BV112">
            <v>837.23599999999999</v>
          </cell>
          <cell r="BX112">
            <v>396.79199999999997</v>
          </cell>
          <cell r="BY112">
            <v>130.14600000000002</v>
          </cell>
          <cell r="BZ112">
            <v>526.93799999999999</v>
          </cell>
          <cell r="CB112">
            <v>86.111999999999995</v>
          </cell>
          <cell r="CC112">
            <v>127.41200000000001</v>
          </cell>
          <cell r="CD112">
            <v>213.524</v>
          </cell>
          <cell r="CF112">
            <v>168.73499999999999</v>
          </cell>
          <cell r="CG112">
            <v>6.4660000000000002</v>
          </cell>
          <cell r="CH112">
            <v>175.20099999999999</v>
          </cell>
          <cell r="CJ112">
            <v>148.10399999999998</v>
          </cell>
          <cell r="CK112">
            <v>26.3</v>
          </cell>
          <cell r="CL112">
            <v>174.404</v>
          </cell>
          <cell r="CR112">
            <v>65.422499999999999</v>
          </cell>
          <cell r="CS112">
            <v>7.6</v>
          </cell>
          <cell r="CT112">
            <v>73.022499999999994</v>
          </cell>
          <cell r="CV112" t="str">
            <v>Year</v>
          </cell>
          <cell r="CX112">
            <v>111.32</v>
          </cell>
          <cell r="CY112">
            <v>31.605000000000004</v>
          </cell>
          <cell r="CZ112">
            <v>142.92500000000001</v>
          </cell>
          <cell r="DB112">
            <v>86.284000000000006</v>
          </cell>
          <cell r="DC112">
            <v>4.8000000000000007</v>
          </cell>
          <cell r="DD112">
            <v>91.084000000000003</v>
          </cell>
          <cell r="DJ112">
            <v>463.64400000000006</v>
          </cell>
          <cell r="DK112">
            <v>468.40500000000003</v>
          </cell>
          <cell r="DL112">
            <v>932.04900000000009</v>
          </cell>
          <cell r="DN112">
            <v>1777.3634999999999</v>
          </cell>
          <cell r="DO112">
            <v>1389.02</v>
          </cell>
          <cell r="DP112">
            <v>3166.3834999999999</v>
          </cell>
          <cell r="DR112" t="str">
            <v>Year</v>
          </cell>
          <cell r="DS112">
            <v>178.39499999999998</v>
          </cell>
          <cell r="DT112">
            <v>383.084</v>
          </cell>
          <cell r="DU112">
            <v>561.47900000000004</v>
          </cell>
          <cell r="DW112">
            <v>174.07300000000001</v>
          </cell>
          <cell r="DX112">
            <v>189.84</v>
          </cell>
          <cell r="DY112">
            <v>345.86067000000003</v>
          </cell>
          <cell r="EA112">
            <v>18.018000000000004</v>
          </cell>
          <cell r="EB112">
            <v>179.95725789473684</v>
          </cell>
          <cell r="EC112">
            <v>197.97525789473684</v>
          </cell>
          <cell r="EE112">
            <v>18.479999999999997</v>
          </cell>
          <cell r="EF112">
            <v>129.92400000000001</v>
          </cell>
          <cell r="EG112">
            <v>148.404</v>
          </cell>
          <cell r="EI112">
            <v>98.26</v>
          </cell>
          <cell r="EJ112">
            <v>10.434000000000001</v>
          </cell>
          <cell r="EK112">
            <v>108.694</v>
          </cell>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3">
          <cell r="X113" t="str">
            <v>adjusted for Neurontin patent</v>
          </cell>
        </row>
        <row r="114">
          <cell r="A114" t="str">
            <v>% Change</v>
          </cell>
          <cell r="AH114" t="str">
            <v>% Change</v>
          </cell>
          <cell r="BS114" t="str">
            <v>% Change</v>
          </cell>
          <cell r="CV114" t="str">
            <v>% Change</v>
          </cell>
          <cell r="DR114" t="str">
            <v>% Change</v>
          </cell>
          <cell r="EM114" t="str">
            <v>% Change</v>
          </cell>
        </row>
        <row r="115">
          <cell r="A115" t="str">
            <v xml:space="preserve">2001E/00E </v>
          </cell>
          <cell r="B115">
            <v>0.22</v>
          </cell>
          <cell r="C115">
            <v>0.38</v>
          </cell>
          <cell r="D115">
            <v>0.2689735688555186</v>
          </cell>
          <cell r="F115">
            <v>0</v>
          </cell>
          <cell r="G115">
            <v>0</v>
          </cell>
          <cell r="H115">
            <v>0</v>
          </cell>
          <cell r="J115">
            <v>0.02</v>
          </cell>
          <cell r="K115">
            <v>0.04</v>
          </cell>
          <cell r="L115">
            <v>2.941892398621504E-2</v>
          </cell>
          <cell r="R115">
            <v>-0.15</v>
          </cell>
          <cell r="S115">
            <v>2.9399999999999999E-2</v>
          </cell>
          <cell r="T115">
            <v>-0.11502525607155523</v>
          </cell>
          <cell r="V115">
            <v>0.2</v>
          </cell>
          <cell r="W115">
            <v>0.12</v>
          </cell>
          <cell r="X115">
            <v>0.19022167964204417</v>
          </cell>
          <cell r="Z115">
            <v>0.05</v>
          </cell>
          <cell r="AA115">
            <v>0.1</v>
          </cell>
          <cell r="AB115">
            <v>6.0904945045251679E-2</v>
          </cell>
          <cell r="AH115" t="str">
            <v xml:space="preserve">2001E/00E </v>
          </cell>
          <cell r="AQ115">
            <v>0</v>
          </cell>
          <cell r="AR115">
            <v>0</v>
          </cell>
          <cell r="AS115">
            <v>0</v>
          </cell>
          <cell r="AY115">
            <v>0.05</v>
          </cell>
          <cell r="AZ115">
            <v>0.03</v>
          </cell>
          <cell r="BA115">
            <v>3.6398898932016976E-2</v>
          </cell>
          <cell r="BC115">
            <v>0.14971862199972286</v>
          </cell>
          <cell r="BD115">
            <v>0.21009854319833443</v>
          </cell>
          <cell r="BE115">
            <v>0.16991248339218035</v>
          </cell>
          <cell r="BK115">
            <v>0.60000000000000009</v>
          </cell>
          <cell r="BL115" t="str">
            <v>NM</v>
          </cell>
          <cell r="BM115">
            <v>0.60000000000000009</v>
          </cell>
          <cell r="BO115">
            <v>0.16503386536309539</v>
          </cell>
          <cell r="BP115">
            <v>0.21009854319833443</v>
          </cell>
          <cell r="BQ115">
            <v>0.18002661560459776</v>
          </cell>
          <cell r="BS115" t="str">
            <v xml:space="preserve">2001E/00E </v>
          </cell>
          <cell r="BT115">
            <v>4.9999999999999822E-2</v>
          </cell>
          <cell r="BU115">
            <v>0.05</v>
          </cell>
          <cell r="BV115">
            <v>4.9999999999999822E-2</v>
          </cell>
          <cell r="BX115">
            <v>0.05</v>
          </cell>
          <cell r="BY115">
            <v>0.05</v>
          </cell>
          <cell r="BZ115">
            <v>5.0000000000000044E-2</v>
          </cell>
          <cell r="CB115">
            <v>0</v>
          </cell>
          <cell r="CC115">
            <v>0.02</v>
          </cell>
          <cell r="CD115">
            <v>1.193420880088425E-2</v>
          </cell>
          <cell r="CF115">
            <v>0.05</v>
          </cell>
          <cell r="CG115">
            <v>0.08</v>
          </cell>
          <cell r="CH115">
            <v>5.1107185461270133E-2</v>
          </cell>
          <cell r="CJ115">
            <v>0.05</v>
          </cell>
          <cell r="CK115">
            <v>0.03</v>
          </cell>
          <cell r="CL115">
            <v>4.6984014128116369E-2</v>
          </cell>
          <cell r="CR115">
            <v>-0.01</v>
          </cell>
          <cell r="CS115">
            <v>-0.01</v>
          </cell>
          <cell r="CT115">
            <v>-9.9999999999998979E-3</v>
          </cell>
          <cell r="CV115" t="str">
            <v xml:space="preserve">2001E/00E </v>
          </cell>
          <cell r="CX115">
            <v>0.03</v>
          </cell>
          <cell r="CY115">
            <v>0.02</v>
          </cell>
          <cell r="CZ115">
            <v>2.7788700367325614E-2</v>
          </cell>
          <cell r="DB115">
            <v>0.02</v>
          </cell>
          <cell r="DC115">
            <v>8.3333333333333259E-2</v>
          </cell>
          <cell r="DD115">
            <v>2.3337578498968004E-2</v>
          </cell>
          <cell r="DJ115">
            <v>0.02</v>
          </cell>
          <cell r="DK115">
            <v>5.6822349641185044E-2</v>
          </cell>
          <cell r="DL115">
            <v>3.8505220952631536E-2</v>
          </cell>
          <cell r="DN115">
            <v>3.4834171513030254E-2</v>
          </cell>
          <cell r="DO115">
            <v>4.8414056445320819E-2</v>
          </cell>
          <cell r="DP115">
            <v>4.0791356348237384E-2</v>
          </cell>
          <cell r="DR115" t="str">
            <v xml:space="preserve">2001E/00E </v>
          </cell>
          <cell r="DS115">
            <v>0.03</v>
          </cell>
          <cell r="DT115">
            <v>0.04</v>
          </cell>
          <cell r="DU115">
            <v>3.6822766301143783E-2</v>
          </cell>
          <cell r="DW115">
            <v>0.02</v>
          </cell>
          <cell r="DX115">
            <v>0</v>
          </cell>
          <cell r="DY115">
            <v>8.7115959151990996E-3</v>
          </cell>
          <cell r="EA115">
            <v>0</v>
          </cell>
          <cell r="EB115">
            <v>0.02</v>
          </cell>
          <cell r="EC115">
            <v>1.8179772544144823E-2</v>
          </cell>
          <cell r="EE115">
            <v>0.02</v>
          </cell>
          <cell r="EF115">
            <v>0.05</v>
          </cell>
          <cell r="EG115">
            <v>4.6264251637422094E-2</v>
          </cell>
          <cell r="EI115">
            <v>0.03</v>
          </cell>
          <cell r="EJ115">
            <v>0.02</v>
          </cell>
          <cell r="EK115">
            <v>2.9040057408872721E-2</v>
          </cell>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A116" t="str">
            <v xml:space="preserve">2002E/01E </v>
          </cell>
          <cell r="B116">
            <v>0.15</v>
          </cell>
          <cell r="C116">
            <v>0.25</v>
          </cell>
          <cell r="D116">
            <v>0.18328651137783769</v>
          </cell>
          <cell r="F116">
            <v>0</v>
          </cell>
          <cell r="G116">
            <v>0</v>
          </cell>
          <cell r="H116">
            <v>0</v>
          </cell>
          <cell r="J116">
            <v>-0.3</v>
          </cell>
          <cell r="K116">
            <v>0.04</v>
          </cell>
          <cell r="L116">
            <v>-0.13823245114686511</v>
          </cell>
          <cell r="R116">
            <v>-0.1</v>
          </cell>
          <cell r="S116">
            <v>2.86E-2</v>
          </cell>
          <cell r="T116">
            <v>-7.0837391971748986E-2</v>
          </cell>
          <cell r="V116">
            <v>0.1</v>
          </cell>
          <cell r="W116">
            <v>0.1</v>
          </cell>
          <cell r="X116">
            <v>0.10000000000000009</v>
          </cell>
          <cell r="Z116">
            <v>0.05</v>
          </cell>
          <cell r="AA116">
            <v>0.05</v>
          </cell>
          <cell r="AB116">
            <v>5.0000000000000044E-2</v>
          </cell>
          <cell r="AH116" t="str">
            <v xml:space="preserve">2002E/01E </v>
          </cell>
          <cell r="AQ116">
            <v>0</v>
          </cell>
          <cell r="AR116">
            <v>0</v>
          </cell>
          <cell r="AS116">
            <v>0</v>
          </cell>
          <cell r="AY116">
            <v>0.05</v>
          </cell>
          <cell r="AZ116">
            <v>0.03</v>
          </cell>
          <cell r="BA116">
            <v>3.6482874388945818E-2</v>
          </cell>
          <cell r="BC116">
            <v>0.10141738017425173</v>
          </cell>
          <cell r="BD116">
            <v>0.15785386696061798</v>
          </cell>
          <cell r="BE116">
            <v>0.12094072221053564</v>
          </cell>
          <cell r="BI116">
            <v>4.333333333333333</v>
          </cell>
          <cell r="BK116">
            <v>0.75</v>
          </cell>
          <cell r="BL116" t="str">
            <v>NM</v>
          </cell>
          <cell r="BM116">
            <v>1.1875</v>
          </cell>
          <cell r="BO116">
            <v>0.13771872100874694</v>
          </cell>
          <cell r="BP116">
            <v>0.19299773949188781</v>
          </cell>
          <cell r="BQ116">
            <v>0.15657839989734668</v>
          </cell>
          <cell r="BS116" t="str">
            <v xml:space="preserve">2002E/01E </v>
          </cell>
          <cell r="BT116">
            <v>4.9999999999999822E-2</v>
          </cell>
          <cell r="BU116">
            <v>0.05</v>
          </cell>
          <cell r="BV116">
            <v>5.0000000000000044E-2</v>
          </cell>
          <cell r="BX116">
            <v>0.05</v>
          </cell>
          <cell r="BY116">
            <v>0.05</v>
          </cell>
          <cell r="BZ116">
            <v>4.9999999999999822E-2</v>
          </cell>
          <cell r="CB116">
            <v>0</v>
          </cell>
          <cell r="CC116">
            <v>0</v>
          </cell>
          <cell r="CD116">
            <v>0</v>
          </cell>
          <cell r="CF116">
            <v>0.05</v>
          </cell>
          <cell r="CG116">
            <v>0.08</v>
          </cell>
          <cell r="CH116">
            <v>5.1137619754399344E-2</v>
          </cell>
          <cell r="CJ116">
            <v>0.05</v>
          </cell>
          <cell r="CK116">
            <v>0.03</v>
          </cell>
          <cell r="CL116">
            <v>4.7032938988445627E-2</v>
          </cell>
          <cell r="CR116">
            <v>-0.01</v>
          </cell>
          <cell r="CS116">
            <v>-0.01</v>
          </cell>
          <cell r="CT116">
            <v>-9.9999999999998979E-3</v>
          </cell>
          <cell r="CV116" t="str">
            <v xml:space="preserve">2002E/01E </v>
          </cell>
          <cell r="CX116">
            <v>0.03</v>
          </cell>
          <cell r="CY116">
            <v>0.02</v>
          </cell>
          <cell r="CZ116">
            <v>2.7805457848950832E-2</v>
          </cell>
          <cell r="DB116">
            <v>0.02</v>
          </cell>
          <cell r="DC116">
            <v>7.6923076923076872E-2</v>
          </cell>
          <cell r="DD116">
            <v>2.3175635835247954E-2</v>
          </cell>
          <cell r="DJ116">
            <v>0.02</v>
          </cell>
          <cell r="DK116">
            <v>5.4193406331214167E-2</v>
          </cell>
          <cell r="DL116">
            <v>3.748712641404417E-2</v>
          </cell>
          <cell r="DN116">
            <v>3.5150310177537225E-2</v>
          </cell>
          <cell r="DO116">
            <v>4.5857203101053123E-2</v>
          </cell>
          <cell r="DP116">
            <v>3.9881578764186409E-2</v>
          </cell>
          <cell r="DR116" t="str">
            <v xml:space="preserve">2002E/01E </v>
          </cell>
          <cell r="DS116">
            <v>0.03</v>
          </cell>
          <cell r="DT116">
            <v>0.03</v>
          </cell>
          <cell r="DU116">
            <v>3.0000000000000027E-2</v>
          </cell>
          <cell r="DW116">
            <v>0.02</v>
          </cell>
          <cell r="DX116">
            <v>0</v>
          </cell>
          <cell r="DY116">
            <v>8.8090866303969229E-3</v>
          </cell>
          <cell r="EA116">
            <v>0</v>
          </cell>
          <cell r="EB116">
            <v>0.02</v>
          </cell>
          <cell r="EC116">
            <v>1.8212273014119207E-2</v>
          </cell>
          <cell r="EE116">
            <v>0</v>
          </cell>
          <cell r="EF116">
            <v>0.05</v>
          </cell>
          <cell r="EG116">
            <v>4.3930049500933155E-2</v>
          </cell>
          <cell r="EI116">
            <v>0.03</v>
          </cell>
          <cell r="EJ116">
            <v>0.02</v>
          </cell>
          <cell r="EK116">
            <v>2.9048490449035125E-2</v>
          </cell>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A117" t="str">
            <v xml:space="preserve">2003E/02E </v>
          </cell>
          <cell r="B117">
            <v>0.12</v>
          </cell>
          <cell r="C117">
            <v>0.17</v>
          </cell>
          <cell r="D117">
            <v>0.13758159956283444</v>
          </cell>
          <cell r="F117">
            <v>0</v>
          </cell>
          <cell r="G117">
            <v>0</v>
          </cell>
          <cell r="H117">
            <v>0</v>
          </cell>
          <cell r="J117">
            <v>-0.25</v>
          </cell>
          <cell r="K117">
            <v>0.04</v>
          </cell>
          <cell r="L117">
            <v>-8.3484874474713089E-2</v>
          </cell>
          <cell r="R117">
            <v>0</v>
          </cell>
          <cell r="S117">
            <v>2.7799999999999998E-2</v>
          </cell>
          <cell r="T117">
            <v>6.9788679923825647E-3</v>
          </cell>
          <cell r="V117">
            <v>-0.5</v>
          </cell>
          <cell r="W117">
            <v>0.1</v>
          </cell>
          <cell r="X117">
            <v>-0.43098941784396672</v>
          </cell>
          <cell r="Z117">
            <v>0.05</v>
          </cell>
          <cell r="AA117">
            <v>0.05</v>
          </cell>
          <cell r="AB117">
            <v>5.0000000000000044E-2</v>
          </cell>
          <cell r="AH117" t="str">
            <v xml:space="preserve">2003E/02E </v>
          </cell>
          <cell r="AQ117">
            <v>0</v>
          </cell>
          <cell r="AR117">
            <v>0</v>
          </cell>
          <cell r="AS117">
            <v>0</v>
          </cell>
          <cell r="AY117">
            <v>0.05</v>
          </cell>
          <cell r="AZ117">
            <v>0.03</v>
          </cell>
          <cell r="BA117">
            <v>3.6567419758291475E-2</v>
          </cell>
          <cell r="BC117">
            <v>-2.4168791529670441E-2</v>
          </cell>
          <cell r="BD117">
            <v>0.11870667493274145</v>
          </cell>
          <cell r="BE117">
            <v>2.6884407103494601E-2</v>
          </cell>
          <cell r="BI117">
            <v>0.5</v>
          </cell>
          <cell r="BK117">
            <v>0.28571428571428581</v>
          </cell>
          <cell r="BL117" t="str">
            <v>NM</v>
          </cell>
          <cell r="BM117">
            <v>0.28571428571428581</v>
          </cell>
          <cell r="BO117">
            <v>-3.9555659332002335E-4</v>
          </cell>
          <cell r="BP117">
            <v>0.12830240698770345</v>
          </cell>
          <cell r="BQ117">
            <v>4.4895263989399359E-2</v>
          </cell>
          <cell r="BS117" t="str">
            <v xml:space="preserve">2003E/02E </v>
          </cell>
          <cell r="BT117">
            <v>0.05</v>
          </cell>
          <cell r="BU117">
            <v>0.05</v>
          </cell>
          <cell r="BV117">
            <v>4.9999999999999822E-2</v>
          </cell>
          <cell r="BX117">
            <v>0.05</v>
          </cell>
          <cell r="BY117">
            <v>0.05</v>
          </cell>
          <cell r="BZ117">
            <v>5.0000000000000044E-2</v>
          </cell>
          <cell r="CB117">
            <v>0</v>
          </cell>
          <cell r="CC117">
            <v>0</v>
          </cell>
          <cell r="CD117">
            <v>0</v>
          </cell>
          <cell r="CF117">
            <v>0.05</v>
          </cell>
          <cell r="CG117">
            <v>0.08</v>
          </cell>
          <cell r="CH117">
            <v>5.1168856781130589E-2</v>
          </cell>
          <cell r="CJ117">
            <v>0.05</v>
          </cell>
          <cell r="CK117">
            <v>0.03</v>
          </cell>
          <cell r="CL117">
            <v>4.7081206590450231E-2</v>
          </cell>
          <cell r="CR117">
            <v>-0.01</v>
          </cell>
          <cell r="CS117">
            <v>-0.01</v>
          </cell>
          <cell r="CT117">
            <v>-1.0000000000000009E-2</v>
          </cell>
          <cell r="CV117" t="str">
            <v xml:space="preserve">2003E/02E </v>
          </cell>
          <cell r="CX117">
            <v>0.03</v>
          </cell>
          <cell r="CY117">
            <v>0.02</v>
          </cell>
          <cell r="CZ117">
            <v>2.7822123849434721E-2</v>
          </cell>
          <cell r="DB117">
            <v>0.02</v>
          </cell>
          <cell r="DC117">
            <v>0</v>
          </cell>
          <cell r="DD117">
            <v>1.8825624950812525E-2</v>
          </cell>
          <cell r="DJ117">
            <v>0.02</v>
          </cell>
          <cell r="DK117">
            <v>6.1452842630641769E-2</v>
          </cell>
          <cell r="DL117">
            <v>4.154110506960107E-2</v>
          </cell>
          <cell r="DN117">
            <v>3.5462065005614329E-2</v>
          </cell>
          <cell r="DO117">
            <v>4.8314874419276066E-2</v>
          </cell>
          <cell r="DP117">
            <v>4.1174229668364593E-2</v>
          </cell>
          <cell r="DR117" t="str">
            <v xml:space="preserve">2003E/02E </v>
          </cell>
          <cell r="DS117">
            <v>0.03</v>
          </cell>
          <cell r="DT117">
            <v>0.03</v>
          </cell>
          <cell r="DU117">
            <v>3.0000000000000027E-2</v>
          </cell>
          <cell r="DW117">
            <v>0.02</v>
          </cell>
          <cell r="DX117">
            <v>0</v>
          </cell>
          <cell r="DY117">
            <v>8.9068075239262523E-3</v>
          </cell>
          <cell r="EA117">
            <v>0</v>
          </cell>
          <cell r="EB117">
            <v>0.02</v>
          </cell>
          <cell r="EC117">
            <v>1.8244249226549991E-2</v>
          </cell>
          <cell r="EE117">
            <v>0</v>
          </cell>
          <cell r="EF117">
            <v>0.05</v>
          </cell>
          <cell r="EG117">
            <v>4.418548158282376E-2</v>
          </cell>
          <cell r="EI117">
            <v>0.03</v>
          </cell>
          <cell r="EJ117">
            <v>0.02</v>
          </cell>
          <cell r="EK117">
            <v>2.9056857134535319E-2</v>
          </cell>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A118" t="str">
            <v xml:space="preserve">2004E/03E </v>
          </cell>
          <cell r="B118">
            <v>0.09</v>
          </cell>
          <cell r="C118">
            <v>0.12</v>
          </cell>
          <cell r="D118">
            <v>0.10084958028316637</v>
          </cell>
          <cell r="F118">
            <v>0</v>
          </cell>
          <cell r="G118">
            <v>0</v>
          </cell>
          <cell r="H118">
            <v>0</v>
          </cell>
          <cell r="J118">
            <v>-0.15</v>
          </cell>
          <cell r="K118">
            <v>0.04</v>
          </cell>
          <cell r="L118">
            <v>-2.6205031174608817E-2</v>
          </cell>
          <cell r="R118">
            <v>0</v>
          </cell>
          <cell r="S118">
            <v>0.02</v>
          </cell>
          <cell r="T118">
            <v>5.1245819189627007E-3</v>
          </cell>
          <cell r="V118">
            <v>-0.5</v>
          </cell>
          <cell r="W118">
            <v>0.05</v>
          </cell>
          <cell r="X118">
            <v>-0.37770759890439931</v>
          </cell>
          <cell r="Z118">
            <v>0.05</v>
          </cell>
          <cell r="AA118">
            <v>0.05</v>
          </cell>
          <cell r="AB118">
            <v>4.9999999999999822E-2</v>
          </cell>
          <cell r="AH118" t="str">
            <v xml:space="preserve">2004E/03E </v>
          </cell>
          <cell r="AQ118">
            <v>0</v>
          </cell>
          <cell r="AR118">
            <v>0</v>
          </cell>
          <cell r="AS118">
            <v>0</v>
          </cell>
          <cell r="AY118">
            <v>0.05</v>
          </cell>
          <cell r="AZ118">
            <v>0.03</v>
          </cell>
          <cell r="BA118">
            <v>3.6652525069536201E-2</v>
          </cell>
          <cell r="BC118">
            <v>1.7347409355073395E-2</v>
          </cell>
          <cell r="BD118">
            <v>8.8298475708957991E-2</v>
          </cell>
          <cell r="BE118">
            <v>4.4967105277444519E-2</v>
          </cell>
          <cell r="BI118">
            <v>0.33333333333333326</v>
          </cell>
          <cell r="BK118">
            <v>0.25</v>
          </cell>
          <cell r="BL118" t="str">
            <v>NM</v>
          </cell>
          <cell r="BM118">
            <v>0.22222222222222232</v>
          </cell>
          <cell r="BO118">
            <v>3.9166702407601894E-2</v>
          </cell>
          <cell r="BP118">
            <v>9.5605378407290997E-2</v>
          </cell>
          <cell r="BQ118">
            <v>6.0613778135774066E-2</v>
          </cell>
          <cell r="BS118" t="str">
            <v xml:space="preserve">2004E/03E </v>
          </cell>
          <cell r="BT118">
            <v>0.05</v>
          </cell>
          <cell r="BU118">
            <v>0.05</v>
          </cell>
          <cell r="BV118">
            <v>5.0000000000000044E-2</v>
          </cell>
          <cell r="BX118">
            <v>0.05</v>
          </cell>
          <cell r="BY118">
            <v>0.05</v>
          </cell>
          <cell r="BZ118">
            <v>5.0000000000000044E-2</v>
          </cell>
          <cell r="CB118">
            <v>0</v>
          </cell>
          <cell r="CC118">
            <v>0</v>
          </cell>
          <cell r="CD118">
            <v>0</v>
          </cell>
          <cell r="CF118">
            <v>0.05</v>
          </cell>
          <cell r="CG118">
            <v>0.05</v>
          </cell>
          <cell r="CH118">
            <v>4.9999999999999822E-2</v>
          </cell>
          <cell r="CJ118">
            <v>0.05</v>
          </cell>
          <cell r="CK118">
            <v>0.03</v>
          </cell>
          <cell r="CL118">
            <v>4.7128821343641825E-2</v>
          </cell>
          <cell r="CR118">
            <v>-0.01</v>
          </cell>
          <cell r="CS118">
            <v>-0.01</v>
          </cell>
          <cell r="CT118">
            <v>-1.000000000000012E-2</v>
          </cell>
          <cell r="CV118" t="str">
            <v xml:space="preserve">2004E/03E </v>
          </cell>
          <cell r="CX118">
            <v>0.03</v>
          </cell>
          <cell r="CY118">
            <v>0.02</v>
          </cell>
          <cell r="CZ118">
            <v>2.7838698329184952E-2</v>
          </cell>
          <cell r="DB118">
            <v>0.02</v>
          </cell>
          <cell r="DC118">
            <v>0</v>
          </cell>
          <cell r="DD118">
            <v>1.8847324782153896E-2</v>
          </cell>
          <cell r="DJ118">
            <v>0.02</v>
          </cell>
          <cell r="DK118">
            <v>2.900318283582437E-2</v>
          </cell>
          <cell r="DL118">
            <v>2.4767975568278811E-2</v>
          </cell>
          <cell r="DN118">
            <v>3.5769396156146716E-2</v>
          </cell>
          <cell r="DO118">
            <v>3.7203133933188637E-2</v>
          </cell>
          <cell r="DP118">
            <v>3.64109612349377E-2</v>
          </cell>
          <cell r="DR118" t="str">
            <v xml:space="preserve">2004E/03E </v>
          </cell>
          <cell r="DS118">
            <v>0.03</v>
          </cell>
          <cell r="DT118">
            <v>0.03</v>
          </cell>
          <cell r="DU118">
            <v>3.0000000000000027E-2</v>
          </cell>
          <cell r="DW118">
            <v>0.02</v>
          </cell>
          <cell r="DX118">
            <v>0</v>
          </cell>
          <cell r="DY118">
            <v>9.0047401867585641E-3</v>
          </cell>
          <cell r="EA118">
            <v>0</v>
          </cell>
          <cell r="EB118">
            <v>0.02</v>
          </cell>
          <cell r="EC118">
            <v>1.8275707645996064E-2</v>
          </cell>
          <cell r="EE118">
            <v>0</v>
          </cell>
          <cell r="EF118">
            <v>0.05</v>
          </cell>
          <cell r="EG118">
            <v>4.4431527233684376E-2</v>
          </cell>
          <cell r="EI118">
            <v>0.03</v>
          </cell>
          <cell r="EJ118">
            <v>0.02</v>
          </cell>
          <cell r="EK118">
            <v>2.9065157851964951E-2</v>
          </cell>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A119" t="str">
            <v xml:space="preserve">2005E/04E </v>
          </cell>
          <cell r="B119">
            <v>7.0000000000000007E-2</v>
          </cell>
          <cell r="C119">
            <v>0.1</v>
          </cell>
          <cell r="D119">
            <v>8.1038319980120121E-2</v>
          </cell>
          <cell r="F119">
            <v>0</v>
          </cell>
          <cell r="G119">
            <v>0</v>
          </cell>
          <cell r="H119">
            <v>0</v>
          </cell>
          <cell r="J119">
            <v>-0.1</v>
          </cell>
          <cell r="K119">
            <v>0.04</v>
          </cell>
          <cell r="L119">
            <v>-2.5810952969608225E-3</v>
          </cell>
          <cell r="R119">
            <v>0</v>
          </cell>
          <cell r="S119">
            <v>0.02</v>
          </cell>
          <cell r="T119">
            <v>5.2004235607912008E-3</v>
          </cell>
          <cell r="V119">
            <v>-0.5</v>
          </cell>
          <cell r="W119">
            <v>0.05</v>
          </cell>
          <cell r="X119">
            <v>-0.29365484630005323</v>
          </cell>
          <cell r="Z119">
            <v>0.05</v>
          </cell>
          <cell r="AA119">
            <v>0.05</v>
          </cell>
          <cell r="AB119">
            <v>5.0000000000000044E-2</v>
          </cell>
          <cell r="AH119" t="str">
            <v xml:space="preserve">2005E/04E </v>
          </cell>
          <cell r="AQ119">
            <v>0</v>
          </cell>
          <cell r="AR119">
            <v>0</v>
          </cell>
          <cell r="AS119">
            <v>0</v>
          </cell>
          <cell r="AY119">
            <v>0.05</v>
          </cell>
          <cell r="AZ119">
            <v>0.03</v>
          </cell>
          <cell r="BA119">
            <v>3.6738180011228305E-2</v>
          </cell>
          <cell r="BC119">
            <v>3.3736707653501341E-2</v>
          </cell>
          <cell r="BD119">
            <v>7.6828075667515705E-2</v>
          </cell>
          <cell r="BE119">
            <v>5.1206818040480773E-2</v>
          </cell>
          <cell r="BI119">
            <v>0.25</v>
          </cell>
          <cell r="BK119">
            <v>0.11111111111111116</v>
          </cell>
          <cell r="BL119" t="str">
            <v>NM</v>
          </cell>
          <cell r="BM119">
            <v>0.18181818181818188</v>
          </cell>
          <cell r="BO119">
            <v>5.0524007373062618E-2</v>
          </cell>
          <cell r="BP119">
            <v>8.6676712484369256E-2</v>
          </cell>
          <cell r="BQ119">
            <v>6.4715528821518875E-2</v>
          </cell>
          <cell r="BS119" t="str">
            <v xml:space="preserve">2005E/04E </v>
          </cell>
          <cell r="BT119">
            <v>0.05</v>
          </cell>
          <cell r="BU119">
            <v>0.05</v>
          </cell>
          <cell r="BV119">
            <v>4.9999999999999822E-2</v>
          </cell>
          <cell r="BX119">
            <v>0.05</v>
          </cell>
          <cell r="BY119">
            <v>0.05</v>
          </cell>
          <cell r="BZ119">
            <v>5.0000000000000044E-2</v>
          </cell>
          <cell r="CB119">
            <v>0</v>
          </cell>
          <cell r="CC119">
            <v>0</v>
          </cell>
          <cell r="CD119">
            <v>0</v>
          </cell>
          <cell r="CF119">
            <v>0.05</v>
          </cell>
          <cell r="CG119">
            <v>0.05</v>
          </cell>
          <cell r="CH119">
            <v>5.0000000000000044E-2</v>
          </cell>
          <cell r="CJ119">
            <v>0.05</v>
          </cell>
          <cell r="CK119">
            <v>0.03</v>
          </cell>
          <cell r="CL119">
            <v>4.7175787777234524E-2</v>
          </cell>
          <cell r="CR119">
            <v>-0.01</v>
          </cell>
          <cell r="CS119">
            <v>-0.01</v>
          </cell>
          <cell r="CT119">
            <v>-1.0000000000000009E-2</v>
          </cell>
          <cell r="CV119" t="str">
            <v xml:space="preserve">2005E/04E </v>
          </cell>
          <cell r="CX119">
            <v>0.03</v>
          </cell>
          <cell r="CY119">
            <v>0.02</v>
          </cell>
          <cell r="CZ119">
            <v>2.7855181257705919E-2</v>
          </cell>
          <cell r="DB119">
            <v>0.02</v>
          </cell>
          <cell r="DC119">
            <v>0</v>
          </cell>
          <cell r="DD119">
            <v>1.8868647745536649E-2</v>
          </cell>
          <cell r="DJ119">
            <v>0.02</v>
          </cell>
          <cell r="DK119">
            <v>2.8557690215637255E-2</v>
          </cell>
          <cell r="DL119">
            <v>2.4550778375363791E-2</v>
          </cell>
          <cell r="DN119">
            <v>3.6072268787588513E-2</v>
          </cell>
          <cell r="DO119">
            <v>3.7285224588814003E-2</v>
          </cell>
          <cell r="DP119">
            <v>3.6615453810835419E-2</v>
          </cell>
          <cell r="DR119" t="str">
            <v xml:space="preserve">2005E/04E </v>
          </cell>
          <cell r="DS119">
            <v>0.03</v>
          </cell>
          <cell r="DT119">
            <v>0.03</v>
          </cell>
          <cell r="DU119">
            <v>3.0000000000000027E-2</v>
          </cell>
          <cell r="DW119">
            <v>0.02</v>
          </cell>
          <cell r="DX119">
            <v>0</v>
          </cell>
          <cell r="DY119">
            <v>9.1028660467875611E-3</v>
          </cell>
          <cell r="EA119">
            <v>0</v>
          </cell>
          <cell r="EB119">
            <v>0.02</v>
          </cell>
          <cell r="EC119">
            <v>1.8306654729110416E-2</v>
          </cell>
          <cell r="EE119">
            <v>0</v>
          </cell>
          <cell r="EF119">
            <v>0.05</v>
          </cell>
          <cell r="EG119">
            <v>4.4668417583042075E-2</v>
          </cell>
          <cell r="EI119">
            <v>0.03</v>
          </cell>
          <cell r="EJ119">
            <v>0.02</v>
          </cell>
          <cell r="EK119">
            <v>2.9073392988072655E-2</v>
          </cell>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A121" t="str">
            <v>2001E</v>
          </cell>
          <cell r="B121">
            <v>4369.3372799999997</v>
          </cell>
          <cell r="C121">
            <v>2180.0688000000005</v>
          </cell>
          <cell r="D121">
            <v>6549.4060800000007</v>
          </cell>
          <cell r="F121">
            <v>0</v>
          </cell>
          <cell r="G121">
            <v>0</v>
          </cell>
          <cell r="H121">
            <v>0</v>
          </cell>
          <cell r="J121">
            <v>302.21172000000001</v>
          </cell>
          <cell r="K121">
            <v>274.29376000000002</v>
          </cell>
          <cell r="L121">
            <v>576.50548000000003</v>
          </cell>
          <cell r="R121">
            <v>137.02000000000001</v>
          </cell>
          <cell r="S121">
            <v>40.184687799999999</v>
          </cell>
          <cell r="T121">
            <v>177.20468780000002</v>
          </cell>
          <cell r="V121">
            <v>1432.4399999999998</v>
          </cell>
          <cell r="W121">
            <v>186.16852800000001</v>
          </cell>
          <cell r="X121">
            <v>1618.6085279999998</v>
          </cell>
          <cell r="Z121">
            <v>465.36525000000006</v>
          </cell>
          <cell r="AA121">
            <v>135.98749999999998</v>
          </cell>
          <cell r="AB121">
            <v>601.35275000000001</v>
          </cell>
          <cell r="AH121" t="str">
            <v>2001E</v>
          </cell>
          <cell r="AQ121">
            <v>175.77</v>
          </cell>
          <cell r="AR121">
            <v>230.72</v>
          </cell>
          <cell r="AS121">
            <v>406.49</v>
          </cell>
          <cell r="AY121">
            <v>380.77200000000033</v>
          </cell>
          <cell r="AZ121">
            <v>793.92915000000016</v>
          </cell>
          <cell r="BA121">
            <v>1174.7011500000006</v>
          </cell>
          <cell r="BC121">
            <v>7262.9162500000002</v>
          </cell>
          <cell r="BD121">
            <v>3841.3524258000007</v>
          </cell>
          <cell r="BE121">
            <v>11104.268675800002</v>
          </cell>
          <cell r="BG121">
            <v>75</v>
          </cell>
          <cell r="BH121">
            <v>0</v>
          </cell>
          <cell r="BI121">
            <v>75</v>
          </cell>
          <cell r="BK121">
            <v>80</v>
          </cell>
          <cell r="BL121">
            <v>0</v>
          </cell>
          <cell r="BM121">
            <v>80</v>
          </cell>
          <cell r="BO121">
            <v>7417.9162500000002</v>
          </cell>
          <cell r="BP121">
            <v>3841.3524258000007</v>
          </cell>
          <cell r="BQ121">
            <v>11259.268675800002</v>
          </cell>
          <cell r="BS121" t="str">
            <v>2001E</v>
          </cell>
          <cell r="BT121">
            <v>263.49749999999995</v>
          </cell>
          <cell r="BU121">
            <v>615.60029999999995</v>
          </cell>
          <cell r="BV121">
            <v>879.09779999999989</v>
          </cell>
          <cell r="BX121">
            <v>416.63159999999999</v>
          </cell>
          <cell r="BY121">
            <v>136.6533</v>
          </cell>
          <cell r="BZ121">
            <v>553.28489999999999</v>
          </cell>
          <cell r="CB121">
            <v>86.111999999999995</v>
          </cell>
          <cell r="CC121">
            <v>129.96024</v>
          </cell>
          <cell r="CD121">
            <v>216.07223999999999</v>
          </cell>
          <cell r="CF121">
            <v>177.17174999999997</v>
          </cell>
          <cell r="CG121">
            <v>6.9832800000000006</v>
          </cell>
          <cell r="CH121">
            <v>184.15502999999998</v>
          </cell>
          <cell r="CJ121">
            <v>155.50919999999999</v>
          </cell>
          <cell r="CK121">
            <v>27.089000000000002</v>
          </cell>
          <cell r="CL121">
            <v>182.59819999999999</v>
          </cell>
          <cell r="CR121">
            <v>64.768275000000003</v>
          </cell>
          <cell r="CS121">
            <v>7.524</v>
          </cell>
          <cell r="CT121">
            <v>72.292275000000004</v>
          </cell>
          <cell r="CV121" t="str">
            <v>2001E</v>
          </cell>
          <cell r="CX121">
            <v>114.6596</v>
          </cell>
          <cell r="CY121">
            <v>32.237100000000005</v>
          </cell>
          <cell r="CZ121">
            <v>146.89670000000001</v>
          </cell>
          <cell r="DB121">
            <v>88.009680000000003</v>
          </cell>
          <cell r="DC121">
            <v>5.2</v>
          </cell>
          <cell r="DD121">
            <v>93.209680000000006</v>
          </cell>
          <cell r="DJ121">
            <v>472.91688000000005</v>
          </cell>
          <cell r="DK121">
            <v>495.02087268367933</v>
          </cell>
          <cell r="DL121">
            <v>967.93775268367938</v>
          </cell>
          <cell r="DN121">
            <v>1839.2764849999996</v>
          </cell>
          <cell r="DO121">
            <v>1456.2680926836795</v>
          </cell>
          <cell r="DP121">
            <v>3295.5445776836791</v>
          </cell>
          <cell r="DR121" t="str">
            <v>2001E</v>
          </cell>
          <cell r="DS121">
            <v>183.74684999999999</v>
          </cell>
          <cell r="DT121">
            <v>398.40735999999998</v>
          </cell>
          <cell r="DU121">
            <v>582.15420999999992</v>
          </cell>
          <cell r="DW121">
            <v>177.55446000000001</v>
          </cell>
          <cell r="DX121">
            <v>189.84</v>
          </cell>
          <cell r="DY121">
            <v>348.87366840000004</v>
          </cell>
          <cell r="EA121">
            <v>18.018000000000004</v>
          </cell>
          <cell r="EB121">
            <v>183.55640305263157</v>
          </cell>
          <cell r="EC121">
            <v>201.57440305263157</v>
          </cell>
          <cell r="EE121">
            <v>18.849599999999995</v>
          </cell>
          <cell r="EF121">
            <v>136.42019999999999</v>
          </cell>
          <cell r="EG121">
            <v>155.26979999999998</v>
          </cell>
          <cell r="EI121">
            <v>101.20780000000001</v>
          </cell>
          <cell r="EJ121">
            <v>10.64268</v>
          </cell>
          <cell r="EK121">
            <v>111.85048</v>
          </cell>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A122" t="str">
            <v>2002E</v>
          </cell>
          <cell r="B122">
            <v>5024.7378719999997</v>
          </cell>
          <cell r="C122">
            <v>2725.0860000000007</v>
          </cell>
          <cell r="D122">
            <v>7749.8238720000008</v>
          </cell>
          <cell r="F122">
            <v>0</v>
          </cell>
          <cell r="G122">
            <v>0</v>
          </cell>
          <cell r="H122">
            <v>0</v>
          </cell>
          <cell r="J122">
            <v>211.548204</v>
          </cell>
          <cell r="K122">
            <v>285.26551040000004</v>
          </cell>
          <cell r="L122">
            <v>496.81371440000004</v>
          </cell>
          <cell r="R122">
            <v>123.31800000000001</v>
          </cell>
          <cell r="S122">
            <v>41.333969871080001</v>
          </cell>
          <cell r="T122">
            <v>164.65196987108001</v>
          </cell>
          <cell r="V122">
            <v>1575.6839999999997</v>
          </cell>
          <cell r="W122">
            <v>204.78538080000001</v>
          </cell>
          <cell r="X122">
            <v>1780.4693807999997</v>
          </cell>
          <cell r="Z122">
            <v>488.63351250000005</v>
          </cell>
          <cell r="AA122">
            <v>142.78687499999998</v>
          </cell>
          <cell r="AB122">
            <v>631.42038750000006</v>
          </cell>
          <cell r="AH122" t="str">
            <v>2002E</v>
          </cell>
          <cell r="AQ122">
            <v>175.77</v>
          </cell>
          <cell r="AR122">
            <v>230.72</v>
          </cell>
          <cell r="AS122">
            <v>406.49</v>
          </cell>
          <cell r="AY122">
            <v>399.81060000000036</v>
          </cell>
          <cell r="AZ122">
            <v>817.74702450000018</v>
          </cell>
          <cell r="BA122">
            <v>1217.5576245000007</v>
          </cell>
          <cell r="BC122">
            <v>7999.5021885000006</v>
          </cell>
          <cell r="BD122">
            <v>4447.7247605710809</v>
          </cell>
          <cell r="BE122">
            <v>12447.226949071082</v>
          </cell>
          <cell r="BG122">
            <v>300</v>
          </cell>
          <cell r="BH122">
            <v>100</v>
          </cell>
          <cell r="BI122">
            <v>400</v>
          </cell>
          <cell r="BK122">
            <v>140</v>
          </cell>
          <cell r="BL122">
            <v>35</v>
          </cell>
          <cell r="BM122">
            <v>175</v>
          </cell>
          <cell r="BO122">
            <v>8439.5021885000006</v>
          </cell>
          <cell r="BP122">
            <v>4582.7247605710809</v>
          </cell>
          <cell r="BQ122">
            <v>13022.226949071082</v>
          </cell>
          <cell r="BS122" t="str">
            <v>2002E</v>
          </cell>
          <cell r="BT122">
            <v>276.67237499999987</v>
          </cell>
          <cell r="BU122">
            <v>646.380315</v>
          </cell>
          <cell r="BV122">
            <v>923.05268999999987</v>
          </cell>
          <cell r="BX122">
            <v>437.46317999999997</v>
          </cell>
          <cell r="BY122">
            <v>143.48596499999999</v>
          </cell>
          <cell r="BZ122">
            <v>580.94914499999993</v>
          </cell>
          <cell r="CB122">
            <v>86.111999999999995</v>
          </cell>
          <cell r="CC122">
            <v>129.96024</v>
          </cell>
          <cell r="CD122">
            <v>216.07223999999999</v>
          </cell>
          <cell r="CF122">
            <v>186.03033749999997</v>
          </cell>
          <cell r="CG122">
            <v>7.5419424000000008</v>
          </cell>
          <cell r="CH122">
            <v>193.57227989999998</v>
          </cell>
          <cell r="CJ122">
            <v>163.28466</v>
          </cell>
          <cell r="CK122">
            <v>27.901670000000003</v>
          </cell>
          <cell r="CL122">
            <v>191.18633</v>
          </cell>
          <cell r="CR122">
            <v>64.120592250000001</v>
          </cell>
          <cell r="CS122">
            <v>7.44876</v>
          </cell>
          <cell r="CT122">
            <v>71.569352250000009</v>
          </cell>
          <cell r="CV122" t="str">
            <v>2002E</v>
          </cell>
          <cell r="CX122">
            <v>118.09938799999999</v>
          </cell>
          <cell r="CY122">
            <v>32.881842000000006</v>
          </cell>
          <cell r="CZ122">
            <v>150.98122999999998</v>
          </cell>
          <cell r="DB122">
            <v>89.769873599999997</v>
          </cell>
          <cell r="DC122">
            <v>5.6</v>
          </cell>
          <cell r="DD122">
            <v>95.369873599999991</v>
          </cell>
          <cell r="DJ122">
            <v>482.37521760000004</v>
          </cell>
          <cell r="DK122">
            <v>521.8477399794582</v>
          </cell>
          <cell r="DL122">
            <v>1004.2229575794582</v>
          </cell>
          <cell r="DN122">
            <v>1903.92762395</v>
          </cell>
          <cell r="DO122">
            <v>1523.0484743794582</v>
          </cell>
          <cell r="DP122">
            <v>3426.9760983294582</v>
          </cell>
          <cell r="DR122" t="str">
            <v>2002E</v>
          </cell>
          <cell r="DS122">
            <v>189.25925549999999</v>
          </cell>
          <cell r="DT122">
            <v>410.3595808</v>
          </cell>
          <cell r="DU122">
            <v>599.6188363</v>
          </cell>
          <cell r="DW122">
            <v>181.10554920000001</v>
          </cell>
          <cell r="DX122">
            <v>189.84</v>
          </cell>
          <cell r="DY122">
            <v>351.94692676800003</v>
          </cell>
          <cell r="EA122">
            <v>18.018000000000004</v>
          </cell>
          <cell r="EB122">
            <v>187.22753111368419</v>
          </cell>
          <cell r="EC122">
            <v>205.24553111368419</v>
          </cell>
          <cell r="EE122">
            <v>18.849599999999995</v>
          </cell>
          <cell r="EF122">
            <v>143.24121</v>
          </cell>
          <cell r="EG122">
            <v>162.09080999999998</v>
          </cell>
          <cell r="EI122">
            <v>104.244034</v>
          </cell>
          <cell r="EJ122">
            <v>10.855533600000001</v>
          </cell>
          <cell r="EK122">
            <v>115.0995676</v>
          </cell>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A123" t="str">
            <v>2003E</v>
          </cell>
          <cell r="B123">
            <v>5627.7064166399996</v>
          </cell>
          <cell r="C123">
            <v>3188.3506200000011</v>
          </cell>
          <cell r="D123">
            <v>8816.0570366400007</v>
          </cell>
          <cell r="F123">
            <v>0</v>
          </cell>
          <cell r="G123">
            <v>0</v>
          </cell>
          <cell r="H123">
            <v>0</v>
          </cell>
          <cell r="J123">
            <v>158.66115300000001</v>
          </cell>
          <cell r="K123">
            <v>296.67613081600007</v>
          </cell>
          <cell r="L123">
            <v>455.33728381600008</v>
          </cell>
          <cell r="R123">
            <v>123.31800000000001</v>
          </cell>
          <cell r="S123">
            <v>42.483054233496027</v>
          </cell>
          <cell r="T123">
            <v>165.80105423349605</v>
          </cell>
          <cell r="V123">
            <v>787.84199999999987</v>
          </cell>
          <cell r="W123">
            <v>225.26391888000001</v>
          </cell>
          <cell r="X123">
            <v>1013.1059188799999</v>
          </cell>
          <cell r="Z123">
            <v>513.06518812500008</v>
          </cell>
          <cell r="AA123">
            <v>149.92621874999998</v>
          </cell>
          <cell r="AB123">
            <v>662.99140687500005</v>
          </cell>
          <cell r="AH123" t="str">
            <v>2003E</v>
          </cell>
          <cell r="AQ123">
            <v>175.77</v>
          </cell>
          <cell r="AR123">
            <v>230.72</v>
          </cell>
          <cell r="AS123">
            <v>406.49</v>
          </cell>
          <cell r="AY123">
            <v>419.8011300000004</v>
          </cell>
          <cell r="AZ123">
            <v>842.27943523500016</v>
          </cell>
          <cell r="BA123">
            <v>1262.0805652350004</v>
          </cell>
          <cell r="BC123">
            <v>7806.1638877650012</v>
          </cell>
          <cell r="BD123">
            <v>4975.6993779144977</v>
          </cell>
          <cell r="BE123">
            <v>12781.863265679498</v>
          </cell>
          <cell r="BG123">
            <v>450</v>
          </cell>
          <cell r="BH123">
            <v>150</v>
          </cell>
          <cell r="BI123">
            <v>600</v>
          </cell>
          <cell r="BK123">
            <v>180</v>
          </cell>
          <cell r="BL123">
            <v>45</v>
          </cell>
          <cell r="BM123">
            <v>225</v>
          </cell>
          <cell r="BO123">
            <v>8436.1638877650003</v>
          </cell>
          <cell r="BP123">
            <v>5170.6993779144977</v>
          </cell>
          <cell r="BQ123">
            <v>13606.863265679498</v>
          </cell>
          <cell r="BS123" t="str">
            <v>2003E</v>
          </cell>
          <cell r="BT123">
            <v>290.50599374999985</v>
          </cell>
          <cell r="BU123">
            <v>678.69933074999994</v>
          </cell>
          <cell r="BV123">
            <v>969.20532449999973</v>
          </cell>
          <cell r="BX123">
            <v>459.33633899999995</v>
          </cell>
          <cell r="BY123">
            <v>150.66026324999999</v>
          </cell>
          <cell r="BZ123">
            <v>609.99660224999991</v>
          </cell>
          <cell r="CB123">
            <v>86.111999999999995</v>
          </cell>
          <cell r="CC123">
            <v>129.96024</v>
          </cell>
          <cell r="CD123">
            <v>216.07223999999999</v>
          </cell>
          <cell r="CF123">
            <v>195.33185437499998</v>
          </cell>
          <cell r="CG123">
            <v>8.1452977920000009</v>
          </cell>
          <cell r="CH123">
            <v>203.47715216699999</v>
          </cell>
          <cell r="CJ123">
            <v>171.448893</v>
          </cell>
          <cell r="CK123">
            <v>28.738720100000002</v>
          </cell>
          <cell r="CL123">
            <v>200.18761309999999</v>
          </cell>
          <cell r="CR123">
            <v>63.479386327500002</v>
          </cell>
          <cell r="CS123">
            <v>7.3742723999999997</v>
          </cell>
          <cell r="CT123">
            <v>70.853658727500004</v>
          </cell>
          <cell r="CV123" t="str">
            <v>2003E</v>
          </cell>
          <cell r="CX123">
            <v>121.64236963999998</v>
          </cell>
          <cell r="CY123">
            <v>33.539478840000008</v>
          </cell>
          <cell r="CZ123">
            <v>155.18184847999999</v>
          </cell>
          <cell r="DB123">
            <v>91.565271072000002</v>
          </cell>
          <cell r="DC123">
            <v>5.6</v>
          </cell>
          <cell r="DD123">
            <v>97.165271071999996</v>
          </cell>
          <cell r="DJ123">
            <v>492.02272195200004</v>
          </cell>
          <cell r="DK123">
            <v>553.9167670215719</v>
          </cell>
          <cell r="DL123">
            <v>1045.939488973572</v>
          </cell>
          <cell r="DN123">
            <v>1971.4448291164997</v>
          </cell>
          <cell r="DO123">
            <v>1596.6343701535716</v>
          </cell>
          <cell r="DP123">
            <v>3568.0791992700715</v>
          </cell>
          <cell r="DR123" t="str">
            <v>2003E</v>
          </cell>
          <cell r="DS123">
            <v>194.937033165</v>
          </cell>
          <cell r="DT123">
            <v>422.67036822400001</v>
          </cell>
          <cell r="DU123">
            <v>617.60740138899996</v>
          </cell>
          <cell r="DW123">
            <v>184.727660184</v>
          </cell>
          <cell r="DX123">
            <v>189.84</v>
          </cell>
          <cell r="DY123">
            <v>355.08165030335999</v>
          </cell>
          <cell r="EA123">
            <v>18.018000000000004</v>
          </cell>
          <cell r="EB123">
            <v>190.97208173595789</v>
          </cell>
          <cell r="EC123">
            <v>208.99008173595789</v>
          </cell>
          <cell r="EE123">
            <v>18.849599999999995</v>
          </cell>
          <cell r="EF123">
            <v>150.40327049999999</v>
          </cell>
          <cell r="EG123">
            <v>169.25287049999997</v>
          </cell>
          <cell r="EI123">
            <v>107.37135502</v>
          </cell>
          <cell r="EJ123">
            <v>11.072644272000002</v>
          </cell>
          <cell r="EK123">
            <v>118.443999292</v>
          </cell>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A124" t="str">
            <v>2004E</v>
          </cell>
          <cell r="B124">
            <v>6134.1999941375998</v>
          </cell>
          <cell r="C124">
            <v>3570.9526944000013</v>
          </cell>
          <cell r="D124">
            <v>9705.1526885376006</v>
          </cell>
          <cell r="F124">
            <v>0</v>
          </cell>
          <cell r="G124">
            <v>0</v>
          </cell>
          <cell r="H124">
            <v>0</v>
          </cell>
          <cell r="J124">
            <v>134.86198005</v>
          </cell>
          <cell r="K124">
            <v>308.54317604864008</v>
          </cell>
          <cell r="L124">
            <v>443.40515609864008</v>
          </cell>
          <cell r="R124">
            <v>123.31800000000001</v>
          </cell>
          <cell r="S124">
            <v>43.332715318165945</v>
          </cell>
          <cell r="T124">
            <v>166.65071531816596</v>
          </cell>
          <cell r="V124">
            <v>393.92099999999994</v>
          </cell>
          <cell r="W124">
            <v>236.52711482399999</v>
          </cell>
          <cell r="X124">
            <v>630.44811482399996</v>
          </cell>
          <cell r="Z124">
            <v>538.71844753125004</v>
          </cell>
          <cell r="AA124">
            <v>157.42252968749997</v>
          </cell>
          <cell r="AB124">
            <v>696.14097721874998</v>
          </cell>
          <cell r="AH124" t="str">
            <v>2004E</v>
          </cell>
          <cell r="AQ124">
            <v>175.77</v>
          </cell>
          <cell r="AR124">
            <v>230.72</v>
          </cell>
          <cell r="AS124">
            <v>406.49</v>
          </cell>
          <cell r="AY124">
            <v>440.79118650000044</v>
          </cell>
          <cell r="AZ124">
            <v>867.54781829205024</v>
          </cell>
          <cell r="BA124">
            <v>1308.3390047920507</v>
          </cell>
          <cell r="BC124">
            <v>7941.580608218851</v>
          </cell>
          <cell r="BD124">
            <v>5415.0460485703579</v>
          </cell>
          <cell r="BE124">
            <v>13356.626656789209</v>
          </cell>
          <cell r="BG124">
            <v>600</v>
          </cell>
          <cell r="BH124">
            <v>200</v>
          </cell>
          <cell r="BI124">
            <v>800</v>
          </cell>
          <cell r="BK124">
            <v>225</v>
          </cell>
          <cell r="BL124">
            <v>50</v>
          </cell>
          <cell r="BM124">
            <v>275</v>
          </cell>
          <cell r="BO124">
            <v>8766.5806082188501</v>
          </cell>
          <cell r="BP124">
            <v>5665.0460485703579</v>
          </cell>
          <cell r="BQ124">
            <v>14431.626656789209</v>
          </cell>
          <cell r="BS124" t="str">
            <v>2004E</v>
          </cell>
          <cell r="BT124">
            <v>305.03129343749981</v>
          </cell>
          <cell r="BU124">
            <v>712.63429728749998</v>
          </cell>
          <cell r="BV124">
            <v>1017.6655907249998</v>
          </cell>
          <cell r="BX124">
            <v>482.30315594999996</v>
          </cell>
          <cell r="BY124">
            <v>158.19327641249998</v>
          </cell>
          <cell r="BZ124">
            <v>640.49643236249995</v>
          </cell>
          <cell r="CB124">
            <v>86.111999999999995</v>
          </cell>
          <cell r="CC124">
            <v>129.96024</v>
          </cell>
          <cell r="CD124">
            <v>216.07223999999999</v>
          </cell>
          <cell r="CF124">
            <v>205.09844709374997</v>
          </cell>
          <cell r="CG124">
            <v>8.5525626816000013</v>
          </cell>
          <cell r="CH124">
            <v>213.65100977534996</v>
          </cell>
          <cell r="CJ124">
            <v>180.02133764999999</v>
          </cell>
          <cell r="CK124">
            <v>29.600881703000002</v>
          </cell>
          <cell r="CL124">
            <v>209.62221935299999</v>
          </cell>
          <cell r="CR124">
            <v>62.844592464225002</v>
          </cell>
          <cell r="CS124">
            <v>7.300529676</v>
          </cell>
          <cell r="CT124">
            <v>70.145122140224998</v>
          </cell>
          <cell r="CV124" t="str">
            <v>2004E</v>
          </cell>
          <cell r="CX124">
            <v>125.29164072919998</v>
          </cell>
          <cell r="CY124">
            <v>34.210268416800005</v>
          </cell>
          <cell r="CZ124">
            <v>159.501909146</v>
          </cell>
          <cell r="DB124">
            <v>93.396576493440008</v>
          </cell>
          <cell r="DC124">
            <v>5.6</v>
          </cell>
          <cell r="DD124">
            <v>98.996576493440003</v>
          </cell>
          <cell r="DJ124">
            <v>501.86317639104004</v>
          </cell>
          <cell r="DK124">
            <v>569.98211629132732</v>
          </cell>
          <cell r="DL124">
            <v>1071.8452926823675</v>
          </cell>
          <cell r="DN124">
            <v>2041.9622202091548</v>
          </cell>
          <cell r="DO124">
            <v>1656.0341724687273</v>
          </cell>
          <cell r="DP124">
            <v>3697.9963926778819</v>
          </cell>
          <cell r="DR124" t="str">
            <v>2004E</v>
          </cell>
          <cell r="DS124">
            <v>200.78514415994999</v>
          </cell>
          <cell r="DT124">
            <v>435.35047927072003</v>
          </cell>
          <cell r="DU124">
            <v>636.13562343066997</v>
          </cell>
          <cell r="DW124">
            <v>188.42221338767999</v>
          </cell>
          <cell r="DX124">
            <v>189.84</v>
          </cell>
          <cell r="DY124">
            <v>358.2790683094272</v>
          </cell>
          <cell r="EA124">
            <v>18.018000000000004</v>
          </cell>
          <cell r="EB124">
            <v>194.79152337067706</v>
          </cell>
          <cell r="EC124">
            <v>212.80952337067706</v>
          </cell>
          <cell r="EE124">
            <v>18.849599999999995</v>
          </cell>
          <cell r="EF124">
            <v>157.92343402499998</v>
          </cell>
          <cell r="EG124">
            <v>176.77303402499996</v>
          </cell>
          <cell r="EI124">
            <v>110.5924956706</v>
          </cell>
          <cell r="EJ124">
            <v>11.294097157440001</v>
          </cell>
          <cell r="EK124">
            <v>121.88659282804001</v>
          </cell>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A125" t="str">
            <v>2005E</v>
          </cell>
          <cell r="B125">
            <v>6563.5939937272315</v>
          </cell>
          <cell r="C125">
            <v>3928.0479638400016</v>
          </cell>
          <cell r="D125">
            <v>10491.641957567233</v>
          </cell>
          <cell r="F125">
            <v>0</v>
          </cell>
          <cell r="G125">
            <v>0</v>
          </cell>
          <cell r="H125">
            <v>0</v>
          </cell>
          <cell r="J125">
            <v>121.37578204499999</v>
          </cell>
          <cell r="K125">
            <v>320.88490309058568</v>
          </cell>
          <cell r="L125">
            <v>442.26068513558567</v>
          </cell>
          <cell r="R125">
            <v>123.31800000000001</v>
          </cell>
          <cell r="S125">
            <v>44.199369624529261</v>
          </cell>
          <cell r="T125">
            <v>167.51736962452927</v>
          </cell>
          <cell r="V125">
            <v>196.96049999999997</v>
          </cell>
          <cell r="W125">
            <v>248.35347056519998</v>
          </cell>
          <cell r="X125">
            <v>445.31397056519995</v>
          </cell>
          <cell r="Z125">
            <v>565.65436990781257</v>
          </cell>
          <cell r="AA125">
            <v>165.29365617187497</v>
          </cell>
          <cell r="AB125">
            <v>730.94802607968757</v>
          </cell>
          <cell r="AH125" t="str">
            <v>2005E</v>
          </cell>
          <cell r="AQ125">
            <v>175.77</v>
          </cell>
          <cell r="AR125">
            <v>230.72</v>
          </cell>
          <cell r="AS125">
            <v>406.49</v>
          </cell>
          <cell r="AY125">
            <v>462.83074582500046</v>
          </cell>
          <cell r="AZ125">
            <v>893.57425284081182</v>
          </cell>
          <cell r="BA125">
            <v>1356.4049986658124</v>
          </cell>
          <cell r="BC125">
            <v>8209.5033915050462</v>
          </cell>
          <cell r="BD125">
            <v>5831.0736161330033</v>
          </cell>
          <cell r="BE125">
            <v>14040.57700763805</v>
          </cell>
          <cell r="BG125">
            <v>750</v>
          </cell>
          <cell r="BH125">
            <v>250</v>
          </cell>
          <cell r="BI125">
            <v>1000</v>
          </cell>
          <cell r="BK125">
            <v>250</v>
          </cell>
          <cell r="BL125">
            <v>75</v>
          </cell>
          <cell r="BM125">
            <v>325</v>
          </cell>
          <cell r="BO125">
            <v>9209.5033915050462</v>
          </cell>
          <cell r="BP125">
            <v>6156.0736161330033</v>
          </cell>
          <cell r="BQ125">
            <v>15365.57700763805</v>
          </cell>
          <cell r="BS125" t="str">
            <v>2005E</v>
          </cell>
          <cell r="BT125">
            <v>320.28285810937479</v>
          </cell>
          <cell r="BU125">
            <v>748.26601215187497</v>
          </cell>
          <cell r="BV125">
            <v>1068.5488702612497</v>
          </cell>
          <cell r="BX125">
            <v>506.41831374749995</v>
          </cell>
          <cell r="BY125">
            <v>166.10294023312497</v>
          </cell>
          <cell r="BZ125">
            <v>672.52125398062492</v>
          </cell>
          <cell r="CB125">
            <v>86.111999999999995</v>
          </cell>
          <cell r="CC125">
            <v>129.96024</v>
          </cell>
          <cell r="CD125">
            <v>216.07223999999999</v>
          </cell>
          <cell r="CF125">
            <v>215.35336944843746</v>
          </cell>
          <cell r="CG125">
            <v>8.9801908156800021</v>
          </cell>
          <cell r="CH125">
            <v>224.33356026411747</v>
          </cell>
          <cell r="CJ125">
            <v>189.02240453249999</v>
          </cell>
          <cell r="CK125">
            <v>30.488908154090002</v>
          </cell>
          <cell r="CL125">
            <v>219.51131268659</v>
          </cell>
          <cell r="CR125">
            <v>62.216146539582752</v>
          </cell>
          <cell r="CS125">
            <v>7.2275243792400001</v>
          </cell>
          <cell r="CT125">
            <v>69.443670918822747</v>
          </cell>
          <cell r="CV125" t="str">
            <v>2005E</v>
          </cell>
          <cell r="CX125">
            <v>129.05038995107597</v>
          </cell>
          <cell r="CY125">
            <v>34.894473785136007</v>
          </cell>
          <cell r="CZ125">
            <v>163.94486373621197</v>
          </cell>
          <cell r="DB125">
            <v>95.264508023308807</v>
          </cell>
          <cell r="DC125">
            <v>5.6</v>
          </cell>
          <cell r="DD125">
            <v>100.8645080233088</v>
          </cell>
          <cell r="DJ125">
            <v>511.90043991886085</v>
          </cell>
          <cell r="DK125">
            <v>586.2594889968284</v>
          </cell>
          <cell r="DL125">
            <v>1098.1599289156893</v>
          </cell>
          <cell r="DN125">
            <v>2115.6204302706406</v>
          </cell>
          <cell r="DO125">
            <v>1717.7797785159744</v>
          </cell>
          <cell r="DP125">
            <v>3833.4002087866147</v>
          </cell>
          <cell r="DR125" t="str">
            <v>2005E</v>
          </cell>
          <cell r="DS125">
            <v>206.8086984847485</v>
          </cell>
          <cell r="DT125">
            <v>448.41099364884161</v>
          </cell>
          <cell r="DU125">
            <v>655.21969213359012</v>
          </cell>
          <cell r="DW125">
            <v>192.1906576554336</v>
          </cell>
          <cell r="DX125">
            <v>189.84</v>
          </cell>
          <cell r="DY125">
            <v>361.54043467561576</v>
          </cell>
          <cell r="EA125">
            <v>18.018000000000004</v>
          </cell>
          <cell r="EB125">
            <v>198.68735383809059</v>
          </cell>
          <cell r="EC125">
            <v>216.70535383809059</v>
          </cell>
          <cell r="EE125">
            <v>18.849599999999995</v>
          </cell>
          <cell r="EF125">
            <v>165.81960572624999</v>
          </cell>
          <cell r="EG125">
            <v>184.66920572624997</v>
          </cell>
          <cell r="EI125">
            <v>113.910270540718</v>
          </cell>
          <cell r="EJ125">
            <v>11.519979100588801</v>
          </cell>
          <cell r="EK125">
            <v>125.4302496413068</v>
          </cell>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A127" t="str">
            <v>E = Morgan Stanley Dean Witter Research Estimates             NM = Not Meaningful             A = Actual</v>
          </cell>
          <cell r="AH127" t="str">
            <v>E = Morgan Stanley Dean Witter Research Estimates             NM = Not Meaningful             A = Actual</v>
          </cell>
          <cell r="BS127" t="str">
            <v>E = Morgan Stanley Dean Witter Research Estimates       A = Actual          NM = Not Meaningful</v>
          </cell>
          <cell r="CV127" t="str">
            <v>E = Morgan Stanley Dean Witter Research Estimates             NM = Not Meaningful             A = Actual</v>
          </cell>
          <cell r="DR127" t="str">
            <v>E = Morgan Stanley Dean Witter Research Estimates             NM = Not Meaningful             A = Actual</v>
          </cell>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c1"/>
    </sheetNames>
    <sheetDataSet>
      <sheetData sheetId="0" refreshError="1">
        <row r="1">
          <cell r="A1" t="str">
            <v>Exhibit 12</v>
          </cell>
        </row>
        <row r="2">
          <cell r="A2" t="str">
            <v>U.S. Androgen Market</v>
          </cell>
        </row>
        <row r="3">
          <cell r="A3" t="str">
            <v xml:space="preserve">($ Million) </v>
          </cell>
        </row>
        <row r="4">
          <cell r="B4">
            <v>1997</v>
          </cell>
          <cell r="C4">
            <v>1998</v>
          </cell>
          <cell r="D4">
            <v>1999</v>
          </cell>
          <cell r="E4" t="str">
            <v>2000E</v>
          </cell>
          <cell r="F4" t="str">
            <v>2001E</v>
          </cell>
          <cell r="G4" t="str">
            <v>2002E</v>
          </cell>
          <cell r="H4" t="str">
            <v>2003E</v>
          </cell>
          <cell r="I4" t="str">
            <v>2004E</v>
          </cell>
          <cell r="J4" t="str">
            <v>2005E</v>
          </cell>
        </row>
        <row r="6">
          <cell r="A6" t="str">
            <v xml:space="preserve">Patient Population </v>
          </cell>
          <cell r="B6">
            <v>5000000</v>
          </cell>
          <cell r="C6">
            <v>5000000</v>
          </cell>
          <cell r="D6">
            <v>5000000</v>
          </cell>
          <cell r="E6">
            <v>5000000</v>
          </cell>
          <cell r="F6">
            <v>5000000</v>
          </cell>
          <cell r="G6">
            <v>5000000</v>
          </cell>
          <cell r="H6">
            <v>5000000</v>
          </cell>
          <cell r="I6">
            <v>5000000</v>
          </cell>
          <cell r="J6">
            <v>5000000</v>
          </cell>
        </row>
        <row r="7">
          <cell r="A7" t="str">
            <v xml:space="preserve">  % Treated</v>
          </cell>
          <cell r="B7">
            <v>0.03</v>
          </cell>
          <cell r="C7">
            <v>0.05</v>
          </cell>
          <cell r="D7">
            <v>7.0000000000000007E-2</v>
          </cell>
          <cell r="E7">
            <v>8.5300000000000001E-2</v>
          </cell>
          <cell r="F7">
            <v>9.1700000000000004E-2</v>
          </cell>
          <cell r="G7">
            <v>9.5799999999999996E-2</v>
          </cell>
          <cell r="H7">
            <v>0.1</v>
          </cell>
          <cell r="I7">
            <v>0.1</v>
          </cell>
          <cell r="J7">
            <v>0.1</v>
          </cell>
        </row>
        <row r="8">
          <cell r="A8" t="str">
            <v xml:space="preserve">  Patients Treated</v>
          </cell>
          <cell r="B8">
            <v>150000</v>
          </cell>
          <cell r="C8">
            <v>250000</v>
          </cell>
          <cell r="D8">
            <v>350000.00000000006</v>
          </cell>
          <cell r="E8">
            <v>426500</v>
          </cell>
          <cell r="F8">
            <v>458500</v>
          </cell>
          <cell r="G8">
            <v>479000</v>
          </cell>
          <cell r="H8">
            <v>500000</v>
          </cell>
          <cell r="I8">
            <v>500000</v>
          </cell>
          <cell r="J8">
            <v>500000</v>
          </cell>
        </row>
        <row r="10">
          <cell r="A10" t="str">
            <v>% of Population Treated</v>
          </cell>
          <cell r="B10">
            <v>0.03</v>
          </cell>
          <cell r="C10">
            <v>0.05</v>
          </cell>
          <cell r="D10">
            <v>7.0000000000000007E-2</v>
          </cell>
          <cell r="E10">
            <v>8.5300000000000001E-2</v>
          </cell>
          <cell r="F10">
            <v>9.1700000000000004E-2</v>
          </cell>
          <cell r="G10">
            <v>9.5799999999999996E-2</v>
          </cell>
          <cell r="H10">
            <v>0.1</v>
          </cell>
          <cell r="I10">
            <v>0.1</v>
          </cell>
          <cell r="J10">
            <v>0.1</v>
          </cell>
        </row>
        <row r="12">
          <cell r="A12" t="str">
            <v>Rx Per Person Per Year</v>
          </cell>
          <cell r="B12">
            <v>1.6466666666666667</v>
          </cell>
          <cell r="C12">
            <v>1.0720000000000001</v>
          </cell>
          <cell r="D12">
            <v>1.0720000000000001</v>
          </cell>
          <cell r="E12">
            <v>1.0720000000000001</v>
          </cell>
          <cell r="F12">
            <v>1.0720000000000001</v>
          </cell>
          <cell r="G12">
            <v>1.0720000000000001</v>
          </cell>
          <cell r="H12">
            <v>1.0720000000000001</v>
          </cell>
          <cell r="I12">
            <v>1.0720000000000001</v>
          </cell>
          <cell r="J12">
            <v>1.0720000000000001</v>
          </cell>
        </row>
        <row r="14">
          <cell r="A14" t="str">
            <v>Testoderm - Alza</v>
          </cell>
        </row>
        <row r="15">
          <cell r="A15" t="str">
            <v xml:space="preserve">  Sales</v>
          </cell>
          <cell r="B15">
            <v>5.4839999999999982</v>
          </cell>
          <cell r="C15">
            <v>7.2289999999999992</v>
          </cell>
          <cell r="D15">
            <v>17.483999999999998</v>
          </cell>
          <cell r="E15">
            <v>26.393325117037719</v>
          </cell>
          <cell r="F15">
            <v>31.484185089853447</v>
          </cell>
          <cell r="G15">
            <v>35.822775934485414</v>
          </cell>
          <cell r="H15">
            <v>40.010824895510851</v>
          </cell>
          <cell r="I15">
            <v>42.811582638196612</v>
          </cell>
          <cell r="J15">
            <v>45.808393422870381</v>
          </cell>
        </row>
        <row r="16">
          <cell r="A16" t="str">
            <v xml:space="preserve">  TRx</v>
          </cell>
          <cell r="B16">
            <v>72</v>
          </cell>
          <cell r="C16">
            <v>84</v>
          </cell>
          <cell r="D16">
            <v>175</v>
          </cell>
          <cell r="E16">
            <v>246.89232000000004</v>
          </cell>
          <cell r="F16">
            <v>275.24672000000004</v>
          </cell>
          <cell r="G16">
            <v>292.68815999999998</v>
          </cell>
          <cell r="H16">
            <v>305.52</v>
          </cell>
          <cell r="I16">
            <v>305.52</v>
          </cell>
          <cell r="J16">
            <v>305.52</v>
          </cell>
        </row>
        <row r="17">
          <cell r="A17" t="str">
            <v xml:space="preserve">  Price</v>
          </cell>
          <cell r="B17">
            <v>76.166666666666643</v>
          </cell>
          <cell r="C17">
            <v>86.059523809523796</v>
          </cell>
          <cell r="D17">
            <v>99.908571428571435</v>
          </cell>
          <cell r="E17">
            <v>106.90217142857144</v>
          </cell>
          <cell r="F17">
            <v>114.38532342857144</v>
          </cell>
          <cell r="G17">
            <v>122.39229606857145</v>
          </cell>
          <cell r="H17">
            <v>130.95975679337147</v>
          </cell>
          <cell r="I17">
            <v>140.12693976890748</v>
          </cell>
          <cell r="J17">
            <v>149.93582555273102</v>
          </cell>
        </row>
        <row r="18">
          <cell r="A18" t="str">
            <v xml:space="preserve">  Price from Redbook - </v>
          </cell>
        </row>
        <row r="20">
          <cell r="A20" t="str">
            <v>Androderm - Watson</v>
          </cell>
        </row>
        <row r="21">
          <cell r="A21" t="str">
            <v xml:space="preserve">  Sales</v>
          </cell>
          <cell r="B21">
            <v>16.524000000000001</v>
          </cell>
          <cell r="C21">
            <v>18.571000000000002</v>
          </cell>
          <cell r="D21">
            <v>19.523</v>
          </cell>
          <cell r="E21">
            <v>22.811072336888888</v>
          </cell>
          <cell r="F21">
            <v>24.629191191733334</v>
          </cell>
          <cell r="G21">
            <v>26.402886067460006</v>
          </cell>
          <cell r="H21">
            <v>28.938445063500005</v>
          </cell>
          <cell r="I21">
            <v>30.385367316675005</v>
          </cell>
          <cell r="J21">
            <v>31.904635682508758</v>
          </cell>
        </row>
        <row r="22">
          <cell r="A22" t="str">
            <v xml:space="preserve">  TRx</v>
          </cell>
          <cell r="B22">
            <v>175</v>
          </cell>
          <cell r="C22">
            <v>184</v>
          </cell>
          <cell r="D22">
            <v>189</v>
          </cell>
          <cell r="E22">
            <v>210.31567999999999</v>
          </cell>
          <cell r="F22">
            <v>216.26527999999999</v>
          </cell>
          <cell r="G22">
            <v>220.79984000000005</v>
          </cell>
          <cell r="H22">
            <v>230.48000000000002</v>
          </cell>
          <cell r="I22">
            <v>230.48000000000002</v>
          </cell>
          <cell r="J22">
            <v>230.48000000000002</v>
          </cell>
        </row>
        <row r="23">
          <cell r="A23" t="str">
            <v xml:space="preserve">  Price</v>
          </cell>
          <cell r="B23">
            <v>94.42285714285714</v>
          </cell>
          <cell r="C23">
            <v>100.92934782608695</v>
          </cell>
          <cell r="D23">
            <v>103.29629629629629</v>
          </cell>
          <cell r="E23">
            <v>108.46111111111111</v>
          </cell>
          <cell r="F23">
            <v>113.88416666666667</v>
          </cell>
          <cell r="G23">
            <v>119.57837500000001</v>
          </cell>
          <cell r="H23">
            <v>125.55729375000001</v>
          </cell>
          <cell r="I23">
            <v>131.83515843750001</v>
          </cell>
          <cell r="J23">
            <v>138.42691635937501</v>
          </cell>
        </row>
        <row r="24">
          <cell r="A24" t="str">
            <v xml:space="preserve">  Price from Redbook - </v>
          </cell>
        </row>
        <row r="26">
          <cell r="A26" t="str">
            <v>Total</v>
          </cell>
        </row>
        <row r="27">
          <cell r="A27" t="str">
            <v xml:space="preserve">  Sales</v>
          </cell>
          <cell r="B27">
            <v>22.007999999999999</v>
          </cell>
          <cell r="C27">
            <v>25.8</v>
          </cell>
          <cell r="D27">
            <v>37.006999999999998</v>
          </cell>
          <cell r="E27">
            <v>49.204397453926603</v>
          </cell>
          <cell r="F27">
            <v>56.113376281586781</v>
          </cell>
          <cell r="G27">
            <v>62.225662001945423</v>
          </cell>
          <cell r="H27">
            <v>68.949269959010849</v>
          </cell>
          <cell r="I27">
            <v>73.196949954871613</v>
          </cell>
          <cell r="J27">
            <v>77.713029105379135</v>
          </cell>
        </row>
        <row r="28">
          <cell r="A28" t="str">
            <v xml:space="preserve">  TRx</v>
          </cell>
          <cell r="B28">
            <v>247</v>
          </cell>
          <cell r="C28">
            <v>268</v>
          </cell>
          <cell r="D28">
            <v>364</v>
          </cell>
          <cell r="E28">
            <v>457.20800000000003</v>
          </cell>
          <cell r="F28">
            <v>491.51200000000006</v>
          </cell>
          <cell r="G28">
            <v>513.48800000000006</v>
          </cell>
          <cell r="H28">
            <v>536</v>
          </cell>
          <cell r="I28">
            <v>536</v>
          </cell>
          <cell r="J28">
            <v>536</v>
          </cell>
        </row>
        <row r="29">
          <cell r="A29" t="str">
            <v xml:space="preserve">  Price</v>
          </cell>
          <cell r="B29">
            <v>89.10121457489879</v>
          </cell>
          <cell r="C29">
            <v>96.268656716417908</v>
          </cell>
          <cell r="D29">
            <v>101.66758241758242</v>
          </cell>
          <cell r="E29">
            <v>107.61928368253969</v>
          </cell>
          <cell r="F29">
            <v>114.16481445333334</v>
          </cell>
          <cell r="G29">
            <v>121.18231000908573</v>
          </cell>
          <cell r="H29">
            <v>128.63669768472175</v>
          </cell>
          <cell r="I29">
            <v>136.56147379640225</v>
          </cell>
          <cell r="J29">
            <v>144.98699459958792</v>
          </cell>
        </row>
        <row r="31">
          <cell r="A31" t="str">
            <v>Total Rxs</v>
          </cell>
        </row>
        <row r="32">
          <cell r="A32" t="str">
            <v>Testoderm/TTS</v>
          </cell>
          <cell r="B32">
            <v>72</v>
          </cell>
          <cell r="C32">
            <v>84</v>
          </cell>
          <cell r="D32">
            <v>175</v>
          </cell>
          <cell r="E32">
            <v>246.89232000000004</v>
          </cell>
          <cell r="F32">
            <v>275.24672000000004</v>
          </cell>
          <cell r="G32">
            <v>292.68815999999998</v>
          </cell>
          <cell r="H32">
            <v>305.52</v>
          </cell>
          <cell r="I32">
            <v>305.52</v>
          </cell>
          <cell r="J32">
            <v>305.52</v>
          </cell>
        </row>
        <row r="33">
          <cell r="A33" t="str">
            <v>Androderm</v>
          </cell>
          <cell r="B33">
            <v>175</v>
          </cell>
          <cell r="C33">
            <v>184</v>
          </cell>
          <cell r="D33">
            <v>189</v>
          </cell>
          <cell r="E33">
            <v>210.31567999999999</v>
          </cell>
          <cell r="F33">
            <v>216.26527999999999</v>
          </cell>
          <cell r="G33">
            <v>220.79984000000005</v>
          </cell>
          <cell r="H33">
            <v>230.48000000000002</v>
          </cell>
          <cell r="I33">
            <v>230.48000000000002</v>
          </cell>
          <cell r="J33">
            <v>230.48000000000002</v>
          </cell>
        </row>
        <row r="34">
          <cell r="A34" t="str">
            <v xml:space="preserve">  Total</v>
          </cell>
          <cell r="B34">
            <v>247</v>
          </cell>
          <cell r="C34">
            <v>268</v>
          </cell>
          <cell r="D34">
            <v>364</v>
          </cell>
          <cell r="E34">
            <v>457.20800000000003</v>
          </cell>
          <cell r="F34">
            <v>491.51200000000006</v>
          </cell>
          <cell r="G34">
            <v>513.48800000000006</v>
          </cell>
          <cell r="H34">
            <v>536</v>
          </cell>
          <cell r="I34">
            <v>536</v>
          </cell>
          <cell r="J34">
            <v>536</v>
          </cell>
        </row>
        <row r="35">
          <cell r="A35" t="str">
            <v xml:space="preserve">    % Growth</v>
          </cell>
          <cell r="C35">
            <v>8.5020242914979782E-2</v>
          </cell>
          <cell r="D35">
            <v>0.35820895522388052</v>
          </cell>
          <cell r="E35">
            <v>0.25606593406593414</v>
          </cell>
          <cell r="F35">
            <v>7.5029308323564026E-2</v>
          </cell>
          <cell r="G35">
            <v>4.4711014176663122E-2</v>
          </cell>
          <cell r="H35">
            <v>4.3841336116910101E-2</v>
          </cell>
          <cell r="I35">
            <v>0</v>
          </cell>
          <cell r="J35">
            <v>0</v>
          </cell>
        </row>
        <row r="37">
          <cell r="A37" t="str">
            <v>% of Total Rx</v>
          </cell>
        </row>
        <row r="38">
          <cell r="A38" t="str">
            <v>Testoderm/TTS</v>
          </cell>
          <cell r="B38">
            <v>0.291497975708502</v>
          </cell>
          <cell r="C38">
            <v>0.31343283582089554</v>
          </cell>
          <cell r="D38">
            <v>0.48076923076923078</v>
          </cell>
          <cell r="E38">
            <v>0.54</v>
          </cell>
          <cell r="F38">
            <v>0.56000000000000005</v>
          </cell>
          <cell r="G38">
            <v>0.56999999999999995</v>
          </cell>
          <cell r="H38">
            <v>0.56999999999999995</v>
          </cell>
          <cell r="I38">
            <v>0.56999999999999995</v>
          </cell>
          <cell r="J38">
            <v>0.56999999999999995</v>
          </cell>
        </row>
        <row r="39">
          <cell r="A39" t="str">
            <v>Androderm</v>
          </cell>
          <cell r="B39">
            <v>0.708502024291498</v>
          </cell>
          <cell r="C39">
            <v>0.68656716417910446</v>
          </cell>
          <cell r="D39">
            <v>0.51923076923076927</v>
          </cell>
          <cell r="E39">
            <v>0.45999999999999996</v>
          </cell>
          <cell r="F39">
            <v>0.43999999999999995</v>
          </cell>
          <cell r="G39">
            <v>0.43000000000000005</v>
          </cell>
          <cell r="H39">
            <v>0.43000000000000005</v>
          </cell>
          <cell r="I39">
            <v>0.43000000000000005</v>
          </cell>
          <cell r="J39">
            <v>0.43000000000000005</v>
          </cell>
        </row>
        <row r="40">
          <cell r="A40" t="str">
            <v xml:space="preserve">  Total</v>
          </cell>
          <cell r="B40">
            <v>1</v>
          </cell>
          <cell r="C40">
            <v>1</v>
          </cell>
          <cell r="D40">
            <v>1</v>
          </cell>
          <cell r="E40">
            <v>1</v>
          </cell>
          <cell r="F40">
            <v>1</v>
          </cell>
          <cell r="G40">
            <v>1</v>
          </cell>
          <cell r="H40">
            <v>1</v>
          </cell>
          <cell r="I40">
            <v>1</v>
          </cell>
          <cell r="J40">
            <v>1</v>
          </cell>
        </row>
        <row r="42">
          <cell r="A42" t="str">
            <v>Total Sales - ($millions)</v>
          </cell>
        </row>
        <row r="43">
          <cell r="A43" t="str">
            <v>Testoderm/TTS</v>
          </cell>
          <cell r="B43">
            <v>6.3</v>
          </cell>
          <cell r="C43">
            <v>10</v>
          </cell>
          <cell r="D43">
            <v>20.8</v>
          </cell>
          <cell r="E43">
            <v>26.393325117037719</v>
          </cell>
          <cell r="F43">
            <v>31.484185089853447</v>
          </cell>
          <cell r="G43">
            <v>35.822775934485414</v>
          </cell>
          <cell r="H43">
            <v>40.010824895510851</v>
          </cell>
          <cell r="I43">
            <v>42.811582638196612</v>
          </cell>
          <cell r="J43">
            <v>45.808393422870381</v>
          </cell>
        </row>
        <row r="44">
          <cell r="A44" t="str">
            <v>Androderm</v>
          </cell>
          <cell r="B44">
            <v>16.524000000000001</v>
          </cell>
          <cell r="C44">
            <v>18.571000000000002</v>
          </cell>
          <cell r="D44">
            <v>19.523</v>
          </cell>
          <cell r="E44">
            <v>22.811072336888888</v>
          </cell>
          <cell r="F44">
            <v>24.629191191733334</v>
          </cell>
          <cell r="G44">
            <v>26.402886067460006</v>
          </cell>
          <cell r="H44">
            <v>28.938445063500005</v>
          </cell>
          <cell r="I44">
            <v>30.385367316675005</v>
          </cell>
          <cell r="J44">
            <v>31.904635682508758</v>
          </cell>
        </row>
        <row r="45">
          <cell r="A45" t="str">
            <v xml:space="preserve">  Total</v>
          </cell>
          <cell r="B45">
            <v>22.824000000000002</v>
          </cell>
          <cell r="C45">
            <v>28.571000000000002</v>
          </cell>
          <cell r="D45">
            <v>40.323</v>
          </cell>
          <cell r="E45">
            <v>49.204397453926603</v>
          </cell>
          <cell r="F45">
            <v>56.113376281586781</v>
          </cell>
          <cell r="G45">
            <v>62.225662001945423</v>
          </cell>
          <cell r="H45">
            <v>68.949269959010849</v>
          </cell>
          <cell r="I45">
            <v>73.196949954871613</v>
          </cell>
          <cell r="J45">
            <v>77.713029105379135</v>
          </cell>
        </row>
        <row r="46">
          <cell r="A46" t="str">
            <v xml:space="preserve">    % Growth</v>
          </cell>
          <cell r="C46">
            <v>0.25179635471433581</v>
          </cell>
          <cell r="D46">
            <v>0.41132616989254833</v>
          </cell>
          <cell r="E46">
            <v>0.22025636619117139</v>
          </cell>
          <cell r="F46">
            <v>0.1404138488664457</v>
          </cell>
          <cell r="G46">
            <v>0.10892742738711925</v>
          </cell>
          <cell r="H46">
            <v>0.10805201167414213</v>
          </cell>
          <cell r="I46">
            <v>6.1605873396280098E-2</v>
          </cell>
          <cell r="J46">
            <v>6.1697641135209036E-2</v>
          </cell>
        </row>
        <row r="48">
          <cell r="A48" t="str">
            <v>% of Total Sales</v>
          </cell>
        </row>
        <row r="49">
          <cell r="A49" t="str">
            <v>Testoderm/TTS</v>
          </cell>
          <cell r="B49">
            <v>0.27602523659305989</v>
          </cell>
          <cell r="C49">
            <v>0.35000525007875116</v>
          </cell>
          <cell r="D49">
            <v>0.51583463531979268</v>
          </cell>
          <cell r="E49">
            <v>0.53640175437066517</v>
          </cell>
          <cell r="F49">
            <v>0.56108163821510715</v>
          </cell>
          <cell r="G49">
            <v>0.5756913591914129</v>
          </cell>
          <cell r="H49">
            <v>0.58029366981400377</v>
          </cell>
          <cell r="I49">
            <v>0.58488205676044414</v>
          </cell>
          <cell r="J49">
            <v>0.58945577016119188</v>
          </cell>
        </row>
        <row r="50">
          <cell r="A50" t="str">
            <v>Androderm</v>
          </cell>
          <cell r="B50">
            <v>0.72397476340694</v>
          </cell>
          <cell r="C50">
            <v>0.64999474992124884</v>
          </cell>
          <cell r="D50">
            <v>0.48416536468020732</v>
          </cell>
          <cell r="E50">
            <v>0.46359824562933494</v>
          </cell>
          <cell r="F50">
            <v>0.43891836178489285</v>
          </cell>
          <cell r="G50">
            <v>0.4243086408085871</v>
          </cell>
          <cell r="H50">
            <v>0.41970633018599635</v>
          </cell>
          <cell r="I50">
            <v>0.41511794323955586</v>
          </cell>
          <cell r="J50">
            <v>0.41054422983880812</v>
          </cell>
        </row>
        <row r="51">
          <cell r="A51" t="str">
            <v xml:space="preserve">  Total</v>
          </cell>
          <cell r="B51">
            <v>1</v>
          </cell>
          <cell r="C51">
            <v>1</v>
          </cell>
          <cell r="D51">
            <v>1</v>
          </cell>
          <cell r="E51">
            <v>1</v>
          </cell>
          <cell r="F51">
            <v>1</v>
          </cell>
          <cell r="G51">
            <v>1</v>
          </cell>
          <cell r="H51">
            <v>1</v>
          </cell>
          <cell r="I51">
            <v>1</v>
          </cell>
          <cell r="J51">
            <v>1</v>
          </cell>
        </row>
        <row r="53">
          <cell r="A53" t="str">
            <v xml:space="preserve">Source: IMS America, Company Reports, and Morgan Stanley Dean Witter Research Estimates </v>
          </cell>
        </row>
      </sheetData>
      <sheetData sheetId="1" refreshError="1"/>
      <sheetData sheetId="2" refreshError="1"/>
      <sheetData sheetId="3"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ndout"/>
      <sheetName val="Chart Data"/>
      <sheetName val="QTRINC"/>
      <sheetName val="MARGIN"/>
      <sheetName val="QTR-SALES"/>
      <sheetName val="ANN-SALES"/>
      <sheetName val="CASHFLOW"/>
      <sheetName val="FEES-R&amp;D"/>
      <sheetName val="NEWPRODS"/>
      <sheetName val="IS-COMPS"/>
      <sheetName val="BALANCE-SHEET"/>
      <sheetName val="QTRINC-SEQ"/>
      <sheetName val="TESTODERM"/>
      <sheetName val="MARGIN-SEQ"/>
      <sheetName val="mStartup"/>
      <sheetName val="NY UPLOAD"/>
      <sheetName val="NY UPLOAD shadow"/>
    </sheetNames>
    <sheetDataSet>
      <sheetData sheetId="0" refreshError="1"/>
      <sheetData sheetId="1" refreshError="1"/>
      <sheetData sheetId="2" refreshError="1">
        <row r="4">
          <cell r="I4" t="str">
            <v xml:space="preserve">Sales </v>
          </cell>
          <cell r="K4" t="str">
            <v>R&amp;D</v>
          </cell>
          <cell r="R4" t="str">
            <v>Non-</v>
          </cell>
          <cell r="W4" t="str">
            <v>AT</v>
          </cell>
          <cell r="X4" t="str">
            <v>Adj.</v>
          </cell>
        </row>
        <row r="5">
          <cell r="B5" t="str">
            <v xml:space="preserve">               Revenues</v>
          </cell>
          <cell r="E5" t="str">
            <v>Contract</v>
          </cell>
          <cell r="I5" t="str">
            <v>Gross</v>
          </cell>
          <cell r="K5" t="str">
            <v>Cresc./</v>
          </cell>
          <cell r="L5" t="str">
            <v xml:space="preserve">Ex- </v>
          </cell>
          <cell r="M5" t="str">
            <v xml:space="preserve">In- </v>
          </cell>
          <cell r="O5" t="str">
            <v xml:space="preserve"> Oper.</v>
          </cell>
          <cell r="P5" t="str">
            <v>Int.</v>
          </cell>
          <cell r="Q5" t="str">
            <v>Int.</v>
          </cell>
          <cell r="R5" t="str">
            <v>Oper.</v>
          </cell>
          <cell r="S5" t="str">
            <v>Pretax</v>
          </cell>
          <cell r="T5" t="str">
            <v xml:space="preserve">    Tax</v>
          </cell>
          <cell r="V5" t="str">
            <v xml:space="preserve">   Net</v>
          </cell>
          <cell r="W5" t="str">
            <v>Conv.</v>
          </cell>
          <cell r="X5" t="str">
            <v xml:space="preserve">   Net</v>
          </cell>
          <cell r="Y5" t="str">
            <v xml:space="preserve">Avg. </v>
          </cell>
          <cell r="Z5" t="str">
            <v>EPS</v>
          </cell>
        </row>
        <row r="6">
          <cell r="B6" t="str">
            <v>Alza</v>
          </cell>
          <cell r="C6" t="str">
            <v>Fees</v>
          </cell>
          <cell r="D6" t="str">
            <v>R&amp;D</v>
          </cell>
          <cell r="E6" t="str">
            <v>Mfg.</v>
          </cell>
          <cell r="F6" t="str">
            <v>Other</v>
          </cell>
          <cell r="G6" t="str">
            <v>Total</v>
          </cell>
          <cell r="H6" t="str">
            <v>COGS</v>
          </cell>
          <cell r="I6" t="str">
            <v>Profit(g)</v>
          </cell>
          <cell r="J6" t="str">
            <v>SG&amp;A</v>
          </cell>
          <cell r="K6" t="str">
            <v>TDC</v>
          </cell>
          <cell r="L6" t="str">
            <v>ternal</v>
          </cell>
          <cell r="M6" t="str">
            <v>ternal</v>
          </cell>
          <cell r="N6" t="str">
            <v>Total</v>
          </cell>
          <cell r="O6" t="str">
            <v>Inc.</v>
          </cell>
          <cell r="P6" t="str">
            <v>Inc.</v>
          </cell>
          <cell r="Q6" t="str">
            <v>Exp.</v>
          </cell>
          <cell r="R6" t="str">
            <v>Items</v>
          </cell>
          <cell r="S6" t="str">
            <v>Inc.</v>
          </cell>
          <cell r="T6" t="str">
            <v xml:space="preserve">   Rate</v>
          </cell>
          <cell r="U6" t="str">
            <v>Tax</v>
          </cell>
          <cell r="V6" t="str">
            <v>Inc.</v>
          </cell>
          <cell r="W6" t="str">
            <v>Int.</v>
          </cell>
          <cell r="X6" t="str">
            <v>Inc.</v>
          </cell>
          <cell r="Y6" t="str">
            <v xml:space="preserve">Shs. </v>
          </cell>
          <cell r="Z6" t="str">
            <v>Oper.</v>
          </cell>
          <cell r="AA6" t="str">
            <v>Rep.</v>
          </cell>
        </row>
        <row r="8">
          <cell r="A8" t="str">
            <v>1995 (a)</v>
          </cell>
        </row>
        <row r="9">
          <cell r="A9" t="str">
            <v xml:space="preserve"> 1Q</v>
          </cell>
          <cell r="B9">
            <v>3.5</v>
          </cell>
          <cell r="C9">
            <v>33.962000000000003</v>
          </cell>
          <cell r="D9">
            <v>21.7</v>
          </cell>
          <cell r="E9">
            <v>15.326000000000001</v>
          </cell>
          <cell r="F9">
            <v>70.988</v>
          </cell>
          <cell r="G9">
            <v>74.488</v>
          </cell>
          <cell r="H9">
            <v>16.422000000000001</v>
          </cell>
          <cell r="I9">
            <v>2.4039999999999999</v>
          </cell>
          <cell r="J9">
            <v>8.5020000000000007</v>
          </cell>
          <cell r="K9">
            <v>14.1</v>
          </cell>
          <cell r="L9">
            <v>7.6</v>
          </cell>
          <cell r="M9">
            <v>0.54200000000000159</v>
          </cell>
          <cell r="N9">
            <v>22.242000000000001</v>
          </cell>
          <cell r="O9">
            <v>27.321999999999999</v>
          </cell>
          <cell r="P9">
            <v>5.7519999999999998</v>
          </cell>
          <cell r="Q9">
            <v>5.5949999999999998</v>
          </cell>
          <cell r="R9">
            <v>0.15700000000000003</v>
          </cell>
          <cell r="S9">
            <v>27.478999999999999</v>
          </cell>
          <cell r="T9">
            <v>0.37999927217147644</v>
          </cell>
          <cell r="U9">
            <v>10.442</v>
          </cell>
          <cell r="V9">
            <v>17.036999999999999</v>
          </cell>
          <cell r="W9">
            <v>0</v>
          </cell>
          <cell r="X9">
            <v>17.036999999999999</v>
          </cell>
          <cell r="Y9">
            <v>164.77799999999999</v>
          </cell>
          <cell r="Z9">
            <v>0.10339365692021993</v>
          </cell>
          <cell r="AA9">
            <v>0.1</v>
          </cell>
        </row>
        <row r="10">
          <cell r="A10" t="str">
            <v xml:space="preserve"> 2Q</v>
          </cell>
          <cell r="B10">
            <v>3.2</v>
          </cell>
          <cell r="C10">
            <v>34.229999999999997</v>
          </cell>
          <cell r="D10">
            <v>23.484999999999999</v>
          </cell>
          <cell r="E10">
            <v>15.98</v>
          </cell>
          <cell r="F10">
            <v>73.694999999999993</v>
          </cell>
          <cell r="G10">
            <v>76.894999999999996</v>
          </cell>
          <cell r="H10">
            <v>16.738</v>
          </cell>
          <cell r="I10">
            <v>2.4420000000000002</v>
          </cell>
          <cell r="J10">
            <v>8.3979999999999997</v>
          </cell>
          <cell r="K10">
            <v>14.5</v>
          </cell>
          <cell r="L10">
            <v>8.9849999999999994</v>
          </cell>
          <cell r="M10">
            <v>0.65899999999999892</v>
          </cell>
          <cell r="N10">
            <v>24.143999999999998</v>
          </cell>
          <cell r="O10">
            <v>27.615000000000002</v>
          </cell>
          <cell r="P10">
            <v>6.11</v>
          </cell>
          <cell r="Q10">
            <v>5.58</v>
          </cell>
          <cell r="R10">
            <v>0.53000000000000025</v>
          </cell>
          <cell r="S10">
            <v>28.145000000000003</v>
          </cell>
          <cell r="T10">
            <v>0.37999644697104279</v>
          </cell>
          <cell r="U10">
            <v>10.695</v>
          </cell>
          <cell r="V10">
            <v>17.450000000000003</v>
          </cell>
          <cell r="W10">
            <v>0</v>
          </cell>
          <cell r="X10">
            <v>17.450000000000003</v>
          </cell>
          <cell r="Y10">
            <v>164.82599999999999</v>
          </cell>
          <cell r="Z10">
            <v>0.10586921966194655</v>
          </cell>
          <cell r="AA10">
            <v>0.11</v>
          </cell>
        </row>
        <row r="11">
          <cell r="A11" t="str">
            <v xml:space="preserve"> 3Q</v>
          </cell>
          <cell r="B11">
            <v>3.2</v>
          </cell>
          <cell r="C11">
            <v>35.506</v>
          </cell>
          <cell r="D11">
            <v>27.524999999999999</v>
          </cell>
          <cell r="E11">
            <v>13.177</v>
          </cell>
          <cell r="F11">
            <v>76.207999999999998</v>
          </cell>
          <cell r="G11">
            <v>79.408000000000001</v>
          </cell>
          <cell r="H11">
            <v>15.422000000000001</v>
          </cell>
          <cell r="I11">
            <v>0.95499999999999829</v>
          </cell>
          <cell r="J11">
            <v>7.8620000000000001</v>
          </cell>
          <cell r="K11">
            <v>18.399999999999999</v>
          </cell>
          <cell r="L11">
            <v>9.125</v>
          </cell>
          <cell r="M11">
            <v>-1.3780000000000001</v>
          </cell>
          <cell r="N11">
            <v>26.146999999999998</v>
          </cell>
          <cell r="O11">
            <v>29.977000000000004</v>
          </cell>
          <cell r="P11">
            <v>6.19</v>
          </cell>
          <cell r="Q11">
            <v>6.774</v>
          </cell>
          <cell r="R11">
            <v>-0.58399999999999963</v>
          </cell>
          <cell r="S11">
            <v>29.393000000000004</v>
          </cell>
          <cell r="T11">
            <v>0.38002245432585985</v>
          </cell>
          <cell r="U11">
            <v>11.17</v>
          </cell>
          <cell r="V11">
            <v>18.223000000000006</v>
          </cell>
          <cell r="W11">
            <v>0</v>
          </cell>
          <cell r="X11">
            <v>18.223000000000006</v>
          </cell>
          <cell r="Y11">
            <v>165.68600000000001</v>
          </cell>
          <cell r="Z11">
            <v>0.10998515263812275</v>
          </cell>
          <cell r="AA11">
            <v>0.11</v>
          </cell>
        </row>
        <row r="12">
          <cell r="A12" t="str">
            <v xml:space="preserve"> 4Q</v>
          </cell>
          <cell r="B12">
            <v>3.7</v>
          </cell>
          <cell r="C12">
            <v>41.758999999999986</v>
          </cell>
          <cell r="D12">
            <v>31.261999999999993</v>
          </cell>
          <cell r="E12">
            <v>18.795000000000002</v>
          </cell>
          <cell r="F12">
            <v>91.815999999999988</v>
          </cell>
          <cell r="G12">
            <v>95.515999999999991</v>
          </cell>
          <cell r="H12">
            <v>16.812999999999999</v>
          </cell>
          <cell r="I12">
            <v>5.6820000000000022</v>
          </cell>
          <cell r="J12">
            <v>16.323</v>
          </cell>
          <cell r="K12">
            <v>23.1</v>
          </cell>
          <cell r="L12">
            <v>8.1619999999999919</v>
          </cell>
          <cell r="M12">
            <v>-0.37699999999999179</v>
          </cell>
          <cell r="N12">
            <v>30.885000000000002</v>
          </cell>
          <cell r="O12">
            <v>31.494999999999987</v>
          </cell>
          <cell r="P12">
            <v>6.2649999999999997</v>
          </cell>
          <cell r="Q12">
            <v>5.99</v>
          </cell>
          <cell r="R12">
            <v>0.27499999999999947</v>
          </cell>
          <cell r="S12">
            <v>31.769999999999985</v>
          </cell>
          <cell r="T12">
            <v>0.37998111425873476</v>
          </cell>
          <cell r="U12">
            <v>12.071999999999997</v>
          </cell>
          <cell r="V12">
            <v>19.697999999999986</v>
          </cell>
          <cell r="W12">
            <v>0</v>
          </cell>
          <cell r="X12">
            <v>19.697999999999986</v>
          </cell>
          <cell r="Y12">
            <v>165.58</v>
          </cell>
          <cell r="Z12">
            <v>0.11896364295204725</v>
          </cell>
          <cell r="AA12">
            <v>0.12</v>
          </cell>
        </row>
        <row r="14">
          <cell r="A14" t="str">
            <v>1995 (a)</v>
          </cell>
          <cell r="B14">
            <v>13.600000000000001</v>
          </cell>
          <cell r="C14">
            <v>145.45699999999999</v>
          </cell>
          <cell r="D14">
            <v>103.97200000000001</v>
          </cell>
          <cell r="E14">
            <v>63.278000000000006</v>
          </cell>
          <cell r="F14">
            <v>312.70699999999999</v>
          </cell>
          <cell r="G14">
            <v>326.30700000000002</v>
          </cell>
          <cell r="H14">
            <v>65.394999999999996</v>
          </cell>
          <cell r="I14">
            <v>11.483000000000001</v>
          </cell>
          <cell r="J14">
            <v>41.085000000000001</v>
          </cell>
          <cell r="K14">
            <v>70.099999999999994</v>
          </cell>
          <cell r="L14">
            <v>33.871999999999993</v>
          </cell>
          <cell r="M14">
            <v>-0.55399999999999139</v>
          </cell>
          <cell r="N14">
            <v>103.41799999999999</v>
          </cell>
          <cell r="O14">
            <v>116.40899999999999</v>
          </cell>
          <cell r="P14">
            <v>24.317</v>
          </cell>
          <cell r="Q14">
            <v>23.939</v>
          </cell>
          <cell r="R14">
            <v>0.37800000000000011</v>
          </cell>
          <cell r="S14">
            <v>116.78699999999999</v>
          </cell>
          <cell r="T14">
            <v>0.37999948624418817</v>
          </cell>
          <cell r="U14">
            <v>44.378999999999998</v>
          </cell>
          <cell r="V14">
            <v>72.407999999999987</v>
          </cell>
          <cell r="W14">
            <v>0</v>
          </cell>
          <cell r="X14">
            <v>72.407999999999987</v>
          </cell>
          <cell r="Y14">
            <v>165.2175</v>
          </cell>
          <cell r="Z14">
            <v>0.43821167217233647</v>
          </cell>
          <cell r="AA14">
            <v>0.44</v>
          </cell>
        </row>
        <row r="16">
          <cell r="A16" t="str">
            <v>1996 (b)</v>
          </cell>
        </row>
        <row r="17">
          <cell r="A17" t="str">
            <v xml:space="preserve"> 1Q</v>
          </cell>
          <cell r="B17">
            <v>6</v>
          </cell>
          <cell r="C17">
            <v>37.5</v>
          </cell>
          <cell r="D17">
            <v>30.3</v>
          </cell>
          <cell r="E17">
            <v>14.7</v>
          </cell>
          <cell r="F17">
            <v>82.5</v>
          </cell>
          <cell r="G17">
            <v>88.5</v>
          </cell>
          <cell r="H17">
            <v>16</v>
          </cell>
          <cell r="I17">
            <v>4.6999999999999993</v>
          </cell>
          <cell r="J17">
            <v>10.199999999999999</v>
          </cell>
          <cell r="K17">
            <v>22.9</v>
          </cell>
          <cell r="L17">
            <v>7.4000000000000021</v>
          </cell>
          <cell r="M17">
            <v>1</v>
          </cell>
          <cell r="N17">
            <v>31.3</v>
          </cell>
          <cell r="O17">
            <v>30.999999999999996</v>
          </cell>
          <cell r="P17">
            <v>8.2999999999999989</v>
          </cell>
          <cell r="Q17">
            <v>6.4</v>
          </cell>
          <cell r="R17">
            <v>1.8999999999999986</v>
          </cell>
          <cell r="S17">
            <v>32.899999999999991</v>
          </cell>
          <cell r="T17">
            <v>0.37993920972644385</v>
          </cell>
          <cell r="U17">
            <v>12.5</v>
          </cell>
          <cell r="V17">
            <v>20.399999999999991</v>
          </cell>
          <cell r="W17">
            <v>0</v>
          </cell>
          <cell r="X17">
            <v>20.399999999999991</v>
          </cell>
          <cell r="Y17">
            <v>169.2</v>
          </cell>
          <cell r="Z17">
            <v>0.12</v>
          </cell>
          <cell r="AA17">
            <v>0.12</v>
          </cell>
        </row>
        <row r="18">
          <cell r="A18" t="str">
            <v xml:space="preserve"> 2Q (c)</v>
          </cell>
          <cell r="B18">
            <v>3.8</v>
          </cell>
          <cell r="C18">
            <v>49.1</v>
          </cell>
          <cell r="D18">
            <v>35.1</v>
          </cell>
          <cell r="E18">
            <v>29.8</v>
          </cell>
          <cell r="F18">
            <v>114</v>
          </cell>
          <cell r="G18">
            <v>117.8</v>
          </cell>
          <cell r="H18">
            <v>29.6</v>
          </cell>
          <cell r="I18">
            <v>4</v>
          </cell>
          <cell r="J18">
            <v>11.9</v>
          </cell>
          <cell r="K18">
            <v>26.5</v>
          </cell>
          <cell r="L18">
            <v>8.6000000000000014</v>
          </cell>
          <cell r="M18">
            <v>3.1000000000000014</v>
          </cell>
          <cell r="N18">
            <v>38.200000000000003</v>
          </cell>
          <cell r="O18">
            <v>38.09999999999998</v>
          </cell>
          <cell r="P18">
            <v>10.199999999999999</v>
          </cell>
          <cell r="Q18">
            <v>10.9</v>
          </cell>
          <cell r="R18">
            <v>-0.70000000000000107</v>
          </cell>
          <cell r="S18">
            <v>37.399999999999977</v>
          </cell>
          <cell r="T18">
            <v>0.37967914438502692</v>
          </cell>
          <cell r="U18">
            <v>14.2</v>
          </cell>
          <cell r="V18">
            <v>23.199999999999978</v>
          </cell>
          <cell r="W18">
            <v>3</v>
          </cell>
          <cell r="X18">
            <v>26.199999999999978</v>
          </cell>
          <cell r="Y18">
            <v>194.8</v>
          </cell>
          <cell r="Z18">
            <v>0.13500000000000001</v>
          </cell>
          <cell r="AA18">
            <v>0.13500000000000001</v>
          </cell>
        </row>
        <row r="19">
          <cell r="A19" t="str">
            <v xml:space="preserve"> 3Q</v>
          </cell>
          <cell r="B19">
            <v>5.7</v>
          </cell>
          <cell r="C19">
            <v>39.5</v>
          </cell>
          <cell r="D19">
            <v>29.4</v>
          </cell>
          <cell r="E19">
            <v>23.8</v>
          </cell>
          <cell r="F19">
            <v>92.7</v>
          </cell>
          <cell r="G19">
            <v>98.4</v>
          </cell>
          <cell r="H19">
            <v>21.4</v>
          </cell>
          <cell r="I19">
            <v>8.1000000000000014</v>
          </cell>
          <cell r="J19">
            <v>11.6</v>
          </cell>
          <cell r="K19">
            <v>22.4</v>
          </cell>
          <cell r="L19">
            <v>7</v>
          </cell>
          <cell r="M19">
            <v>2.3000000000000007</v>
          </cell>
          <cell r="N19">
            <v>31.7</v>
          </cell>
          <cell r="O19">
            <v>33.700000000000003</v>
          </cell>
          <cell r="P19">
            <v>16.5</v>
          </cell>
          <cell r="Q19">
            <v>12.9</v>
          </cell>
          <cell r="R19">
            <v>3.5999999999999996</v>
          </cell>
          <cell r="S19">
            <v>37.300000000000004</v>
          </cell>
          <cell r="T19">
            <v>0.38069705093833772</v>
          </cell>
          <cell r="U19">
            <v>14.2</v>
          </cell>
          <cell r="V19">
            <v>23.100000000000005</v>
          </cell>
          <cell r="W19">
            <v>3.1</v>
          </cell>
          <cell r="X19">
            <v>26.200000000000006</v>
          </cell>
          <cell r="Y19">
            <v>194.6</v>
          </cell>
          <cell r="Z19">
            <v>0.13500000000000001</v>
          </cell>
          <cell r="AA19">
            <v>0.13500000000000001</v>
          </cell>
        </row>
        <row r="20">
          <cell r="A20" t="str">
            <v xml:space="preserve"> 4Q</v>
          </cell>
          <cell r="B20">
            <v>7.6</v>
          </cell>
          <cell r="C20">
            <v>47.2</v>
          </cell>
          <cell r="D20">
            <v>36.4</v>
          </cell>
          <cell r="E20">
            <v>17.2</v>
          </cell>
          <cell r="F20">
            <v>100.8</v>
          </cell>
          <cell r="G20">
            <v>108.39999999999999</v>
          </cell>
          <cell r="H20">
            <v>18.2</v>
          </cell>
          <cell r="I20">
            <v>6.5999999999999979</v>
          </cell>
          <cell r="J20">
            <v>13.4</v>
          </cell>
          <cell r="K20">
            <v>26.8</v>
          </cell>
          <cell r="L20">
            <v>9.5999999999999979</v>
          </cell>
          <cell r="M20">
            <v>4</v>
          </cell>
          <cell r="N20">
            <v>40.4</v>
          </cell>
          <cell r="O20">
            <v>36.399999999999984</v>
          </cell>
          <cell r="P20">
            <v>17.899999999999999</v>
          </cell>
          <cell r="Q20">
            <v>12.8</v>
          </cell>
          <cell r="R20">
            <v>5.0999999999999979</v>
          </cell>
          <cell r="S20">
            <v>41.499999999999986</v>
          </cell>
          <cell r="T20">
            <v>0.38072289156626521</v>
          </cell>
          <cell r="U20">
            <v>15.8</v>
          </cell>
          <cell r="V20">
            <v>25.699999999999985</v>
          </cell>
          <cell r="W20">
            <v>3.1</v>
          </cell>
          <cell r="X20">
            <v>28.799999999999986</v>
          </cell>
          <cell r="Y20">
            <v>195</v>
          </cell>
          <cell r="Z20">
            <v>0.15</v>
          </cell>
          <cell r="AA20">
            <v>0.15</v>
          </cell>
        </row>
        <row r="22">
          <cell r="A22" t="str">
            <v>1996 (b,c)</v>
          </cell>
          <cell r="B22">
            <v>23.1</v>
          </cell>
          <cell r="C22">
            <v>173.3</v>
          </cell>
          <cell r="D22">
            <v>131.20000000000002</v>
          </cell>
          <cell r="E22">
            <v>85.5</v>
          </cell>
          <cell r="F22">
            <v>390</v>
          </cell>
          <cell r="G22">
            <v>413.1</v>
          </cell>
          <cell r="H22">
            <v>85.2</v>
          </cell>
          <cell r="I22">
            <v>23.4</v>
          </cell>
          <cell r="J22">
            <v>47.1</v>
          </cell>
          <cell r="K22">
            <v>98.6</v>
          </cell>
          <cell r="L22">
            <v>32.6</v>
          </cell>
          <cell r="M22">
            <v>10.400000000000002</v>
          </cell>
          <cell r="N22">
            <v>141.6</v>
          </cell>
          <cell r="O22">
            <v>139.19999999999996</v>
          </cell>
          <cell r="P22">
            <v>52.9</v>
          </cell>
          <cell r="Q22">
            <v>43</v>
          </cell>
          <cell r="R22">
            <v>9.899999999999995</v>
          </cell>
          <cell r="S22">
            <v>149.09999999999997</v>
          </cell>
          <cell r="T22">
            <v>0.38028169014084517</v>
          </cell>
          <cell r="U22">
            <v>56.7</v>
          </cell>
          <cell r="V22">
            <v>92.399999999999963</v>
          </cell>
          <cell r="W22">
            <v>9.1999999999999993</v>
          </cell>
          <cell r="X22">
            <v>101.59999999999997</v>
          </cell>
          <cell r="Y22">
            <v>188.4</v>
          </cell>
          <cell r="Z22">
            <v>0.54</v>
          </cell>
          <cell r="AA22">
            <v>0.54</v>
          </cell>
        </row>
        <row r="24">
          <cell r="A24" t="str">
            <v>1997</v>
          </cell>
        </row>
        <row r="25">
          <cell r="A25" t="str">
            <v xml:space="preserve"> 1Q</v>
          </cell>
          <cell r="B25">
            <v>6.9</v>
          </cell>
          <cell r="C25">
            <v>44.2</v>
          </cell>
          <cell r="D25">
            <v>33.799999999999997</v>
          </cell>
          <cell r="E25">
            <v>20.6</v>
          </cell>
          <cell r="F25">
            <v>98.6</v>
          </cell>
          <cell r="G25">
            <v>105.5</v>
          </cell>
          <cell r="H25">
            <v>19.7</v>
          </cell>
          <cell r="I25">
            <v>7.8000000000000007</v>
          </cell>
          <cell r="J25">
            <v>11.6</v>
          </cell>
          <cell r="K25">
            <v>23.4</v>
          </cell>
          <cell r="L25">
            <v>10.399999999999999</v>
          </cell>
          <cell r="M25">
            <v>1.2000000000000028</v>
          </cell>
          <cell r="N25">
            <v>35</v>
          </cell>
          <cell r="O25">
            <v>39.200000000000003</v>
          </cell>
          <cell r="P25">
            <v>16.899999999999999</v>
          </cell>
          <cell r="Q25">
            <v>13.7</v>
          </cell>
          <cell r="R25">
            <v>3.1999999999999993</v>
          </cell>
          <cell r="S25">
            <v>42.400000000000006</v>
          </cell>
          <cell r="T25">
            <v>0.37971698113207547</v>
          </cell>
          <cell r="U25">
            <v>16.100000000000001</v>
          </cell>
          <cell r="V25">
            <v>26.300000000000004</v>
          </cell>
          <cell r="W25">
            <v>3.2</v>
          </cell>
          <cell r="X25">
            <v>29.500000000000004</v>
          </cell>
          <cell r="Y25">
            <v>195.6</v>
          </cell>
          <cell r="Z25">
            <v>0.15081799591002049</v>
          </cell>
          <cell r="AA25">
            <v>0.15</v>
          </cell>
        </row>
        <row r="26">
          <cell r="A26" t="str">
            <v xml:space="preserve"> 2Q</v>
          </cell>
          <cell r="B26">
            <v>8.5</v>
          </cell>
          <cell r="C26">
            <v>45.7</v>
          </cell>
          <cell r="D26">
            <v>36.1</v>
          </cell>
          <cell r="E26">
            <v>27.9</v>
          </cell>
          <cell r="F26">
            <v>109.70000000000002</v>
          </cell>
          <cell r="G26">
            <v>118.20000000000002</v>
          </cell>
          <cell r="H26">
            <v>23.1</v>
          </cell>
          <cell r="I26">
            <v>13.299999999999997</v>
          </cell>
          <cell r="J26">
            <v>12.6</v>
          </cell>
          <cell r="K26">
            <v>25.9</v>
          </cell>
          <cell r="L26">
            <v>10.200000000000003</v>
          </cell>
          <cell r="M26">
            <v>3.5</v>
          </cell>
          <cell r="N26">
            <v>39.6</v>
          </cell>
          <cell r="O26">
            <v>42.900000000000027</v>
          </cell>
          <cell r="P26">
            <v>13.5</v>
          </cell>
          <cell r="Q26">
            <v>13.7</v>
          </cell>
          <cell r="R26">
            <v>-0.19999999999999929</v>
          </cell>
          <cell r="S26">
            <v>42.700000000000031</v>
          </cell>
          <cell r="T26">
            <v>0.38173302107728313</v>
          </cell>
          <cell r="U26">
            <v>16.3</v>
          </cell>
          <cell r="V26">
            <v>26.400000000000031</v>
          </cell>
          <cell r="W26">
            <v>3.2</v>
          </cell>
          <cell r="X26">
            <v>29.60000000000003</v>
          </cell>
          <cell r="Y26">
            <v>196</v>
          </cell>
          <cell r="Z26">
            <v>0.15102040816326545</v>
          </cell>
          <cell r="AA26">
            <v>0.15</v>
          </cell>
        </row>
        <row r="27">
          <cell r="A27" t="str">
            <v xml:space="preserve"> 3Q (d)</v>
          </cell>
          <cell r="B27">
            <v>14.1</v>
          </cell>
          <cell r="C27">
            <v>41.9</v>
          </cell>
          <cell r="D27">
            <v>36.1</v>
          </cell>
          <cell r="E27">
            <v>22.4</v>
          </cell>
          <cell r="F27">
            <v>100.4</v>
          </cell>
          <cell r="G27">
            <v>114.5</v>
          </cell>
          <cell r="H27">
            <v>22</v>
          </cell>
          <cell r="I27">
            <v>14.5</v>
          </cell>
          <cell r="J27">
            <v>11</v>
          </cell>
          <cell r="K27">
            <v>26.6</v>
          </cell>
          <cell r="L27">
            <v>9.5</v>
          </cell>
          <cell r="M27">
            <v>5.7999999999999972</v>
          </cell>
          <cell r="N27">
            <v>41.9</v>
          </cell>
          <cell r="O27">
            <v>39.6</v>
          </cell>
          <cell r="P27">
            <v>17.8</v>
          </cell>
          <cell r="Q27">
            <v>13.8</v>
          </cell>
          <cell r="R27">
            <v>4</v>
          </cell>
          <cell r="S27">
            <v>43.6</v>
          </cell>
          <cell r="T27">
            <v>0.38073394495412843</v>
          </cell>
          <cell r="U27">
            <v>16.600000000000001</v>
          </cell>
          <cell r="V27">
            <v>27</v>
          </cell>
          <cell r="W27">
            <v>3.2</v>
          </cell>
          <cell r="X27">
            <v>30.2</v>
          </cell>
          <cell r="Y27">
            <v>196.8</v>
          </cell>
          <cell r="Z27">
            <v>0.15345528455284552</v>
          </cell>
          <cell r="AA27">
            <v>-1.915</v>
          </cell>
        </row>
        <row r="28">
          <cell r="A28" t="str">
            <v xml:space="preserve"> 4Q</v>
          </cell>
          <cell r="B28">
            <v>23.4</v>
          </cell>
          <cell r="C28">
            <v>51.6</v>
          </cell>
          <cell r="D28">
            <v>29</v>
          </cell>
          <cell r="E28">
            <v>22.2</v>
          </cell>
          <cell r="F28">
            <v>102.8</v>
          </cell>
          <cell r="G28">
            <v>126.19999999999999</v>
          </cell>
          <cell r="H28">
            <v>27.9</v>
          </cell>
          <cell r="I28">
            <v>17.699999999999996</v>
          </cell>
          <cell r="J28">
            <v>16.300000000000004</v>
          </cell>
          <cell r="K28">
            <v>21.6</v>
          </cell>
          <cell r="L28">
            <v>7.3999999999999986</v>
          </cell>
          <cell r="M28">
            <v>9.8999999999999986</v>
          </cell>
          <cell r="N28">
            <v>38.9</v>
          </cell>
          <cell r="O28">
            <v>43.099999999999973</v>
          </cell>
          <cell r="P28">
            <v>7.3</v>
          </cell>
          <cell r="Q28">
            <v>13.7</v>
          </cell>
          <cell r="R28">
            <v>-6.3999999999999995</v>
          </cell>
          <cell r="S28">
            <v>36.699999999999974</v>
          </cell>
          <cell r="T28">
            <v>0.24250681198910096</v>
          </cell>
          <cell r="U28">
            <v>8.8999999999999986</v>
          </cell>
          <cell r="V28">
            <v>27.799999999999976</v>
          </cell>
          <cell r="W28">
            <v>3.2</v>
          </cell>
          <cell r="X28">
            <v>30.999999999999975</v>
          </cell>
          <cell r="Y28">
            <v>196.6</v>
          </cell>
          <cell r="Z28">
            <v>0.15768056968463873</v>
          </cell>
          <cell r="AA28">
            <v>0.15</v>
          </cell>
        </row>
        <row r="30">
          <cell r="A30" t="str">
            <v>1997 (d)</v>
          </cell>
          <cell r="B30">
            <v>52.9</v>
          </cell>
          <cell r="C30">
            <v>183.4</v>
          </cell>
          <cell r="D30">
            <v>135</v>
          </cell>
          <cell r="E30">
            <v>93.100000000000009</v>
          </cell>
          <cell r="F30">
            <v>411.50000000000006</v>
          </cell>
          <cell r="G30">
            <v>464.40000000000003</v>
          </cell>
          <cell r="H30">
            <v>92.699999999999989</v>
          </cell>
          <cell r="I30">
            <v>53.29999999999999</v>
          </cell>
          <cell r="J30">
            <v>51.500000000000007</v>
          </cell>
          <cell r="K30">
            <v>97.5</v>
          </cell>
          <cell r="L30">
            <v>37.5</v>
          </cell>
          <cell r="M30">
            <v>20.399999999999999</v>
          </cell>
          <cell r="N30">
            <v>155.4</v>
          </cell>
          <cell r="O30">
            <v>164.79999999999998</v>
          </cell>
          <cell r="P30">
            <v>55.5</v>
          </cell>
          <cell r="Q30">
            <v>54.900000000000006</v>
          </cell>
          <cell r="R30">
            <v>0.60000000000000053</v>
          </cell>
          <cell r="S30">
            <v>165.40000000000003</v>
          </cell>
          <cell r="T30">
            <v>0.35006045949214021</v>
          </cell>
          <cell r="U30">
            <v>57.900000000000006</v>
          </cell>
          <cell r="V30">
            <v>107.5</v>
          </cell>
          <cell r="W30">
            <v>12.8</v>
          </cell>
          <cell r="X30">
            <v>120.30000000000001</v>
          </cell>
          <cell r="Y30">
            <v>196.25000000000003</v>
          </cell>
          <cell r="Z30">
            <v>0.61297425831077024</v>
          </cell>
          <cell r="AA30">
            <v>-1.4650000000000001</v>
          </cell>
        </row>
        <row r="32">
          <cell r="A32" t="str">
            <v>1998 (e)</v>
          </cell>
        </row>
        <row r="33">
          <cell r="A33" t="str">
            <v xml:space="preserve"> 1Q</v>
          </cell>
          <cell r="B33">
            <v>41.8</v>
          </cell>
          <cell r="C33">
            <v>50.4</v>
          </cell>
          <cell r="D33">
            <v>26.3</v>
          </cell>
          <cell r="E33">
            <v>25</v>
          </cell>
          <cell r="F33">
            <v>101.7</v>
          </cell>
          <cell r="G33">
            <v>143.5</v>
          </cell>
          <cell r="H33">
            <v>31.3</v>
          </cell>
          <cell r="I33">
            <v>35.5</v>
          </cell>
          <cell r="J33">
            <v>24.4</v>
          </cell>
          <cell r="K33">
            <v>19.940000000000001</v>
          </cell>
          <cell r="L33">
            <v>6.3599999999999994</v>
          </cell>
          <cell r="M33">
            <v>13.900000000000002</v>
          </cell>
          <cell r="N33">
            <v>40.200000000000003</v>
          </cell>
          <cell r="O33">
            <v>47.600000000000009</v>
          </cell>
          <cell r="P33">
            <v>6.9</v>
          </cell>
          <cell r="Q33">
            <v>14.2</v>
          </cell>
          <cell r="R33">
            <v>-7.2999999999999989</v>
          </cell>
          <cell r="S33">
            <v>40.300000000000011</v>
          </cell>
          <cell r="T33">
            <v>0.3424317617866004</v>
          </cell>
          <cell r="U33">
            <v>13.8</v>
          </cell>
          <cell r="V33">
            <v>26.500000000000011</v>
          </cell>
          <cell r="W33">
            <v>0</v>
          </cell>
          <cell r="X33">
            <v>26.500000000000011</v>
          </cell>
          <cell r="Y33">
            <v>200.2</v>
          </cell>
          <cell r="Z33">
            <v>0.13500000000000001</v>
          </cell>
          <cell r="AA33">
            <v>0.13500000000000001</v>
          </cell>
        </row>
        <row r="34">
          <cell r="A34" t="str">
            <v xml:space="preserve"> 2Q</v>
          </cell>
          <cell r="B34">
            <v>41.8</v>
          </cell>
          <cell r="C34">
            <v>53.4</v>
          </cell>
          <cell r="D34">
            <v>32.6</v>
          </cell>
          <cell r="E34">
            <v>30.5</v>
          </cell>
          <cell r="F34">
            <v>116.5</v>
          </cell>
          <cell r="G34">
            <v>158.30000000000001</v>
          </cell>
          <cell r="H34">
            <v>35.200000000000003</v>
          </cell>
          <cell r="I34">
            <v>37.099999999999994</v>
          </cell>
          <cell r="J34">
            <v>25.2</v>
          </cell>
          <cell r="K34">
            <v>24.94</v>
          </cell>
          <cell r="L34">
            <v>7.66</v>
          </cell>
          <cell r="M34">
            <v>12.199999999999996</v>
          </cell>
          <cell r="N34">
            <v>44.8</v>
          </cell>
          <cell r="O34">
            <v>53.100000000000009</v>
          </cell>
          <cell r="P34">
            <v>6.5</v>
          </cell>
          <cell r="Q34">
            <v>14.3</v>
          </cell>
          <cell r="R34">
            <v>-7.8000000000000007</v>
          </cell>
          <cell r="S34">
            <v>45.300000000000011</v>
          </cell>
          <cell r="T34">
            <v>0.35099337748344361</v>
          </cell>
          <cell r="U34">
            <v>15.899999999999999</v>
          </cell>
          <cell r="V34">
            <v>29.400000000000013</v>
          </cell>
          <cell r="W34">
            <v>3.5</v>
          </cell>
          <cell r="X34">
            <v>32.900000000000013</v>
          </cell>
          <cell r="Y34">
            <v>227.2</v>
          </cell>
          <cell r="Z34">
            <v>0.14499999999999999</v>
          </cell>
          <cell r="AA34">
            <v>0.14499999999999999</v>
          </cell>
        </row>
        <row r="35">
          <cell r="A35" t="str">
            <v xml:space="preserve"> 3Q</v>
          </cell>
          <cell r="B35">
            <v>43.9</v>
          </cell>
          <cell r="C35">
            <v>65.3</v>
          </cell>
          <cell r="D35">
            <v>32.799999999999997</v>
          </cell>
          <cell r="E35">
            <v>30.8</v>
          </cell>
          <cell r="F35">
            <v>128.9</v>
          </cell>
          <cell r="G35">
            <v>172.8</v>
          </cell>
          <cell r="H35">
            <v>32.6</v>
          </cell>
          <cell r="I35">
            <v>42.1</v>
          </cell>
          <cell r="J35">
            <v>38</v>
          </cell>
          <cell r="K35">
            <v>24.7</v>
          </cell>
          <cell r="L35">
            <v>8.0999999999999979</v>
          </cell>
          <cell r="M35">
            <v>18.900000000000006</v>
          </cell>
          <cell r="N35">
            <v>51.7</v>
          </cell>
          <cell r="O35">
            <v>50.500000000000014</v>
          </cell>
          <cell r="P35">
            <v>6.3</v>
          </cell>
          <cell r="Q35">
            <v>14.2</v>
          </cell>
          <cell r="R35">
            <v>-7.8999999999999995</v>
          </cell>
          <cell r="S35">
            <v>42.600000000000016</v>
          </cell>
          <cell r="T35">
            <v>0.34976525821596233</v>
          </cell>
          <cell r="U35">
            <v>14.9</v>
          </cell>
          <cell r="V35">
            <v>27.700000000000017</v>
          </cell>
          <cell r="W35">
            <v>0</v>
          </cell>
          <cell r="X35">
            <v>27.700000000000017</v>
          </cell>
          <cell r="Y35">
            <v>202.4</v>
          </cell>
          <cell r="Z35">
            <v>0.13500000000000001</v>
          </cell>
          <cell r="AA35">
            <v>0.13500000000000001</v>
          </cell>
        </row>
        <row r="36">
          <cell r="A36" t="str">
            <v xml:space="preserve"> 4Q</v>
          </cell>
          <cell r="B36">
            <v>48.3</v>
          </cell>
          <cell r="C36">
            <v>64</v>
          </cell>
          <cell r="D36">
            <v>32.700000000000003</v>
          </cell>
          <cell r="E36">
            <v>27.3</v>
          </cell>
          <cell r="F36">
            <v>124</v>
          </cell>
          <cell r="G36">
            <v>172.3</v>
          </cell>
          <cell r="H36">
            <v>26.6</v>
          </cell>
          <cell r="I36">
            <v>48.999999999999993</v>
          </cell>
          <cell r="J36">
            <v>46.7</v>
          </cell>
          <cell r="K36">
            <v>25.2</v>
          </cell>
          <cell r="L36">
            <v>7.5000000000000036</v>
          </cell>
          <cell r="M36">
            <v>21</v>
          </cell>
          <cell r="N36">
            <v>53.7</v>
          </cell>
          <cell r="O36">
            <v>45.300000000000011</v>
          </cell>
          <cell r="P36">
            <v>6.7</v>
          </cell>
          <cell r="Q36">
            <v>14</v>
          </cell>
          <cell r="R36">
            <v>-7.3</v>
          </cell>
          <cell r="S36">
            <v>38.000000000000014</v>
          </cell>
          <cell r="T36">
            <v>0.34999999999999987</v>
          </cell>
          <cell r="U36">
            <v>13.3</v>
          </cell>
          <cell r="V36">
            <v>24.700000000000014</v>
          </cell>
          <cell r="W36">
            <v>0</v>
          </cell>
          <cell r="X36">
            <v>24.700000000000014</v>
          </cell>
          <cell r="Y36">
            <v>205.8</v>
          </cell>
          <cell r="Z36">
            <v>0.12</v>
          </cell>
          <cell r="AA36">
            <v>0.12</v>
          </cell>
        </row>
        <row r="38">
          <cell r="A38" t="str">
            <v>Year</v>
          </cell>
          <cell r="B38">
            <v>175.8</v>
          </cell>
          <cell r="C38">
            <v>233.1</v>
          </cell>
          <cell r="D38">
            <v>124.4</v>
          </cell>
          <cell r="E38">
            <v>113.6</v>
          </cell>
          <cell r="F38">
            <v>471.1</v>
          </cell>
          <cell r="G38">
            <v>646.90000000000009</v>
          </cell>
          <cell r="H38">
            <v>125.69999999999999</v>
          </cell>
          <cell r="I38">
            <v>163.69999999999999</v>
          </cell>
          <cell r="J38">
            <v>134.30000000000001</v>
          </cell>
          <cell r="K38">
            <v>94.78</v>
          </cell>
          <cell r="L38">
            <v>29.62</v>
          </cell>
          <cell r="M38">
            <v>66</v>
          </cell>
          <cell r="N38">
            <v>190.39999999999998</v>
          </cell>
          <cell r="O38">
            <v>196.50000000000006</v>
          </cell>
          <cell r="P38">
            <v>26.4</v>
          </cell>
          <cell r="Q38">
            <v>56.7</v>
          </cell>
          <cell r="R38">
            <v>-30.3</v>
          </cell>
          <cell r="S38">
            <v>166.20000000000005</v>
          </cell>
          <cell r="T38">
            <v>0.34837545126353786</v>
          </cell>
          <cell r="U38">
            <v>57.900000000000006</v>
          </cell>
          <cell r="V38">
            <v>108.30000000000005</v>
          </cell>
          <cell r="W38">
            <v>3.5</v>
          </cell>
          <cell r="X38">
            <v>111.80000000000005</v>
          </cell>
          <cell r="Y38">
            <v>203</v>
          </cell>
          <cell r="Z38">
            <v>0.53500000000000003</v>
          </cell>
          <cell r="AA38">
            <v>0.53500000000000003</v>
          </cell>
        </row>
        <row r="40">
          <cell r="A40" t="str">
            <v>1999</v>
          </cell>
        </row>
        <row r="41">
          <cell r="A41" t="str">
            <v xml:space="preserve"> 1Q (f)</v>
          </cell>
          <cell r="B41">
            <v>67.900000000000006</v>
          </cell>
          <cell r="C41">
            <v>58.9</v>
          </cell>
          <cell r="D41">
            <v>30.4</v>
          </cell>
          <cell r="E41">
            <v>28.3</v>
          </cell>
          <cell r="F41">
            <v>117.6</v>
          </cell>
          <cell r="G41">
            <v>185.5</v>
          </cell>
          <cell r="H41">
            <v>34.299999999999997</v>
          </cell>
          <cell r="I41">
            <v>61.900000000000006</v>
          </cell>
          <cell r="J41">
            <v>55.2</v>
          </cell>
          <cell r="K41">
            <v>23.3</v>
          </cell>
          <cell r="L41">
            <v>7.0999999999999979</v>
          </cell>
          <cell r="M41">
            <v>13.700000000000003</v>
          </cell>
          <cell r="N41">
            <v>44.1</v>
          </cell>
          <cell r="O41">
            <v>51.899999999999984</v>
          </cell>
          <cell r="P41">
            <v>5</v>
          </cell>
          <cell r="Q41">
            <v>14.9</v>
          </cell>
          <cell r="R41">
            <v>-9.9</v>
          </cell>
          <cell r="S41">
            <v>41.999999999999986</v>
          </cell>
          <cell r="T41">
            <v>0.32380952380952394</v>
          </cell>
          <cell r="U41">
            <v>13.600000000000001</v>
          </cell>
          <cell r="V41">
            <v>28.399999999999984</v>
          </cell>
          <cell r="W41">
            <v>0</v>
          </cell>
          <cell r="X41">
            <v>28.399999999999984</v>
          </cell>
          <cell r="Y41">
            <v>206.4</v>
          </cell>
          <cell r="Z41">
            <v>0.14000000000000001</v>
          </cell>
          <cell r="AA41">
            <v>0.02</v>
          </cell>
        </row>
        <row r="42">
          <cell r="A42" t="str">
            <v xml:space="preserve"> 2Q</v>
          </cell>
          <cell r="B42">
            <v>68.8</v>
          </cell>
          <cell r="C42">
            <v>54.8</v>
          </cell>
          <cell r="D42">
            <v>37.200000000000003</v>
          </cell>
          <cell r="E42">
            <v>34.4</v>
          </cell>
          <cell r="F42">
            <v>126.4</v>
          </cell>
          <cell r="G42">
            <v>195.2</v>
          </cell>
          <cell r="H42">
            <v>40.299999999999997</v>
          </cell>
          <cell r="I42">
            <v>62.899999999999991</v>
          </cell>
          <cell r="J42">
            <v>60.4</v>
          </cell>
          <cell r="K42">
            <v>28.5</v>
          </cell>
          <cell r="L42">
            <v>8.7000000000000028</v>
          </cell>
          <cell r="M42">
            <v>10.599999999999994</v>
          </cell>
          <cell r="N42">
            <v>47.8</v>
          </cell>
          <cell r="O42">
            <v>46.699999999999974</v>
          </cell>
          <cell r="P42">
            <v>18.399999999999999</v>
          </cell>
          <cell r="Q42">
            <v>14.8</v>
          </cell>
          <cell r="R42">
            <v>3.5999999999999979</v>
          </cell>
          <cell r="S42">
            <v>50.299999999999969</v>
          </cell>
          <cell r="T42">
            <v>0.32007952286282326</v>
          </cell>
          <cell r="U42">
            <v>16.100000000000001</v>
          </cell>
          <cell r="V42">
            <v>34.199999999999967</v>
          </cell>
          <cell r="W42">
            <v>3.8</v>
          </cell>
          <cell r="X42">
            <v>37.999999999999964</v>
          </cell>
          <cell r="Y42">
            <v>229.8</v>
          </cell>
          <cell r="Z42">
            <v>0.16500000000000001</v>
          </cell>
          <cell r="AA42">
            <v>0.16500000000000001</v>
          </cell>
        </row>
        <row r="43">
          <cell r="A43" t="str">
            <v xml:space="preserve"> 3Q</v>
          </cell>
          <cell r="B43">
            <v>106.3</v>
          </cell>
          <cell r="C43">
            <v>58</v>
          </cell>
          <cell r="D43">
            <v>27.2</v>
          </cell>
          <cell r="E43">
            <v>30.6</v>
          </cell>
          <cell r="F43">
            <v>115.80000000000001</v>
          </cell>
          <cell r="G43">
            <v>222.10000000000002</v>
          </cell>
          <cell r="H43">
            <v>45.2</v>
          </cell>
          <cell r="I43">
            <v>91.7</v>
          </cell>
          <cell r="J43">
            <v>65.900000000000006</v>
          </cell>
          <cell r="K43">
            <v>21</v>
          </cell>
          <cell r="L43">
            <v>6.1999999999999993</v>
          </cell>
          <cell r="M43">
            <v>14.099999999999998</v>
          </cell>
          <cell r="N43">
            <v>41.3</v>
          </cell>
          <cell r="O43">
            <v>69.700000000000031</v>
          </cell>
          <cell r="P43">
            <v>7.3</v>
          </cell>
          <cell r="Q43">
            <v>14.1</v>
          </cell>
          <cell r="R43">
            <v>-6.8</v>
          </cell>
          <cell r="S43">
            <v>62.900000000000034</v>
          </cell>
          <cell r="T43">
            <v>0.31955484896661351</v>
          </cell>
          <cell r="U43">
            <v>20.100000000000001</v>
          </cell>
          <cell r="V43">
            <v>42.800000000000033</v>
          </cell>
          <cell r="W43">
            <v>8.4</v>
          </cell>
          <cell r="X43">
            <v>51.200000000000031</v>
          </cell>
          <cell r="Y43">
            <v>258.8</v>
          </cell>
          <cell r="Z43">
            <v>0.2</v>
          </cell>
          <cell r="AA43">
            <v>0.2</v>
          </cell>
        </row>
        <row r="44">
          <cell r="A44" t="str">
            <v xml:space="preserve"> 4Q (g)</v>
          </cell>
          <cell r="B44">
            <v>80.400000000000006</v>
          </cell>
          <cell r="C44">
            <v>55.4</v>
          </cell>
          <cell r="D44">
            <v>26</v>
          </cell>
          <cell r="E44">
            <v>31.3</v>
          </cell>
          <cell r="F44">
            <v>112.7</v>
          </cell>
          <cell r="G44">
            <v>193.10000000000002</v>
          </cell>
          <cell r="H44">
            <v>38.6</v>
          </cell>
          <cell r="I44">
            <v>73.099999999999994</v>
          </cell>
          <cell r="J44">
            <v>72.2</v>
          </cell>
          <cell r="K44">
            <v>18</v>
          </cell>
          <cell r="L44">
            <v>8</v>
          </cell>
          <cell r="M44">
            <v>24.4</v>
          </cell>
          <cell r="N44">
            <v>50.4</v>
          </cell>
          <cell r="O44">
            <v>31.900000000000027</v>
          </cell>
          <cell r="P44">
            <v>10.9</v>
          </cell>
          <cell r="Q44">
            <v>14.3</v>
          </cell>
          <cell r="R44">
            <v>-3.4000000000000004</v>
          </cell>
          <cell r="S44">
            <v>28.500000000000028</v>
          </cell>
          <cell r="T44">
            <v>4.2105263157894694E-2</v>
          </cell>
          <cell r="U44">
            <v>1.2</v>
          </cell>
          <cell r="V44">
            <v>27.300000000000029</v>
          </cell>
          <cell r="W44">
            <v>0</v>
          </cell>
          <cell r="X44">
            <v>27.300000000000029</v>
          </cell>
          <cell r="Y44">
            <v>207.8</v>
          </cell>
          <cell r="Z44">
            <v>0.13137632338787308</v>
          </cell>
          <cell r="AA44">
            <v>0.1</v>
          </cell>
        </row>
        <row r="46">
          <cell r="A46" t="str">
            <v>Year</v>
          </cell>
          <cell r="B46">
            <v>323.39999999999998</v>
          </cell>
          <cell r="C46">
            <v>227.1</v>
          </cell>
          <cell r="D46">
            <v>120.8</v>
          </cell>
          <cell r="E46">
            <v>124.60000000000001</v>
          </cell>
          <cell r="F46">
            <v>472.5</v>
          </cell>
          <cell r="G46">
            <v>795.9</v>
          </cell>
          <cell r="H46">
            <v>158.4</v>
          </cell>
          <cell r="I46">
            <v>289.60000000000002</v>
          </cell>
          <cell r="J46">
            <v>253.7</v>
          </cell>
          <cell r="K46">
            <v>90.8</v>
          </cell>
          <cell r="L46">
            <v>30</v>
          </cell>
          <cell r="M46">
            <v>62.79999999999999</v>
          </cell>
          <cell r="N46">
            <v>183.6</v>
          </cell>
          <cell r="O46">
            <v>200.20000000000005</v>
          </cell>
          <cell r="P46">
            <v>41.6</v>
          </cell>
          <cell r="Q46">
            <v>58.100000000000009</v>
          </cell>
          <cell r="R46">
            <v>-16.5</v>
          </cell>
          <cell r="S46">
            <v>183.70000000000002</v>
          </cell>
          <cell r="T46">
            <v>0.27762656505171479</v>
          </cell>
          <cell r="U46">
            <v>51.000000000000007</v>
          </cell>
          <cell r="V46">
            <v>132.70000000000002</v>
          </cell>
          <cell r="W46">
            <v>15.6</v>
          </cell>
          <cell r="X46">
            <v>148.30000000000001</v>
          </cell>
          <cell r="Y46">
            <v>231.4</v>
          </cell>
          <cell r="Z46">
            <v>0.64088159031979264</v>
          </cell>
          <cell r="AA46">
            <v>0.48499999999999999</v>
          </cell>
        </row>
        <row r="48">
          <cell r="A48" t="str">
            <v>2000E</v>
          </cell>
        </row>
        <row r="49">
          <cell r="A49" t="str">
            <v xml:space="preserve"> 1QA</v>
          </cell>
          <cell r="B49">
            <v>79.8</v>
          </cell>
          <cell r="C49">
            <v>67.099999999999994</v>
          </cell>
          <cell r="D49">
            <v>25.4</v>
          </cell>
          <cell r="E49">
            <v>29</v>
          </cell>
          <cell r="F49">
            <v>121.5</v>
          </cell>
          <cell r="G49">
            <v>201.3</v>
          </cell>
          <cell r="H49">
            <v>34.700000000000003</v>
          </cell>
          <cell r="I49">
            <v>74.099999999999994</v>
          </cell>
          <cell r="J49">
            <v>67.2</v>
          </cell>
          <cell r="K49">
            <v>20</v>
          </cell>
          <cell r="L49">
            <v>5.3999999999999986</v>
          </cell>
          <cell r="M49">
            <v>19.399999999999999</v>
          </cell>
          <cell r="N49">
            <v>44.8</v>
          </cell>
          <cell r="O49">
            <v>54.600000000000023</v>
          </cell>
          <cell r="P49">
            <v>5.4</v>
          </cell>
          <cell r="Q49">
            <v>15.4</v>
          </cell>
          <cell r="R49">
            <v>-10</v>
          </cell>
          <cell r="S49">
            <v>44.600000000000023</v>
          </cell>
          <cell r="T49">
            <v>0.30941704035874423</v>
          </cell>
          <cell r="U49">
            <v>13.8</v>
          </cell>
          <cell r="V49">
            <v>30.800000000000022</v>
          </cell>
          <cell r="W49">
            <v>0</v>
          </cell>
          <cell r="X49">
            <v>30.800000000000022</v>
          </cell>
          <cell r="Y49">
            <v>207.4</v>
          </cell>
          <cell r="Z49">
            <v>0.15</v>
          </cell>
          <cell r="AA49">
            <v>0.15</v>
          </cell>
        </row>
        <row r="50">
          <cell r="A50" t="str">
            <v xml:space="preserve"> 2QA</v>
          </cell>
          <cell r="B50">
            <v>100</v>
          </cell>
          <cell r="C50">
            <v>72.2</v>
          </cell>
          <cell r="D50">
            <v>32</v>
          </cell>
          <cell r="E50">
            <v>34.6</v>
          </cell>
          <cell r="F50">
            <v>138.80000000000001</v>
          </cell>
          <cell r="G50">
            <v>238.8</v>
          </cell>
          <cell r="H50">
            <v>42</v>
          </cell>
          <cell r="I50">
            <v>92.6</v>
          </cell>
          <cell r="J50">
            <v>85.6</v>
          </cell>
          <cell r="K50">
            <v>23</v>
          </cell>
          <cell r="L50">
            <v>9</v>
          </cell>
          <cell r="M50">
            <v>15.899999999999999</v>
          </cell>
          <cell r="N50">
            <v>47.9</v>
          </cell>
          <cell r="O50">
            <v>63.300000000000018</v>
          </cell>
          <cell r="P50">
            <v>7.2</v>
          </cell>
          <cell r="Q50">
            <v>15.3</v>
          </cell>
          <cell r="R50">
            <v>-8.1000000000000014</v>
          </cell>
          <cell r="S50">
            <v>55.200000000000017</v>
          </cell>
          <cell r="T50">
            <v>0.31159420289855067</v>
          </cell>
          <cell r="U50">
            <v>17.200000000000003</v>
          </cell>
          <cell r="V50">
            <v>38.000000000000014</v>
          </cell>
          <cell r="W50">
            <v>8.3254076086956523</v>
          </cell>
          <cell r="X50">
            <v>46.32540760869567</v>
          </cell>
          <cell r="Y50">
            <v>260.8</v>
          </cell>
          <cell r="Z50">
            <v>0.18</v>
          </cell>
          <cell r="AA50">
            <v>0.22</v>
          </cell>
        </row>
        <row r="51">
          <cell r="A51" t="str">
            <v xml:space="preserve"> 3QA</v>
          </cell>
          <cell r="B51">
            <v>135.69999999999999</v>
          </cell>
          <cell r="C51">
            <v>71.599999999999994</v>
          </cell>
          <cell r="D51">
            <v>35.1</v>
          </cell>
          <cell r="E51">
            <v>29.1</v>
          </cell>
          <cell r="F51">
            <v>135.79999999999998</v>
          </cell>
          <cell r="G51">
            <v>271.5</v>
          </cell>
          <cell r="H51">
            <v>48.6</v>
          </cell>
          <cell r="I51">
            <v>116.19999999999999</v>
          </cell>
          <cell r="J51">
            <v>93.3</v>
          </cell>
          <cell r="K51">
            <v>24.9</v>
          </cell>
          <cell r="L51">
            <v>10.200000000000003</v>
          </cell>
          <cell r="M51">
            <v>16.399999999999999</v>
          </cell>
          <cell r="N51">
            <v>51.5</v>
          </cell>
          <cell r="O51">
            <v>78.100000000000023</v>
          </cell>
          <cell r="P51">
            <v>18.100000000000001</v>
          </cell>
          <cell r="Q51">
            <v>13.5</v>
          </cell>
          <cell r="R51">
            <v>4.6000000000000014</v>
          </cell>
          <cell r="S51">
            <v>82.700000000000017</v>
          </cell>
          <cell r="T51">
            <v>0.30955259975816196</v>
          </cell>
          <cell r="U51">
            <v>25.6</v>
          </cell>
          <cell r="V51">
            <v>57.100000000000016</v>
          </cell>
          <cell r="W51">
            <v>7.6420444377267245</v>
          </cell>
          <cell r="X51">
            <v>64.742044437726747</v>
          </cell>
          <cell r="Y51">
            <v>277.2</v>
          </cell>
          <cell r="Z51">
            <v>0.23</v>
          </cell>
          <cell r="AA51">
            <v>0.23</v>
          </cell>
        </row>
        <row r="52">
          <cell r="A52" t="str">
            <v xml:space="preserve"> 4Q</v>
          </cell>
          <cell r="B52">
            <v>147.04999999999998</v>
          </cell>
          <cell r="C52">
            <v>71.37178918124998</v>
          </cell>
          <cell r="D52">
            <v>10</v>
          </cell>
          <cell r="E52">
            <v>33</v>
          </cell>
          <cell r="F52">
            <v>114.37178918124998</v>
          </cell>
          <cell r="G52">
            <v>261.42178918124995</v>
          </cell>
          <cell r="H52">
            <v>46.728415492957751</v>
          </cell>
          <cell r="I52">
            <v>133.32158450704225</v>
          </cell>
          <cell r="J52">
            <v>87.85</v>
          </cell>
          <cell r="K52">
            <v>0</v>
          </cell>
          <cell r="L52">
            <v>10</v>
          </cell>
          <cell r="M52">
            <v>35</v>
          </cell>
          <cell r="N52">
            <v>45</v>
          </cell>
          <cell r="O52">
            <v>81.843373688292189</v>
          </cell>
          <cell r="P52">
            <v>17.7</v>
          </cell>
          <cell r="Q52">
            <v>13.749000000000001</v>
          </cell>
          <cell r="R52">
            <v>3.9509999999999987</v>
          </cell>
          <cell r="S52">
            <v>85.794373688292183</v>
          </cell>
          <cell r="T52">
            <v>0.31</v>
          </cell>
          <cell r="U52">
            <v>26.596255843370578</v>
          </cell>
          <cell r="V52">
            <v>59.198117844921605</v>
          </cell>
          <cell r="W52">
            <v>7.274497499999999</v>
          </cell>
          <cell r="X52">
            <v>66.472615344921607</v>
          </cell>
          <cell r="Y52">
            <v>277.8</v>
          </cell>
          <cell r="Z52">
            <v>0.23928227265990498</v>
          </cell>
          <cell r="AA52">
            <v>0.23928227265990498</v>
          </cell>
        </row>
        <row r="54">
          <cell r="A54" t="str">
            <v>Year</v>
          </cell>
          <cell r="B54">
            <v>462.54999999999995</v>
          </cell>
          <cell r="C54">
            <v>282.27178918124997</v>
          </cell>
          <cell r="D54">
            <v>102.5</v>
          </cell>
          <cell r="E54">
            <v>125.7</v>
          </cell>
          <cell r="F54">
            <v>510.47178918125002</v>
          </cell>
          <cell r="G54">
            <v>973.02178918124991</v>
          </cell>
          <cell r="H54">
            <v>172.02841549295778</v>
          </cell>
          <cell r="I54">
            <v>416.22158450704222</v>
          </cell>
          <cell r="J54">
            <v>333.95000000000005</v>
          </cell>
          <cell r="K54">
            <v>67.900000000000006</v>
          </cell>
          <cell r="L54">
            <v>34.6</v>
          </cell>
          <cell r="M54">
            <v>86.699999999999989</v>
          </cell>
          <cell r="N54">
            <v>189.2</v>
          </cell>
          <cell r="O54">
            <v>277.84337368829222</v>
          </cell>
          <cell r="P54">
            <v>48.400000000000006</v>
          </cell>
          <cell r="Q54">
            <v>57.949000000000005</v>
          </cell>
          <cell r="R54">
            <v>-9.5490000000000013</v>
          </cell>
          <cell r="S54">
            <v>268.29437368829224</v>
          </cell>
          <cell r="T54">
            <v>0.31009318123096025</v>
          </cell>
          <cell r="U54">
            <v>83.196255843370579</v>
          </cell>
          <cell r="V54">
            <v>185.09811784492166</v>
          </cell>
          <cell r="W54">
            <v>23.241949546422376</v>
          </cell>
          <cell r="X54">
            <v>208.34006739134406</v>
          </cell>
          <cell r="Y54">
            <v>255.8</v>
          </cell>
          <cell r="Z54">
            <v>0.79928227265990492</v>
          </cell>
          <cell r="AA54">
            <v>0.83928227265990496</v>
          </cell>
        </row>
        <row r="56">
          <cell r="A56" t="str">
            <v>2001E</v>
          </cell>
          <cell r="B56">
            <v>629.49850000000004</v>
          </cell>
          <cell r="C56">
            <v>313.39161170174998</v>
          </cell>
          <cell r="D56">
            <v>37.022000000000006</v>
          </cell>
          <cell r="E56">
            <v>150</v>
          </cell>
          <cell r="F56">
            <v>500.41361170174997</v>
          </cell>
          <cell r="G56">
            <v>1129.9121117017501</v>
          </cell>
          <cell r="H56">
            <v>200.87665250000001</v>
          </cell>
          <cell r="I56">
            <v>578.62184750000006</v>
          </cell>
          <cell r="J56">
            <v>388.68000000000006</v>
          </cell>
          <cell r="K56">
            <v>0</v>
          </cell>
          <cell r="L56">
            <v>37.022000000000006</v>
          </cell>
          <cell r="M56">
            <v>155.06305898929753</v>
          </cell>
          <cell r="N56">
            <v>192.08505898929752</v>
          </cell>
          <cell r="O56">
            <v>348.2704002124525</v>
          </cell>
          <cell r="P56">
            <v>62</v>
          </cell>
          <cell r="Q56">
            <v>55.518625000000007</v>
          </cell>
          <cell r="R56">
            <v>6.4813749999999928</v>
          </cell>
          <cell r="S56">
            <v>354.75177521245251</v>
          </cell>
          <cell r="T56">
            <v>0.31</v>
          </cell>
          <cell r="U56">
            <v>109.97305031586028</v>
          </cell>
          <cell r="V56">
            <v>244.77872489659222</v>
          </cell>
          <cell r="W56">
            <v>29.286359999999995</v>
          </cell>
          <cell r="X56">
            <v>274.06508489659223</v>
          </cell>
          <cell r="Y56">
            <v>282.8</v>
          </cell>
          <cell r="Z56">
            <v>0.96911274715909557</v>
          </cell>
          <cell r="AA56">
            <v>0.96911274715909557</v>
          </cell>
        </row>
        <row r="57">
          <cell r="A57" t="str">
            <v>2002E</v>
          </cell>
          <cell r="B57">
            <v>749.14550499999996</v>
          </cell>
          <cell r="C57">
            <v>355.62063268624695</v>
          </cell>
          <cell r="D57">
            <v>39.613540000000008</v>
          </cell>
          <cell r="E57">
            <v>168.00000000000003</v>
          </cell>
          <cell r="F57">
            <v>563.23417268624701</v>
          </cell>
          <cell r="G57">
            <v>1312.3796776862469</v>
          </cell>
          <cell r="H57">
            <v>227.34815607500002</v>
          </cell>
          <cell r="I57">
            <v>689.79734892499994</v>
          </cell>
          <cell r="J57">
            <v>439.14160000000004</v>
          </cell>
          <cell r="K57">
            <v>0</v>
          </cell>
          <cell r="L57">
            <v>39.613540000000008</v>
          </cell>
          <cell r="M57">
            <v>176.92910681823074</v>
          </cell>
          <cell r="N57">
            <v>216.54264681823074</v>
          </cell>
          <cell r="O57">
            <v>429.34727479301591</v>
          </cell>
          <cell r="P57">
            <v>70</v>
          </cell>
          <cell r="Q57">
            <v>56.673625000000001</v>
          </cell>
          <cell r="R57">
            <v>13.326374999999999</v>
          </cell>
          <cell r="S57">
            <v>442.6736497930159</v>
          </cell>
          <cell r="T57">
            <v>0.31</v>
          </cell>
          <cell r="U57">
            <v>137.22883143583493</v>
          </cell>
          <cell r="V57">
            <v>305.44481835718096</v>
          </cell>
          <cell r="W57">
            <v>30.083309999999994</v>
          </cell>
          <cell r="X57">
            <v>335.52812835718095</v>
          </cell>
          <cell r="Y57">
            <v>283.60000000000002</v>
          </cell>
          <cell r="Z57">
            <v>1.1831034145175632</v>
          </cell>
          <cell r="AA57">
            <v>1.1831034145175632</v>
          </cell>
        </row>
        <row r="58">
          <cell r="A58" t="str">
            <v>2003E</v>
          </cell>
          <cell r="B58">
            <v>891.47431174999997</v>
          </cell>
          <cell r="C58">
            <v>395.89894337545786</v>
          </cell>
          <cell r="D58">
            <v>42.386487800000012</v>
          </cell>
          <cell r="E58">
            <v>184.80000000000004</v>
          </cell>
          <cell r="F58">
            <v>623.08543117545787</v>
          </cell>
          <cell r="G58">
            <v>1514.5597429254578</v>
          </cell>
          <cell r="H58">
            <v>262.70983027625005</v>
          </cell>
          <cell r="I58">
            <v>813.56448147374988</v>
          </cell>
          <cell r="J58">
            <v>489.36881600000015</v>
          </cell>
          <cell r="K58">
            <v>0</v>
          </cell>
          <cell r="L58">
            <v>42.386487800000012</v>
          </cell>
          <cell r="M58">
            <v>199.94307106807327</v>
          </cell>
          <cell r="N58">
            <v>242.32955886807326</v>
          </cell>
          <cell r="O58">
            <v>520.15153778113449</v>
          </cell>
          <cell r="P58">
            <v>90</v>
          </cell>
          <cell r="Q58">
            <v>57.828625000000002</v>
          </cell>
          <cell r="R58">
            <v>32.171374999999998</v>
          </cell>
          <cell r="S58">
            <v>552.32291278113451</v>
          </cell>
          <cell r="T58">
            <v>0.31</v>
          </cell>
          <cell r="U58">
            <v>171.22010296215169</v>
          </cell>
          <cell r="V58">
            <v>381.10280981898279</v>
          </cell>
          <cell r="W58">
            <v>30.880259999999996</v>
          </cell>
          <cell r="X58">
            <v>411.98306981898281</v>
          </cell>
          <cell r="Y58">
            <v>284.40000000000003</v>
          </cell>
          <cell r="Z58">
            <v>1.4486043242580267</v>
          </cell>
          <cell r="AA58">
            <v>1.4486043242580267</v>
          </cell>
        </row>
        <row r="59">
          <cell r="A59" t="str">
            <v>2004E</v>
          </cell>
          <cell r="B59">
            <v>1055.9133003625002</v>
          </cell>
          <cell r="C59">
            <v>437.78694837234127</v>
          </cell>
          <cell r="D59">
            <v>45.353541946000014</v>
          </cell>
          <cell r="E59">
            <v>199.58400000000006</v>
          </cell>
          <cell r="F59">
            <v>682.7244903183414</v>
          </cell>
          <cell r="G59">
            <v>1738.6377906808416</v>
          </cell>
          <cell r="H59">
            <v>298.19956731168759</v>
          </cell>
          <cell r="I59">
            <v>957.29773305081267</v>
          </cell>
          <cell r="J59">
            <v>538.97771511106089</v>
          </cell>
          <cell r="K59">
            <v>0</v>
          </cell>
          <cell r="L59">
            <v>45.353541946000014</v>
          </cell>
          <cell r="M59">
            <v>224.13531560953044</v>
          </cell>
          <cell r="N59">
            <v>269.48885755553044</v>
          </cell>
          <cell r="O59">
            <v>631.97165070256267</v>
          </cell>
          <cell r="P59">
            <v>115</v>
          </cell>
          <cell r="Q59">
            <v>58.983624999999996</v>
          </cell>
          <cell r="R59">
            <v>56.016375000000004</v>
          </cell>
          <cell r="S59">
            <v>687.98802570256271</v>
          </cell>
          <cell r="T59">
            <v>0.31</v>
          </cell>
          <cell r="U59">
            <v>213.27628796779445</v>
          </cell>
          <cell r="V59">
            <v>474.71173773476823</v>
          </cell>
          <cell r="W59">
            <v>31.677209999999995</v>
          </cell>
          <cell r="X59">
            <v>506.38894773476824</v>
          </cell>
          <cell r="Y59">
            <v>285.20000000000005</v>
          </cell>
          <cell r="Z59">
            <v>1.7755573202481352</v>
          </cell>
          <cell r="AA59">
            <v>1.7755573202481352</v>
          </cell>
        </row>
        <row r="60">
          <cell r="A60" t="str">
            <v>2005E</v>
          </cell>
          <cell r="B60">
            <v>1236.408128684375</v>
          </cell>
          <cell r="C60">
            <v>461.52606448515519</v>
          </cell>
          <cell r="D60">
            <v>48.528289882220015</v>
          </cell>
          <cell r="E60">
            <v>215.55072000000007</v>
          </cell>
          <cell r="F60">
            <v>725.60507436737521</v>
          </cell>
          <cell r="G60">
            <v>1962.0132030517502</v>
          </cell>
          <cell r="H60">
            <v>338.55585705371573</v>
          </cell>
          <cell r="I60">
            <v>1113.4029916306592</v>
          </cell>
          <cell r="J60">
            <v>608.22409294604256</v>
          </cell>
          <cell r="K60">
            <v>0</v>
          </cell>
          <cell r="L60">
            <v>48.528289882220015</v>
          </cell>
          <cell r="M60">
            <v>245.7736905755425</v>
          </cell>
          <cell r="N60">
            <v>294.30198045776251</v>
          </cell>
          <cell r="O60">
            <v>720.93127259422943</v>
          </cell>
          <cell r="P60">
            <v>145</v>
          </cell>
          <cell r="Q60">
            <v>60.138624999999998</v>
          </cell>
          <cell r="R60">
            <v>84.86137500000001</v>
          </cell>
          <cell r="S60">
            <v>805.79264759422949</v>
          </cell>
          <cell r="T60">
            <v>0.31</v>
          </cell>
          <cell r="U60">
            <v>249.79572075421115</v>
          </cell>
          <cell r="V60">
            <v>555.99692684001832</v>
          </cell>
          <cell r="W60">
            <v>32.474159999999991</v>
          </cell>
          <cell r="X60">
            <v>588.4710868400183</v>
          </cell>
          <cell r="Y60">
            <v>286.00000000000006</v>
          </cell>
          <cell r="Z60">
            <v>2.0575912127273361</v>
          </cell>
          <cell r="AA60">
            <v>2.0575912127273361</v>
          </cell>
        </row>
        <row r="62">
          <cell r="A62" t="str">
            <v>CAGR</v>
          </cell>
        </row>
        <row r="63">
          <cell r="A63" t="str">
            <v>1999-2003</v>
          </cell>
          <cell r="B63">
            <v>28.85230871200082</v>
          </cell>
          <cell r="C63" t="e">
            <v>#DIV/0!</v>
          </cell>
          <cell r="D63" t="e">
            <v>#DIV/0!</v>
          </cell>
          <cell r="E63" t="e">
            <v>#DIV/0!</v>
          </cell>
          <cell r="G63">
            <v>17.451069583945245</v>
          </cell>
          <cell r="O63">
            <v>26.959865426590035</v>
          </cell>
          <cell r="S63">
            <v>31.68035113103269</v>
          </cell>
          <cell r="V63">
            <v>30.179562296772367</v>
          </cell>
          <cell r="X63">
            <v>29.102470972824811</v>
          </cell>
          <cell r="Z63">
            <v>22.614828553341269</v>
          </cell>
          <cell r="AA63">
            <v>31.462537155125879</v>
          </cell>
        </row>
        <row r="64">
          <cell r="A64" t="str">
            <v>2000-2005</v>
          </cell>
          <cell r="B64">
            <v>21.730844038082786</v>
          </cell>
          <cell r="G64">
            <v>15.057748677570926</v>
          </cell>
          <cell r="O64">
            <v>21.009304324561718</v>
          </cell>
          <cell r="S64">
            <v>24.601235030063041</v>
          </cell>
          <cell r="V64">
            <v>24.604600664068244</v>
          </cell>
          <cell r="X64">
            <v>23.080844057889195</v>
          </cell>
          <cell r="Z64">
            <v>20.818039203367089</v>
          </cell>
          <cell r="AA64">
            <v>19.64380306276967</v>
          </cell>
        </row>
        <row r="66">
          <cell r="A66" t="str">
            <v>% Change</v>
          </cell>
        </row>
        <row r="67">
          <cell r="A67" t="str">
            <v>Table 2</v>
          </cell>
        </row>
        <row r="68">
          <cell r="A68" t="str">
            <v>Alza</v>
          </cell>
        </row>
        <row r="69">
          <cell r="A69" t="str">
            <v>Quarterly Income Statement Analysis 1995-2004E % Change</v>
          </cell>
        </row>
        <row r="71">
          <cell r="I71" t="str">
            <v>Sales</v>
          </cell>
          <cell r="K71" t="str">
            <v>R&amp;D</v>
          </cell>
          <cell r="R71" t="str">
            <v>Non-</v>
          </cell>
          <cell r="W71" t="str">
            <v>AT</v>
          </cell>
          <cell r="X71" t="str">
            <v>Adj.</v>
          </cell>
          <cell r="Z71" t="str">
            <v>EPS</v>
          </cell>
        </row>
        <row r="72">
          <cell r="B72" t="str">
            <v xml:space="preserve">               Revenues</v>
          </cell>
          <cell r="E72" t="str">
            <v>Contract</v>
          </cell>
          <cell r="I72" t="str">
            <v xml:space="preserve">  Gross</v>
          </cell>
          <cell r="K72" t="str">
            <v>Cresc./</v>
          </cell>
          <cell r="L72" t="str">
            <v>Exter-</v>
          </cell>
          <cell r="M72" t="str">
            <v>Inter-</v>
          </cell>
          <cell r="O72" t="str">
            <v xml:space="preserve"> Oper.</v>
          </cell>
          <cell r="P72" t="str">
            <v>Int.</v>
          </cell>
          <cell r="Q72" t="str">
            <v>Int.</v>
          </cell>
          <cell r="R72" t="str">
            <v>Oper.</v>
          </cell>
          <cell r="S72" t="str">
            <v>Pretax</v>
          </cell>
          <cell r="T72" t="str">
            <v xml:space="preserve">    Tax</v>
          </cell>
          <cell r="V72" t="str">
            <v xml:space="preserve">   Net</v>
          </cell>
          <cell r="W72" t="str">
            <v>Conv.</v>
          </cell>
          <cell r="X72" t="str">
            <v xml:space="preserve">   Net</v>
          </cell>
          <cell r="Y72" t="str">
            <v xml:space="preserve">Avg. </v>
          </cell>
        </row>
        <row r="73">
          <cell r="B73" t="str">
            <v>Alza</v>
          </cell>
          <cell r="C73" t="str">
            <v>Fees</v>
          </cell>
          <cell r="D73" t="str">
            <v>R&amp;D</v>
          </cell>
          <cell r="E73" t="str">
            <v>Manuf.</v>
          </cell>
          <cell r="F73" t="str">
            <v>Other</v>
          </cell>
          <cell r="G73" t="str">
            <v>Total</v>
          </cell>
          <cell r="H73" t="str">
            <v>COGS</v>
          </cell>
          <cell r="I73" t="str">
            <v>Profit</v>
          </cell>
          <cell r="J73" t="str">
            <v>SG&amp;A</v>
          </cell>
          <cell r="K73" t="str">
            <v>TDC</v>
          </cell>
          <cell r="L73" t="str">
            <v>nal</v>
          </cell>
          <cell r="M73" t="str">
            <v>nal</v>
          </cell>
          <cell r="N73" t="str">
            <v>Total</v>
          </cell>
          <cell r="O73" t="str">
            <v>Inc.</v>
          </cell>
          <cell r="P73" t="str">
            <v>Inc.</v>
          </cell>
          <cell r="Q73" t="str">
            <v>Exp.</v>
          </cell>
          <cell r="R73" t="str">
            <v>Items</v>
          </cell>
          <cell r="S73" t="str">
            <v>Inc.</v>
          </cell>
          <cell r="T73" t="str">
            <v xml:space="preserve">   Rate</v>
          </cell>
          <cell r="U73" t="str">
            <v>Tax</v>
          </cell>
          <cell r="V73" t="str">
            <v>Inc.</v>
          </cell>
          <cell r="W73" t="str">
            <v>Int.</v>
          </cell>
          <cell r="X73" t="str">
            <v>Inc.</v>
          </cell>
          <cell r="Y73" t="str">
            <v xml:space="preserve">Shs. </v>
          </cell>
          <cell r="Z73" t="str">
            <v>Oper.</v>
          </cell>
          <cell r="AA73" t="str">
            <v>Rep.</v>
          </cell>
        </row>
        <row r="75">
          <cell r="A75" t="str">
            <v>1996/95</v>
          </cell>
        </row>
        <row r="76">
          <cell r="A76" t="str">
            <v xml:space="preserve"> 1Q</v>
          </cell>
          <cell r="B76">
            <v>0.7142857142857143</v>
          </cell>
          <cell r="C76">
            <v>0.10417525469642532</v>
          </cell>
          <cell r="D76">
            <v>0.3963133640552996</v>
          </cell>
          <cell r="E76">
            <v>-4.084562181913097E-2</v>
          </cell>
          <cell r="F76">
            <v>0.16216825378937286</v>
          </cell>
          <cell r="G76">
            <v>0.18811083664482869</v>
          </cell>
          <cell r="H76">
            <v>-2.5697235415905528E-2</v>
          </cell>
          <cell r="I76">
            <v>0.95507487520798651</v>
          </cell>
          <cell r="J76">
            <v>0.19971771347918119</v>
          </cell>
          <cell r="K76">
            <v>0.62411347517730487</v>
          </cell>
          <cell r="L76">
            <v>-2.6315789473683883E-2</v>
          </cell>
          <cell r="M76" t="str">
            <v xml:space="preserve">  NM</v>
          </cell>
          <cell r="N76">
            <v>0.40724754968078408</v>
          </cell>
          <cell r="O76">
            <v>0.13461679232852636</v>
          </cell>
          <cell r="P76">
            <v>0.44297635605006941</v>
          </cell>
          <cell r="Q76">
            <v>0.14387846291331557</v>
          </cell>
          <cell r="R76" t="str">
            <v xml:space="preserve">  NM</v>
          </cell>
          <cell r="S76">
            <v>0.19727792132173633</v>
          </cell>
          <cell r="T76">
            <v>-1.5805936861239636E-4</v>
          </cell>
          <cell r="U76">
            <v>0.1970886803294388</v>
          </cell>
          <cell r="V76">
            <v>0.19739390737805909</v>
          </cell>
          <cell r="W76" t="str">
            <v xml:space="preserve">  NM</v>
          </cell>
          <cell r="X76">
            <v>0.19739390737805909</v>
          </cell>
          <cell r="Y76">
            <v>2.6836106761824984E-2</v>
          </cell>
          <cell r="Z76">
            <v>0.16061278394083464</v>
          </cell>
          <cell r="AA76">
            <v>0.1999999999999999</v>
          </cell>
        </row>
        <row r="77">
          <cell r="A77" t="str">
            <v xml:space="preserve"> 2Q</v>
          </cell>
          <cell r="B77">
            <v>0.18749999999999989</v>
          </cell>
          <cell r="C77">
            <v>0.43441425650014626</v>
          </cell>
          <cell r="D77">
            <v>0.4945710027677242</v>
          </cell>
          <cell r="E77">
            <v>0.8648310387984981</v>
          </cell>
          <cell r="F77">
            <v>0.54691634439242842</v>
          </cell>
          <cell r="G77">
            <v>0.53195916509525987</v>
          </cell>
          <cell r="H77">
            <v>0.76843111482853399</v>
          </cell>
          <cell r="I77">
            <v>0.63800163800163789</v>
          </cell>
          <cell r="J77">
            <v>0.41700404858299606</v>
          </cell>
          <cell r="K77">
            <v>0.82758620689655171</v>
          </cell>
          <cell r="L77">
            <v>-4.2849193099610244E-2</v>
          </cell>
          <cell r="M77" t="str">
            <v xml:space="preserve">  NM</v>
          </cell>
          <cell r="N77">
            <v>0.58217362491716396</v>
          </cell>
          <cell r="O77">
            <v>0.37968495382943968</v>
          </cell>
          <cell r="P77">
            <v>0.66939443535188192</v>
          </cell>
          <cell r="Q77">
            <v>0.95340501792114696</v>
          </cell>
          <cell r="R77" t="str">
            <v xml:space="preserve">  NM</v>
          </cell>
          <cell r="S77">
            <v>0.32883282998756347</v>
          </cell>
          <cell r="T77">
            <v>-8.3501461275517117E-4</v>
          </cell>
          <cell r="U77">
            <v>0.32772323515661511</v>
          </cell>
          <cell r="V77">
            <v>0.32951289398280653</v>
          </cell>
          <cell r="W77" t="str">
            <v xml:space="preserve">  NM</v>
          </cell>
          <cell r="X77">
            <v>0.50143266475644543</v>
          </cell>
          <cell r="Y77">
            <v>0.18185237765886461</v>
          </cell>
          <cell r="Z77">
            <v>0.27515816618911165</v>
          </cell>
          <cell r="AA77">
            <v>0.22727272727272735</v>
          </cell>
        </row>
        <row r="78">
          <cell r="A78" t="str">
            <v xml:space="preserve"> 3Q</v>
          </cell>
          <cell r="B78">
            <v>0.78125</v>
          </cell>
          <cell r="C78">
            <v>0.1124880301920802</v>
          </cell>
          <cell r="D78">
            <v>6.8119891008174394E-2</v>
          </cell>
          <cell r="E78">
            <v>0.80617743037110123</v>
          </cell>
          <cell r="F78">
            <v>0.21640772622296878</v>
          </cell>
          <cell r="G78">
            <v>0.23916985694136617</v>
          </cell>
          <cell r="H78">
            <v>0.38762806380495379</v>
          </cell>
          <cell r="I78">
            <v>7.4816753926701738</v>
          </cell>
          <cell r="J78">
            <v>0.47545153904858806</v>
          </cell>
          <cell r="K78">
            <v>0.21739130434782611</v>
          </cell>
          <cell r="L78">
            <v>-0.23287671232876711</v>
          </cell>
          <cell r="M78" t="str">
            <v xml:space="preserve">  NM</v>
          </cell>
          <cell r="N78">
            <v>0.21237618082380391</v>
          </cell>
          <cell r="O78">
            <v>0.12419521633252155</v>
          </cell>
          <cell r="P78">
            <v>1.6655896607431337</v>
          </cell>
          <cell r="Q78">
            <v>0.90434012400354302</v>
          </cell>
          <cell r="R78" t="str">
            <v xml:space="preserve">  NM</v>
          </cell>
          <cell r="S78">
            <v>0.26900962814275503</v>
          </cell>
          <cell r="T78">
            <v>1.7751493491998333E-3</v>
          </cell>
          <cell r="U78">
            <v>0.27126230975828103</v>
          </cell>
          <cell r="V78">
            <v>0.26762882072106664</v>
          </cell>
          <cell r="W78" t="str">
            <v xml:space="preserve">  NM</v>
          </cell>
          <cell r="X78">
            <v>0.43774351094770331</v>
          </cell>
          <cell r="Y78">
            <v>0.17451082167473406</v>
          </cell>
          <cell r="Z78">
            <v>0.22743840201942567</v>
          </cell>
          <cell r="AA78">
            <v>0.22727272727272735</v>
          </cell>
        </row>
        <row r="79">
          <cell r="A79" t="str">
            <v xml:space="preserve"> 4Q</v>
          </cell>
          <cell r="B79">
            <v>1.0540540540540539</v>
          </cell>
          <cell r="C79">
            <v>0.13029526569122868</v>
          </cell>
          <cell r="D79">
            <v>0.16435288849081972</v>
          </cell>
          <cell r="E79">
            <v>-8.4862995477520742E-2</v>
          </cell>
          <cell r="F79">
            <v>9.784786965234829E-2</v>
          </cell>
          <cell r="G79">
            <v>0.13488839566145988</v>
          </cell>
          <cell r="H79">
            <v>8.2495687860584102E-2</v>
          </cell>
          <cell r="I79">
            <v>0.16156282998943952</v>
          </cell>
          <cell r="J79">
            <v>-0.17907247442259389</v>
          </cell>
          <cell r="K79">
            <v>0.16017316017316013</v>
          </cell>
          <cell r="L79">
            <v>0.17618230825778086</v>
          </cell>
          <cell r="M79" t="str">
            <v xml:space="preserve">  NM</v>
          </cell>
          <cell r="N79">
            <v>0.30807835518860277</v>
          </cell>
          <cell r="O79">
            <v>0.15573900619145895</v>
          </cell>
          <cell r="P79">
            <v>1.857142857142857</v>
          </cell>
          <cell r="Q79">
            <v>1.1368948247078465</v>
          </cell>
          <cell r="R79" t="str">
            <v xml:space="preserve">  NM</v>
          </cell>
          <cell r="S79">
            <v>0.30626377085300616</v>
          </cell>
          <cell r="T79">
            <v>1.9521425662891168E-3</v>
          </cell>
          <cell r="U79">
            <v>0.30881378396288967</v>
          </cell>
          <cell r="V79">
            <v>0.30470098487156072</v>
          </cell>
          <cell r="W79" t="str">
            <v xml:space="preserve">  NM</v>
          </cell>
          <cell r="X79">
            <v>0.46207736826073748</v>
          </cell>
          <cell r="Y79">
            <v>0.1776784635825582</v>
          </cell>
          <cell r="Z79">
            <v>0.26088943039902623</v>
          </cell>
          <cell r="AA79">
            <v>0.25</v>
          </cell>
        </row>
        <row r="81">
          <cell r="A81" t="str">
            <v>1996/95</v>
          </cell>
          <cell r="B81">
            <v>0.69852941176470584</v>
          </cell>
          <cell r="C81">
            <v>0.19141739483146236</v>
          </cell>
          <cell r="D81">
            <v>0.26187819797637829</v>
          </cell>
          <cell r="E81">
            <v>0.35118050507285298</v>
          </cell>
          <cell r="F81">
            <v>0.24717387202716923</v>
          </cell>
          <cell r="G81">
            <v>0.26598571284097494</v>
          </cell>
          <cell r="H81">
            <v>0.30285189999235429</v>
          </cell>
          <cell r="I81">
            <v>1.0377950013062787</v>
          </cell>
          <cell r="J81">
            <v>0.14640379700620665</v>
          </cell>
          <cell r="K81">
            <v>0.4065620542082739</v>
          </cell>
          <cell r="L81">
            <v>-3.7553141237600132E-2</v>
          </cell>
          <cell r="M81" t="str">
            <v xml:space="preserve">  NM</v>
          </cell>
          <cell r="N81">
            <v>0.36920071941054755</v>
          </cell>
          <cell r="O81">
            <v>0.19578383114707601</v>
          </cell>
          <cell r="P81">
            <v>1.1754328247727925</v>
          </cell>
          <cell r="Q81">
            <v>0.79623208989515015</v>
          </cell>
          <cell r="R81" t="str">
            <v xml:space="preserve">  NM</v>
          </cell>
          <cell r="S81">
            <v>0.27668319247861473</v>
          </cell>
          <cell r="T81">
            <v>7.42642837352845E-4</v>
          </cell>
          <cell r="U81">
            <v>0.27763131210707781</v>
          </cell>
          <cell r="V81">
            <v>0.27610208816705306</v>
          </cell>
          <cell r="W81" t="str">
            <v xml:space="preserve">  NM</v>
          </cell>
          <cell r="X81">
            <v>0.40315987183736579</v>
          </cell>
          <cell r="Y81">
            <v>0.14031503926642155</v>
          </cell>
          <cell r="Z81">
            <v>0.23228118804565534</v>
          </cell>
          <cell r="AA81">
            <v>0.22727272727272735</v>
          </cell>
        </row>
        <row r="83">
          <cell r="A83" t="str">
            <v>1997/96</v>
          </cell>
        </row>
        <row r="84">
          <cell r="A84" t="str">
            <v xml:space="preserve"> 1Q</v>
          </cell>
          <cell r="B84">
            <v>0.15000000000000005</v>
          </cell>
          <cell r="C84">
            <v>0.17866666666666675</v>
          </cell>
          <cell r="D84">
            <v>0.1155115511551154</v>
          </cell>
          <cell r="E84">
            <v>0.40136054421768724</v>
          </cell>
          <cell r="F84">
            <v>0.19515151515151508</v>
          </cell>
          <cell r="G84">
            <v>0.19209039548022599</v>
          </cell>
          <cell r="H84">
            <v>0.23124999999999996</v>
          </cell>
          <cell r="I84">
            <v>0.65957446808510678</v>
          </cell>
          <cell r="J84">
            <v>0.13725490196078435</v>
          </cell>
          <cell r="K84">
            <v>2.1834061135371181E-2</v>
          </cell>
          <cell r="L84">
            <v>0.40540540540540482</v>
          </cell>
          <cell r="M84">
            <v>0.20000000000000284</v>
          </cell>
          <cell r="N84">
            <v>0.11821086261980829</v>
          </cell>
          <cell r="O84">
            <v>0.2645161290322583</v>
          </cell>
          <cell r="P84">
            <v>1.036144578313253</v>
          </cell>
          <cell r="Q84">
            <v>1.1406249999999998</v>
          </cell>
          <cell r="R84" t="str">
            <v xml:space="preserve">  NM</v>
          </cell>
          <cell r="S84">
            <v>0.28875379939209778</v>
          </cell>
          <cell r="T84">
            <v>-5.8490566037757298E-4</v>
          </cell>
          <cell r="U84">
            <v>0.28800000000000009</v>
          </cell>
          <cell r="V84">
            <v>0.28921568627451055</v>
          </cell>
          <cell r="W84" t="str">
            <v xml:space="preserve">  NM</v>
          </cell>
          <cell r="X84">
            <v>0.44607843137254982</v>
          </cell>
          <cell r="Y84">
            <v>0.15602836879432627</v>
          </cell>
          <cell r="Z84">
            <v>0.25681663258350412</v>
          </cell>
          <cell r="AA84">
            <v>0.25</v>
          </cell>
        </row>
        <row r="85">
          <cell r="A85" t="str">
            <v xml:space="preserve"> 2Q</v>
          </cell>
          <cell r="B85">
            <v>1.236842105263158</v>
          </cell>
          <cell r="C85">
            <v>-6.9246435845213825E-2</v>
          </cell>
          <cell r="D85">
            <v>2.8490028490028491E-2</v>
          </cell>
          <cell r="E85">
            <v>-6.3758389261745041E-2</v>
          </cell>
          <cell r="F85">
            <v>-3.7719298245613889E-2</v>
          </cell>
          <cell r="G85">
            <v>3.3955857385400672E-3</v>
          </cell>
          <cell r="H85">
            <v>-0.21959459459459457</v>
          </cell>
          <cell r="I85">
            <v>2.3249999999999993</v>
          </cell>
          <cell r="J85">
            <v>5.8823529411764643E-2</v>
          </cell>
          <cell r="K85">
            <v>-2.2641509433962318E-2</v>
          </cell>
          <cell r="L85">
            <v>0.18604651162790711</v>
          </cell>
          <cell r="M85">
            <v>0.1290322580645156</v>
          </cell>
          <cell r="N85">
            <v>3.6649214659685826E-2</v>
          </cell>
          <cell r="O85">
            <v>0.12598425196850524</v>
          </cell>
          <cell r="P85">
            <v>0.32352941176470595</v>
          </cell>
          <cell r="Q85">
            <v>0.25688073394495403</v>
          </cell>
          <cell r="R85" t="str">
            <v xml:space="preserve">  NM</v>
          </cell>
          <cell r="S85">
            <v>0.1417112299465256</v>
          </cell>
          <cell r="T85">
            <v>5.4095062176325419E-3</v>
          </cell>
          <cell r="U85">
            <v>0.14788732394366208</v>
          </cell>
          <cell r="V85">
            <v>0.13793103448276101</v>
          </cell>
          <cell r="W85">
            <v>6.6666666666666721E-2</v>
          </cell>
          <cell r="X85">
            <v>0.12977099236641429</v>
          </cell>
          <cell r="Y85">
            <v>6.1601642710471692E-3</v>
          </cell>
          <cell r="Z85">
            <v>0.11866969009826253</v>
          </cell>
          <cell r="AA85">
            <v>0.11111111111111099</v>
          </cell>
        </row>
        <row r="86">
          <cell r="A86" t="str">
            <v xml:space="preserve"> 3Q</v>
          </cell>
          <cell r="B86">
            <v>1.4736842105263155</v>
          </cell>
          <cell r="C86">
            <v>6.0759493670886039E-2</v>
          </cell>
          <cell r="D86">
            <v>0.22789115646258515</v>
          </cell>
          <cell r="E86">
            <v>-5.8823529411764795E-2</v>
          </cell>
          <cell r="F86">
            <v>8.3063646170442318E-2</v>
          </cell>
          <cell r="G86">
            <v>0.16361788617886172</v>
          </cell>
          <cell r="H86">
            <v>2.8037383177570162E-2</v>
          </cell>
          <cell r="I86">
            <v>0.79012345679012319</v>
          </cell>
          <cell r="J86">
            <v>-5.1724137931034454E-2</v>
          </cell>
          <cell r="K86">
            <v>0.18750000000000014</v>
          </cell>
          <cell r="L86">
            <v>0.35714285714285715</v>
          </cell>
          <cell r="M86">
            <v>1.5217391304347805</v>
          </cell>
          <cell r="N86">
            <v>0.32176656151419558</v>
          </cell>
          <cell r="O86">
            <v>0.17507418397626107</v>
          </cell>
          <cell r="P86">
            <v>7.8787878787878837E-2</v>
          </cell>
          <cell r="Q86">
            <v>6.9767441860465143E-2</v>
          </cell>
          <cell r="R86" t="str">
            <v xml:space="preserve">  NM</v>
          </cell>
          <cell r="S86">
            <v>0.16890080428954415</v>
          </cell>
          <cell r="T86">
            <v>9.6911745703770659E-5</v>
          </cell>
          <cell r="U86">
            <v>0.16901408450704242</v>
          </cell>
          <cell r="V86">
            <v>0.16883116883116858</v>
          </cell>
          <cell r="W86">
            <v>3.2258064516129059E-2</v>
          </cell>
          <cell r="X86">
            <v>0.15267175572519054</v>
          </cell>
          <cell r="Y86">
            <v>1.1305241521068947E-2</v>
          </cell>
          <cell r="Z86">
            <v>0.13670581150255931</v>
          </cell>
          <cell r="AA86" t="str">
            <v xml:space="preserve">  NM</v>
          </cell>
        </row>
        <row r="87">
          <cell r="A87" t="str">
            <v xml:space="preserve"> 4Q</v>
          </cell>
          <cell r="B87">
            <v>2.0789473684210527</v>
          </cell>
          <cell r="C87">
            <v>9.3220338983050807E-2</v>
          </cell>
          <cell r="D87">
            <v>-0.20329670329670327</v>
          </cell>
          <cell r="E87">
            <v>0.29069767441860467</v>
          </cell>
          <cell r="F87">
            <v>1.984126984126984E-2</v>
          </cell>
          <cell r="G87">
            <v>0.16420664206642066</v>
          </cell>
          <cell r="H87">
            <v>0.53296703296703296</v>
          </cell>
          <cell r="I87">
            <v>1.6818181818181821</v>
          </cell>
          <cell r="J87">
            <v>0.21641791044776149</v>
          </cell>
          <cell r="K87">
            <v>-0.19402985074626863</v>
          </cell>
          <cell r="L87">
            <v>-0.22916666666666663</v>
          </cell>
          <cell r="M87">
            <v>1.4749999999999996</v>
          </cell>
          <cell r="N87">
            <v>-3.7128712871287127E-2</v>
          </cell>
          <cell r="O87">
            <v>0.18406593406593383</v>
          </cell>
          <cell r="P87">
            <v>-0.5921787709497206</v>
          </cell>
          <cell r="Q87">
            <v>7.0312499999999889E-2</v>
          </cell>
          <cell r="R87" t="str">
            <v xml:space="preserve">  NM</v>
          </cell>
          <cell r="S87">
            <v>-0.11566265060240995</v>
          </cell>
          <cell r="T87">
            <v>-0.36303590521850088</v>
          </cell>
          <cell r="U87">
            <v>-0.43670886075949378</v>
          </cell>
          <cell r="V87">
            <v>8.171206225680902E-2</v>
          </cell>
          <cell r="W87">
            <v>3.2258064516129059E-2</v>
          </cell>
          <cell r="X87">
            <v>7.6388888888888534E-2</v>
          </cell>
          <cell r="Y87">
            <v>8.2051282051281756E-3</v>
          </cell>
          <cell r="Z87">
            <v>5.1203797897591552E-2</v>
          </cell>
          <cell r="AA87">
            <v>0</v>
          </cell>
        </row>
        <row r="89">
          <cell r="A89" t="str">
            <v>1997/96</v>
          </cell>
          <cell r="B89">
            <v>1.2900432900432899</v>
          </cell>
          <cell r="C89">
            <v>5.8280438545874169E-2</v>
          </cell>
          <cell r="D89">
            <v>2.8963414634146208E-2</v>
          </cell>
          <cell r="E89">
            <v>8.8888888888888989E-2</v>
          </cell>
          <cell r="F89">
            <v>5.5128205128205272E-2</v>
          </cell>
          <cell r="G89">
            <v>0.12418300653594773</v>
          </cell>
          <cell r="H89">
            <v>8.8028169014084334E-2</v>
          </cell>
          <cell r="I89">
            <v>1.2777777777777775</v>
          </cell>
          <cell r="J89">
            <v>9.3418259023354683E-2</v>
          </cell>
          <cell r="K89">
            <v>-1.1156186612576008E-2</v>
          </cell>
          <cell r="L89">
            <v>0.15030674846625761</v>
          </cell>
          <cell r="M89">
            <v>0.96153846153846101</v>
          </cell>
          <cell r="N89">
            <v>9.7457627118644155E-2</v>
          </cell>
          <cell r="O89">
            <v>0.18390804597701171</v>
          </cell>
          <cell r="P89">
            <v>4.914933837429114E-2</v>
          </cell>
          <cell r="Q89">
            <v>0.27674418604651174</v>
          </cell>
          <cell r="R89" t="str">
            <v xml:space="preserve">  NM</v>
          </cell>
          <cell r="S89">
            <v>0.10932260228034925</v>
          </cell>
          <cell r="T89">
            <v>-7.9470643557705625E-2</v>
          </cell>
          <cell r="U89">
            <v>2.1164021164021211E-2</v>
          </cell>
          <cell r="V89">
            <v>0.16341991341991388</v>
          </cell>
          <cell r="W89">
            <v>0.39130434782608714</v>
          </cell>
          <cell r="X89">
            <v>0.18405511811023673</v>
          </cell>
          <cell r="Y89">
            <v>4.1666666666666789E-2</v>
          </cell>
          <cell r="Z89">
            <v>0.13513751539031518</v>
          </cell>
          <cell r="AA89">
            <v>-3.7129629629629624</v>
          </cell>
        </row>
        <row r="91">
          <cell r="A91" t="str">
            <v>1998/97</v>
          </cell>
        </row>
        <row r="92">
          <cell r="A92" t="str">
            <v xml:space="preserve"> 1Q</v>
          </cell>
          <cell r="B92">
            <v>5.057971014492753</v>
          </cell>
          <cell r="C92">
            <v>0.14027149321266957</v>
          </cell>
          <cell r="D92">
            <v>-0.22189349112426027</v>
          </cell>
          <cell r="E92">
            <v>0.21359223300970864</v>
          </cell>
          <cell r="F92">
            <v>3.1440162271805364E-2</v>
          </cell>
          <cell r="G92">
            <v>0.36018957345971564</v>
          </cell>
          <cell r="H92">
            <v>0.58883248730964477</v>
          </cell>
          <cell r="I92">
            <v>3.5512820512820507</v>
          </cell>
          <cell r="J92">
            <v>1.103448275862069</v>
          </cell>
          <cell r="K92">
            <v>-0.14786324786324775</v>
          </cell>
          <cell r="L92">
            <v>-0.38846153846153841</v>
          </cell>
          <cell r="M92" t="str">
            <v xml:space="preserve">  NM</v>
          </cell>
          <cell r="N92">
            <v>0.14857142857142866</v>
          </cell>
          <cell r="O92">
            <v>0.21428571428571441</v>
          </cell>
          <cell r="P92">
            <v>-0.59171597633136086</v>
          </cell>
          <cell r="Q92">
            <v>3.6496350364963508E-2</v>
          </cell>
          <cell r="R92" t="str">
            <v xml:space="preserve">  NM</v>
          </cell>
          <cell r="S92">
            <v>-4.952830188679231E-2</v>
          </cell>
          <cell r="T92">
            <v>-9.8192130450195231E-2</v>
          </cell>
          <cell r="U92">
            <v>-0.14285714285714288</v>
          </cell>
          <cell r="V92">
            <v>7.6045627376428275E-3</v>
          </cell>
          <cell r="W92" t="str">
            <v>NM</v>
          </cell>
          <cell r="X92">
            <v>-0.10169491525423703</v>
          </cell>
          <cell r="Y92">
            <v>2.3517382413087908E-2</v>
          </cell>
          <cell r="Z92">
            <v>-0.10488135593220355</v>
          </cell>
          <cell r="AA92">
            <v>-9.9999999999999908E-2</v>
          </cell>
        </row>
        <row r="93">
          <cell r="A93" t="str">
            <v xml:space="preserve"> 2Q</v>
          </cell>
          <cell r="B93">
            <v>3.9176470588235293</v>
          </cell>
          <cell r="C93">
            <v>0.16849015317286642</v>
          </cell>
          <cell r="D93">
            <v>-9.6952908587257608E-2</v>
          </cell>
          <cell r="E93">
            <v>9.3189964157706154E-2</v>
          </cell>
          <cell r="F93">
            <v>6.198723792160421E-2</v>
          </cell>
          <cell r="G93">
            <v>0.33925549915397624</v>
          </cell>
          <cell r="H93">
            <v>0.52380952380952384</v>
          </cell>
          <cell r="I93">
            <v>1.7894736842105265</v>
          </cell>
          <cell r="J93">
            <v>1</v>
          </cell>
          <cell r="K93">
            <v>-3.7065637065636967E-2</v>
          </cell>
          <cell r="L93">
            <v>-0.24901960784313745</v>
          </cell>
          <cell r="M93" t="str">
            <v xml:space="preserve">  NM</v>
          </cell>
          <cell r="N93">
            <v>0.13131313131313119</v>
          </cell>
          <cell r="O93">
            <v>0.23776223776223718</v>
          </cell>
          <cell r="P93">
            <v>-0.51851851851851849</v>
          </cell>
          <cell r="Q93">
            <v>4.379562043795631E-2</v>
          </cell>
          <cell r="R93" t="str">
            <v xml:space="preserve">  NM</v>
          </cell>
          <cell r="S93">
            <v>6.088992974238825E-2</v>
          </cell>
          <cell r="T93">
            <v>-8.0526551009628716E-2</v>
          </cell>
          <cell r="U93">
            <v>-2.4539877300613626E-2</v>
          </cell>
          <cell r="V93">
            <v>0.11363636363636283</v>
          </cell>
          <cell r="W93">
            <v>9.3749999999999944E-2</v>
          </cell>
          <cell r="X93">
            <v>0.11148648648648579</v>
          </cell>
          <cell r="Y93">
            <v>0.15918367346938769</v>
          </cell>
          <cell r="Z93">
            <v>-3.9864864864865852E-2</v>
          </cell>
          <cell r="AA93">
            <v>-3.3333333333333368E-2</v>
          </cell>
        </row>
        <row r="94">
          <cell r="A94" t="str">
            <v xml:space="preserve"> 3Q</v>
          </cell>
          <cell r="B94">
            <v>2.1134751773049643</v>
          </cell>
          <cell r="C94">
            <v>0.55847255369928395</v>
          </cell>
          <cell r="D94">
            <v>-9.1412742382271581E-2</v>
          </cell>
          <cell r="E94">
            <v>0.37500000000000011</v>
          </cell>
          <cell r="F94">
            <v>0.28386454183266929</v>
          </cell>
          <cell r="G94">
            <v>0.50917030567685595</v>
          </cell>
          <cell r="H94">
            <v>0.48181818181818187</v>
          </cell>
          <cell r="I94">
            <v>1.903448275862069</v>
          </cell>
          <cell r="J94">
            <v>2.4545454545454546</v>
          </cell>
          <cell r="K94">
            <v>-7.1428571428571508E-2</v>
          </cell>
          <cell r="L94">
            <v>-0.14736842105263182</v>
          </cell>
          <cell r="M94" t="str">
            <v xml:space="preserve">  NM</v>
          </cell>
          <cell r="N94">
            <v>0.23389021479713615</v>
          </cell>
          <cell r="O94">
            <v>0.27525252525252558</v>
          </cell>
          <cell r="P94">
            <v>-0.6460674157303371</v>
          </cell>
          <cell r="Q94">
            <v>2.8985507246376708E-2</v>
          </cell>
          <cell r="R94" t="str">
            <v xml:space="preserve">  NM</v>
          </cell>
          <cell r="S94">
            <v>-2.2935779816513433E-2</v>
          </cell>
          <cell r="T94">
            <v>-8.1339442276147131E-2</v>
          </cell>
          <cell r="U94">
            <v>-0.10240963855421692</v>
          </cell>
          <cell r="V94">
            <v>2.5925925925926557E-2</v>
          </cell>
          <cell r="W94" t="str">
            <v>NM</v>
          </cell>
          <cell r="X94">
            <v>-8.2781456953641794E-2</v>
          </cell>
          <cell r="Y94">
            <v>2.8455284552845499E-2</v>
          </cell>
          <cell r="Z94">
            <v>-0.12026490066225153</v>
          </cell>
          <cell r="AA94">
            <v>-1.0704960835509136</v>
          </cell>
        </row>
        <row r="95">
          <cell r="A95" t="str">
            <v xml:space="preserve"> 4Q</v>
          </cell>
          <cell r="B95">
            <v>1.0641025641025641</v>
          </cell>
          <cell r="C95">
            <v>0.2403100775193798</v>
          </cell>
          <cell r="D95">
            <v>0.12758620689655181</v>
          </cell>
          <cell r="E95">
            <v>0.2297297297297298</v>
          </cell>
          <cell r="F95">
            <v>0.20622568093385218</v>
          </cell>
          <cell r="G95">
            <v>0.36529318541996852</v>
          </cell>
          <cell r="H95">
            <v>-4.6594982078852945E-2</v>
          </cell>
          <cell r="I95">
            <v>1.7683615819209042</v>
          </cell>
          <cell r="J95">
            <v>1.8650306748466252</v>
          </cell>
          <cell r="K95">
            <v>0.16666666666666655</v>
          </cell>
          <cell r="L95">
            <v>1.3513513513514189E-2</v>
          </cell>
          <cell r="M95" t="str">
            <v xml:space="preserve">  NM</v>
          </cell>
          <cell r="N95">
            <v>0.3804627249357328</v>
          </cell>
          <cell r="O95">
            <v>5.1044083526683055E-2</v>
          </cell>
          <cell r="P95">
            <v>-8.2191780821917762E-2</v>
          </cell>
          <cell r="Q95">
            <v>2.1897810218978155E-2</v>
          </cell>
          <cell r="R95" t="str">
            <v xml:space="preserve">  NM</v>
          </cell>
          <cell r="S95">
            <v>3.5422343324251787E-2</v>
          </cell>
          <cell r="T95">
            <v>0.44325842696629075</v>
          </cell>
          <cell r="U95">
            <v>0.49438202247191043</v>
          </cell>
          <cell r="V95">
            <v>-0.11151079136690521</v>
          </cell>
          <cell r="W95" t="str">
            <v>NM</v>
          </cell>
          <cell r="X95">
            <v>-0.20322580645161184</v>
          </cell>
          <cell r="Y95">
            <v>4.6795523906409044E-2</v>
          </cell>
          <cell r="Z95">
            <v>-0.23896774193548326</v>
          </cell>
          <cell r="AA95">
            <v>-0.2</v>
          </cell>
        </row>
        <row r="97">
          <cell r="A97" t="str">
            <v>Year</v>
          </cell>
          <cell r="B97">
            <v>2.3232514177693764</v>
          </cell>
          <cell r="C97">
            <v>0.27099236641221369</v>
          </cell>
          <cell r="D97">
            <v>-7.8518518518518474E-2</v>
          </cell>
          <cell r="E97">
            <v>0.2201933404940922</v>
          </cell>
          <cell r="F97">
            <v>0.1448359659781287</v>
          </cell>
          <cell r="G97">
            <v>0.39298018949181751</v>
          </cell>
          <cell r="H97">
            <v>0.35598705501618128</v>
          </cell>
          <cell r="I97">
            <v>2.0712945590994378</v>
          </cell>
          <cell r="J97">
            <v>1.6077669902912621</v>
          </cell>
          <cell r="K97">
            <v>-2.7897435897435884E-2</v>
          </cell>
          <cell r="L97">
            <v>-0.21013333333333331</v>
          </cell>
          <cell r="M97" t="str">
            <v xml:space="preserve">  NM</v>
          </cell>
          <cell r="N97">
            <v>0.22522522522522503</v>
          </cell>
          <cell r="O97">
            <v>0.1923543689320393</v>
          </cell>
          <cell r="P97">
            <v>-0.5243243243243243</v>
          </cell>
          <cell r="Q97">
            <v>3.2786885245901586E-2</v>
          </cell>
          <cell r="R97" t="str">
            <v xml:space="preserve">  NM</v>
          </cell>
          <cell r="S97">
            <v>4.8367593712213492E-3</v>
          </cell>
          <cell r="T97">
            <v>-4.8134777376654279E-3</v>
          </cell>
          <cell r="U97">
            <v>0</v>
          </cell>
          <cell r="V97">
            <v>7.4418604651167817E-3</v>
          </cell>
          <cell r="W97">
            <v>-0.7265625</v>
          </cell>
          <cell r="X97">
            <v>-7.0656691604322169E-2</v>
          </cell>
          <cell r="Y97">
            <v>3.439490445859858E-2</v>
          </cell>
          <cell r="Z97">
            <v>-0.12720641569133925</v>
          </cell>
          <cell r="AA97">
            <v>-1.3651877133105801</v>
          </cell>
        </row>
        <row r="99">
          <cell r="A99" t="str">
            <v>1999/98</v>
          </cell>
        </row>
        <row r="100">
          <cell r="A100" t="str">
            <v xml:space="preserve"> 1Q</v>
          </cell>
          <cell r="B100">
            <v>0.62440191387559829</v>
          </cell>
          <cell r="C100">
            <v>0.16865079365079366</v>
          </cell>
          <cell r="D100">
            <v>0.15589353612167292</v>
          </cell>
          <cell r="E100">
            <v>0.13200000000000003</v>
          </cell>
          <cell r="F100">
            <v>0.15634218289085536</v>
          </cell>
          <cell r="G100">
            <v>0.29268292682926828</v>
          </cell>
          <cell r="H100">
            <v>9.5846645367412026E-2</v>
          </cell>
          <cell r="I100">
            <v>0.74366197183098603</v>
          </cell>
          <cell r="J100">
            <v>1.2622950819672134</v>
          </cell>
          <cell r="K100">
            <v>0.1685055165496489</v>
          </cell>
          <cell r="L100">
            <v>0.1163522012578614</v>
          </cell>
          <cell r="M100">
            <v>-1.438848920863304E-2</v>
          </cell>
          <cell r="N100">
            <v>9.7014925373134289E-2</v>
          </cell>
          <cell r="O100">
            <v>9.0336134453780983E-2</v>
          </cell>
          <cell r="P100">
            <v>-0.27536231884057977</v>
          </cell>
          <cell r="Q100">
            <v>4.9295774647887404E-2</v>
          </cell>
          <cell r="R100" t="str">
            <v xml:space="preserve">  NM</v>
          </cell>
          <cell r="S100">
            <v>4.2183622828783469E-2</v>
          </cell>
          <cell r="T100">
            <v>-5.4382332643201567E-2</v>
          </cell>
          <cell r="U100">
            <v>-1.4492753623188354E-2</v>
          </cell>
          <cell r="V100">
            <v>7.1698113207546155E-2</v>
          </cell>
          <cell r="W100" t="str">
            <v>NM</v>
          </cell>
          <cell r="X100">
            <v>7.1698113207546155E-2</v>
          </cell>
          <cell r="Y100">
            <v>3.0969030969031055E-2</v>
          </cell>
          <cell r="Z100">
            <v>3.703703703703707E-2</v>
          </cell>
          <cell r="AA100">
            <v>-0.85185185185185186</v>
          </cell>
        </row>
        <row r="101">
          <cell r="A101" t="str">
            <v xml:space="preserve"> 2Q</v>
          </cell>
          <cell r="B101">
            <v>0.64593301435406703</v>
          </cell>
          <cell r="C101">
            <v>2.6217228464419449E-2</v>
          </cell>
          <cell r="D101">
            <v>0.14110429447852765</v>
          </cell>
          <cell r="E101">
            <v>0.12786885245901636</v>
          </cell>
          <cell r="F101">
            <v>8.4978540772532238E-2</v>
          </cell>
          <cell r="G101">
            <v>0.23310170562223609</v>
          </cell>
          <cell r="H101">
            <v>0.14488636363636345</v>
          </cell>
          <cell r="I101">
            <v>0.69541778975741242</v>
          </cell>
          <cell r="J101">
            <v>1.396825396825397</v>
          </cell>
          <cell r="K101">
            <v>0.1427425821972734</v>
          </cell>
          <cell r="L101">
            <v>0.13577023498694551</v>
          </cell>
          <cell r="M101">
            <v>-0.13114754098360673</v>
          </cell>
          <cell r="N101">
            <v>6.6964285714285712E-2</v>
          </cell>
          <cell r="O101">
            <v>-0.12052730696798555</v>
          </cell>
          <cell r="P101">
            <v>1.8307692307692305</v>
          </cell>
          <cell r="Q101">
            <v>3.4965034965034961E-2</v>
          </cell>
          <cell r="R101" t="str">
            <v xml:space="preserve">  NM</v>
          </cell>
          <cell r="S101">
            <v>0.11037527593818888</v>
          </cell>
          <cell r="T101">
            <v>-8.8075321654974989E-2</v>
          </cell>
          <cell r="U101">
            <v>1.2578616352201437E-2</v>
          </cell>
          <cell r="V101">
            <v>0.16326530612244736</v>
          </cell>
          <cell r="W101">
            <v>8.571428571428566E-2</v>
          </cell>
          <cell r="X101">
            <v>0.15501519756838752</v>
          </cell>
          <cell r="Y101">
            <v>1.1443661971831087E-2</v>
          </cell>
          <cell r="Z101">
            <v>0.13793103448275876</v>
          </cell>
          <cell r="AA101">
            <v>0.13793103448275876</v>
          </cell>
        </row>
        <row r="102">
          <cell r="A102" t="str">
            <v xml:space="preserve"> 3Q</v>
          </cell>
          <cell r="B102">
            <v>1.4214123006833712</v>
          </cell>
          <cell r="C102">
            <v>-0.11179173047473197</v>
          </cell>
          <cell r="D102">
            <v>-0.17073170731707313</v>
          </cell>
          <cell r="E102">
            <v>-6.4935064935064705E-3</v>
          </cell>
          <cell r="F102">
            <v>-0.10162916989914658</v>
          </cell>
          <cell r="G102">
            <v>0.28530092592592599</v>
          </cell>
          <cell r="H102">
            <v>0.38650306748466262</v>
          </cell>
          <cell r="I102">
            <v>1.178147268408551</v>
          </cell>
          <cell r="J102">
            <v>0.73421052631578965</v>
          </cell>
          <cell r="K102">
            <v>-0.1497975708502024</v>
          </cell>
          <cell r="L102">
            <v>-0.23456790123456778</v>
          </cell>
          <cell r="M102">
            <v>-0.25396825396825429</v>
          </cell>
          <cell r="N102">
            <v>-0.2011605415860736</v>
          </cell>
          <cell r="O102">
            <v>0.38019801980198042</v>
          </cell>
          <cell r="P102">
            <v>0.15873015873015872</v>
          </cell>
          <cell r="Q102">
            <v>-7.0422535211267356E-3</v>
          </cell>
          <cell r="R102" t="str">
            <v xml:space="preserve">  NM</v>
          </cell>
          <cell r="S102">
            <v>0.4765258215962444</v>
          </cell>
          <cell r="T102">
            <v>-8.6373384833708711E-2</v>
          </cell>
          <cell r="U102">
            <v>0.34899328859060408</v>
          </cell>
          <cell r="V102">
            <v>0.54512635379061392</v>
          </cell>
          <cell r="W102" t="str">
            <v>NM</v>
          </cell>
          <cell r="X102">
            <v>0.84837545126353786</v>
          </cell>
          <cell r="Y102">
            <v>0.27865612648221344</v>
          </cell>
          <cell r="Z102">
            <v>0.48148148148148145</v>
          </cell>
          <cell r="AA102">
            <v>0.48148148148148145</v>
          </cell>
        </row>
        <row r="103">
          <cell r="A103" t="str">
            <v xml:space="preserve"> 4Q</v>
          </cell>
          <cell r="B103">
            <v>0.66459627329192572</v>
          </cell>
          <cell r="C103">
            <v>-0.13437500000000002</v>
          </cell>
          <cell r="D103">
            <v>-0.20489296636085633</v>
          </cell>
          <cell r="E103">
            <v>0.14652014652014653</v>
          </cell>
          <cell r="F103">
            <v>-9.1129032258064499E-2</v>
          </cell>
          <cell r="G103">
            <v>0.12071967498549048</v>
          </cell>
          <cell r="H103">
            <v>0.45112781954887216</v>
          </cell>
          <cell r="I103">
            <v>0.49183673469387768</v>
          </cell>
          <cell r="J103">
            <v>0.54603854389721629</v>
          </cell>
          <cell r="K103">
            <v>-0.2857142857142857</v>
          </cell>
          <cell r="L103">
            <v>6.6666666666666166E-2</v>
          </cell>
          <cell r="M103">
            <v>0.16190476190476183</v>
          </cell>
          <cell r="N103">
            <v>-6.1452513966480521E-2</v>
          </cell>
          <cell r="O103">
            <v>-0.29580573951434835</v>
          </cell>
          <cell r="P103">
            <v>0.62686567164179108</v>
          </cell>
          <cell r="Q103">
            <v>2.1428571428571481E-2</v>
          </cell>
          <cell r="R103" t="str">
            <v xml:space="preserve">  NM</v>
          </cell>
          <cell r="S103">
            <v>-0.24999999999999953</v>
          </cell>
          <cell r="T103">
            <v>-0.87969924812030076</v>
          </cell>
          <cell r="U103">
            <v>-0.90977443609022557</v>
          </cell>
          <cell r="V103">
            <v>0.10526315789473742</v>
          </cell>
          <cell r="W103" t="str">
            <v>NM</v>
          </cell>
          <cell r="X103">
            <v>0.10526315789473742</v>
          </cell>
          <cell r="Y103">
            <v>9.7181729834791061E-3</v>
          </cell>
          <cell r="Z103">
            <v>9.4802694898942413E-2</v>
          </cell>
          <cell r="AA103">
            <v>-0.1666666666666666</v>
          </cell>
        </row>
        <row r="105">
          <cell r="A105" t="str">
            <v>Year</v>
          </cell>
          <cell r="B105">
            <v>0.83959044368600655</v>
          </cell>
          <cell r="C105">
            <v>-2.5740025740025742E-2</v>
          </cell>
          <cell r="D105">
            <v>-2.8938906752411644E-2</v>
          </cell>
          <cell r="E105">
            <v>9.6830985915493092E-2</v>
          </cell>
          <cell r="F105">
            <v>2.9717682020801895E-3</v>
          </cell>
          <cell r="G105">
            <v>0.23032926263719256</v>
          </cell>
          <cell r="H105">
            <v>0.26014319809069231</v>
          </cell>
          <cell r="I105">
            <v>0.76908979841172909</v>
          </cell>
          <cell r="J105">
            <v>0.88905435591958282</v>
          </cell>
          <cell r="K105">
            <v>-4.199198143068162E-2</v>
          </cell>
          <cell r="L105">
            <v>1.2829169480080992E-2</v>
          </cell>
          <cell r="M105">
            <v>-4.8484848484848637E-2</v>
          </cell>
          <cell r="N105">
            <v>-3.5714285714285629E-2</v>
          </cell>
          <cell r="O105">
            <v>1.8829516539440139E-2</v>
          </cell>
          <cell r="P105">
            <v>0.57575757575757591</v>
          </cell>
          <cell r="Q105">
            <v>2.4691358024691457E-2</v>
          </cell>
          <cell r="R105" t="str">
            <v xml:space="preserve">  NM</v>
          </cell>
          <cell r="S105">
            <v>0.10529482551143181</v>
          </cell>
          <cell r="T105">
            <v>-0.20308229513652842</v>
          </cell>
          <cell r="U105">
            <v>-0.11917098445595851</v>
          </cell>
          <cell r="V105">
            <v>0.22530009233610296</v>
          </cell>
          <cell r="W105" t="str">
            <v>NM</v>
          </cell>
          <cell r="X105">
            <v>0.32647584973166316</v>
          </cell>
          <cell r="Y105">
            <v>0.13990147783251233</v>
          </cell>
          <cell r="Z105">
            <v>0.19790951461643477</v>
          </cell>
          <cell r="AA105">
            <v>-9.3457943925233725E-2</v>
          </cell>
        </row>
        <row r="107">
          <cell r="A107" t="str">
            <v>2000E/99</v>
          </cell>
        </row>
        <row r="108">
          <cell r="A108" t="str">
            <v xml:space="preserve"> 1QA</v>
          </cell>
          <cell r="B108">
            <v>0.17525773195876274</v>
          </cell>
          <cell r="C108">
            <v>0.13921901528013575</v>
          </cell>
          <cell r="D108">
            <v>-0.16447368421052633</v>
          </cell>
          <cell r="E108">
            <v>2.4734982332155452E-2</v>
          </cell>
          <cell r="F108">
            <v>3.31632653061225E-2</v>
          </cell>
          <cell r="G108">
            <v>8.5175202156334298E-2</v>
          </cell>
          <cell r="H108">
            <v>1.1661807580175093E-2</v>
          </cell>
          <cell r="I108">
            <v>0.19709208400646183</v>
          </cell>
          <cell r="J108">
            <v>0.21739130434782608</v>
          </cell>
          <cell r="K108">
            <v>-0.14163090128755368</v>
          </cell>
          <cell r="L108">
            <v>-0.23943661971830982</v>
          </cell>
          <cell r="M108">
            <v>0.41605839416058354</v>
          </cell>
          <cell r="N108">
            <v>1.5873015873015775E-2</v>
          </cell>
          <cell r="O108">
            <v>5.2023121387283995E-2</v>
          </cell>
          <cell r="P108">
            <v>8.0000000000000071E-2</v>
          </cell>
          <cell r="Q108">
            <v>3.3557046979865772E-2</v>
          </cell>
          <cell r="R108" t="str">
            <v xml:space="preserve">  NM</v>
          </cell>
          <cell r="S108">
            <v>6.1904761904762802E-2</v>
          </cell>
          <cell r="T108">
            <v>-4.4447375362702005E-2</v>
          </cell>
          <cell r="U108">
            <v>1.4705882352941122E-2</v>
          </cell>
          <cell r="V108">
            <v>8.4507042253522499E-2</v>
          </cell>
          <cell r="W108" t="str">
            <v>NM</v>
          </cell>
          <cell r="X108">
            <v>8.4507042253522499E-2</v>
          </cell>
          <cell r="Y108">
            <v>4.8449612403100775E-3</v>
          </cell>
          <cell r="Z108">
            <v>7.1428571428571286E-2</v>
          </cell>
          <cell r="AA108">
            <v>6.5</v>
          </cell>
        </row>
        <row r="109">
          <cell r="A109" t="str">
            <v xml:space="preserve"> 2QA</v>
          </cell>
          <cell r="B109">
            <v>0.45348837209302334</v>
          </cell>
          <cell r="C109">
            <v>0.31751824817518259</v>
          </cell>
          <cell r="D109">
            <v>-0.13978494623655921</v>
          </cell>
          <cell r="E109">
            <v>5.8139534883721762E-3</v>
          </cell>
          <cell r="F109">
            <v>9.8101265822784847E-2</v>
          </cell>
          <cell r="G109">
            <v>0.22336065573770505</v>
          </cell>
          <cell r="H109">
            <v>4.2183622828784191E-2</v>
          </cell>
          <cell r="I109">
            <v>0.47217806041335464</v>
          </cell>
          <cell r="J109">
            <v>0.41721854304635758</v>
          </cell>
          <cell r="K109">
            <v>-0.19298245614035087</v>
          </cell>
          <cell r="L109">
            <v>3.4482758620689315E-2</v>
          </cell>
          <cell r="M109">
            <v>0.50000000000000067</v>
          </cell>
          <cell r="N109">
            <v>2.0920502092050507E-3</v>
          </cell>
          <cell r="O109">
            <v>0.35546038543897329</v>
          </cell>
          <cell r="P109">
            <v>-0.60869565217391308</v>
          </cell>
          <cell r="Q109">
            <v>3.3783783783783779E-2</v>
          </cell>
          <cell r="R109" t="str">
            <v xml:space="preserve">  NM</v>
          </cell>
          <cell r="S109">
            <v>9.7415506958251519E-2</v>
          </cell>
          <cell r="T109">
            <v>-2.6510036907013129E-2</v>
          </cell>
          <cell r="U109">
            <v>6.8322981366459715E-2</v>
          </cell>
          <cell r="V109">
            <v>0.11111111111111259</v>
          </cell>
          <cell r="W109">
            <v>1.190896739130435</v>
          </cell>
          <cell r="X109">
            <v>0.2190896739130451</v>
          </cell>
          <cell r="Y109">
            <v>0.13489991296779807</v>
          </cell>
          <cell r="Z109">
            <v>9.0909090909090814E-2</v>
          </cell>
          <cell r="AA109">
            <v>0.33333333333333326</v>
          </cell>
        </row>
        <row r="110">
          <cell r="A110" t="str">
            <v xml:space="preserve"> 3QA</v>
          </cell>
          <cell r="B110">
            <v>0.2765757290686735</v>
          </cell>
          <cell r="C110">
            <v>0.23448275862068957</v>
          </cell>
          <cell r="D110">
            <v>0.29044117647058831</v>
          </cell>
          <cell r="E110">
            <v>-4.9019607843137254E-2</v>
          </cell>
          <cell r="F110">
            <v>0.17271157167530199</v>
          </cell>
          <cell r="G110">
            <v>0.2224223322827554</v>
          </cell>
          <cell r="H110">
            <v>7.5221238938053062E-2</v>
          </cell>
          <cell r="I110">
            <v>0.2671755725190838</v>
          </cell>
          <cell r="J110">
            <v>0.41578148710166901</v>
          </cell>
          <cell r="K110">
            <v>0.18571428571428564</v>
          </cell>
          <cell r="L110">
            <v>0.64516129032258129</v>
          </cell>
          <cell r="M110">
            <v>0.16312056737588659</v>
          </cell>
          <cell r="N110">
            <v>0.24697336561743349</v>
          </cell>
          <cell r="O110">
            <v>0.1205164992826397</v>
          </cell>
          <cell r="P110">
            <v>1.4794520547945207</v>
          </cell>
          <cell r="Q110">
            <v>-4.255319148936168E-2</v>
          </cell>
          <cell r="R110" t="str">
            <v xml:space="preserve">  NM</v>
          </cell>
          <cell r="S110">
            <v>0.31478537360890257</v>
          </cell>
          <cell r="T110">
            <v>-3.1300570906049902E-2</v>
          </cell>
          <cell r="U110">
            <v>0.27363184079601988</v>
          </cell>
          <cell r="V110">
            <v>0.33411214953270962</v>
          </cell>
          <cell r="W110" t="str">
            <v>NM</v>
          </cell>
          <cell r="X110">
            <v>0.26449305542434975</v>
          </cell>
          <cell r="Y110">
            <v>7.1097372488407945E-2</v>
          </cell>
          <cell r="Z110">
            <v>0.15</v>
          </cell>
          <cell r="AA110">
            <v>0.15</v>
          </cell>
        </row>
        <row r="111">
          <cell r="A111" t="str">
            <v xml:space="preserve"> 4Q</v>
          </cell>
          <cell r="B111">
            <v>0.82898009950248719</v>
          </cell>
          <cell r="C111">
            <v>0.28829944370487331</v>
          </cell>
          <cell r="D111">
            <v>-0.61538461538461542</v>
          </cell>
          <cell r="E111">
            <v>5.4313099041533523E-2</v>
          </cell>
          <cell r="F111">
            <v>1.4833976763531298E-2</v>
          </cell>
          <cell r="G111">
            <v>0.35381558353832171</v>
          </cell>
          <cell r="H111">
            <v>0.21058071225279143</v>
          </cell>
          <cell r="I111">
            <v>0.82382468545885434</v>
          </cell>
          <cell r="J111">
            <v>0.21675900277008298</v>
          </cell>
          <cell r="K111" t="str">
            <v xml:space="preserve">  NM</v>
          </cell>
          <cell r="L111">
            <v>0.25</v>
          </cell>
          <cell r="M111">
            <v>0.43442622950819682</v>
          </cell>
          <cell r="N111">
            <v>-0.10714285714285712</v>
          </cell>
          <cell r="O111">
            <v>1.5656229996329818</v>
          </cell>
          <cell r="P111">
            <v>0.62385321100917424</v>
          </cell>
          <cell r="Q111">
            <v>-3.8531468531468542E-2</v>
          </cell>
          <cell r="R111" t="str">
            <v xml:space="preserve">  NM</v>
          </cell>
          <cell r="S111">
            <v>2.0103289013435823</v>
          </cell>
          <cell r="T111">
            <v>6.3625000000000069</v>
          </cell>
          <cell r="U111">
            <v>21.16354653614215</v>
          </cell>
          <cell r="V111">
            <v>1.1684292250887012</v>
          </cell>
          <cell r="W111" t="str">
            <v>NM</v>
          </cell>
          <cell r="X111">
            <v>1.434894334978811</v>
          </cell>
          <cell r="Y111">
            <v>0.33686236766121269</v>
          </cell>
          <cell r="Z111">
            <v>0.82135004610726026</v>
          </cell>
          <cell r="AA111">
            <v>1.3928227265990496</v>
          </cell>
        </row>
        <row r="113">
          <cell r="A113" t="str">
            <v>Year</v>
          </cell>
          <cell r="B113">
            <v>0.43027210884353739</v>
          </cell>
          <cell r="C113">
            <v>0.24294050718295895</v>
          </cell>
          <cell r="D113">
            <v>-0.15149006622516553</v>
          </cell>
          <cell r="E113">
            <v>8.8282504012840626E-3</v>
          </cell>
          <cell r="F113">
            <v>8.0363574986772518E-2</v>
          </cell>
          <cell r="G113">
            <v>0.22254276816339985</v>
          </cell>
          <cell r="H113">
            <v>8.6037976596955626E-2</v>
          </cell>
          <cell r="I113">
            <v>0.4372292282701733</v>
          </cell>
          <cell r="J113">
            <v>0.31631848640126159</v>
          </cell>
          <cell r="K113">
            <v>-0.25220264317180607</v>
          </cell>
          <cell r="L113">
            <v>0.15333333333333338</v>
          </cell>
          <cell r="M113">
            <v>0.38057324840764334</v>
          </cell>
          <cell r="N113">
            <v>3.0501089324618706E-2</v>
          </cell>
          <cell r="O113">
            <v>0.38782903940205871</v>
          </cell>
          <cell r="P113">
            <v>0.16346153846153855</v>
          </cell>
          <cell r="Q113">
            <v>-2.5989672977625358E-3</v>
          </cell>
          <cell r="R113" t="str">
            <v xml:space="preserve">  NM</v>
          </cell>
          <cell r="S113">
            <v>0.46050285078003383</v>
          </cell>
          <cell r="T113">
            <v>0.11694347827700763</v>
          </cell>
          <cell r="U113">
            <v>0.63129913418373662</v>
          </cell>
          <cell r="V113">
            <v>0.39486147584718639</v>
          </cell>
          <cell r="W113" t="str">
            <v>NM</v>
          </cell>
          <cell r="X113">
            <v>0.40485547802659505</v>
          </cell>
          <cell r="Y113">
            <v>0.10544511668107176</v>
          </cell>
          <cell r="Z113">
            <v>0.24716060615982455</v>
          </cell>
          <cell r="AA113">
            <v>0.73047891270083498</v>
          </cell>
        </row>
        <row r="115">
          <cell r="A115" t="str">
            <v>2001E/00E</v>
          </cell>
          <cell r="B115">
            <v>0.36093071019349282</v>
          </cell>
          <cell r="C115">
            <v>0.11024772475763638</v>
          </cell>
          <cell r="D115">
            <v>-0.63880975609756097</v>
          </cell>
          <cell r="E115">
            <v>0.1933174224343675</v>
          </cell>
          <cell r="F115">
            <v>-1.9703689200205248E-2</v>
          </cell>
          <cell r="G115">
            <v>0.16124029725224925</v>
          </cell>
          <cell r="H115">
            <v>0.16769460396630331</v>
          </cell>
          <cell r="I115">
            <v>0.39017741760148944</v>
          </cell>
          <cell r="J115">
            <v>0.16388680940260522</v>
          </cell>
          <cell r="K115" t="str">
            <v xml:space="preserve">  NM</v>
          </cell>
          <cell r="L115">
            <v>7.0000000000000118E-2</v>
          </cell>
          <cell r="M115">
            <v>0.78850125708532359</v>
          </cell>
          <cell r="N115">
            <v>1.5248726159077875E-2</v>
          </cell>
          <cell r="O115">
            <v>0.25347743798695438</v>
          </cell>
          <cell r="P115">
            <v>0.28099173553718992</v>
          </cell>
          <cell r="Q115">
            <v>-4.1939895425287713E-2</v>
          </cell>
          <cell r="R115" t="str">
            <v xml:space="preserve">  NM</v>
          </cell>
          <cell r="S115">
            <v>0.32224828398603528</v>
          </cell>
          <cell r="T115">
            <v>-3.0049429203941901E-4</v>
          </cell>
          <cell r="U115">
            <v>0.32185095592403856</v>
          </cell>
          <cell r="V115">
            <v>0.32242687146971416</v>
          </cell>
          <cell r="W115">
            <v>0.26006469214231787</v>
          </cell>
          <cell r="X115">
            <v>0.31546988694109851</v>
          </cell>
          <cell r="Y115">
            <v>0.1055512118842846</v>
          </cell>
          <cell r="Z115">
            <v>0.21247872035747453</v>
          </cell>
          <cell r="AA115">
            <v>0.1546922635309857</v>
          </cell>
        </row>
        <row r="116">
          <cell r="A116" t="str">
            <v>2002E/01E</v>
          </cell>
          <cell r="B116">
            <v>0.19006718046190724</v>
          </cell>
          <cell r="C116">
            <v>0.13474840872475452</v>
          </cell>
          <cell r="D116">
            <v>7.0000000000000048E-2</v>
          </cell>
          <cell r="E116">
            <v>0.12000000000000019</v>
          </cell>
          <cell r="F116">
            <v>0.12553727459743547</v>
          </cell>
          <cell r="G116">
            <v>0.16148828222549461</v>
          </cell>
          <cell r="H116">
            <v>0.13177989201607196</v>
          </cell>
          <cell r="I116">
            <v>0.19213844396879581</v>
          </cell>
          <cell r="J116">
            <v>0.12982813625604603</v>
          </cell>
          <cell r="K116" t="str">
            <v xml:space="preserve">  NM</v>
          </cell>
          <cell r="L116">
            <v>7.0000000000000048E-2</v>
          </cell>
          <cell r="M116">
            <v>0.14101390731910171</v>
          </cell>
          <cell r="N116">
            <v>0.12732686216003883</v>
          </cell>
          <cell r="O116">
            <v>0.23279863729764216</v>
          </cell>
          <cell r="P116" t="str">
            <v xml:space="preserve">  NM</v>
          </cell>
          <cell r="Q116">
            <v>2.0803829345557349E-2</v>
          </cell>
          <cell r="R116" t="str">
            <v xml:space="preserve">  NM</v>
          </cell>
          <cell r="S116">
            <v>0.24784054858614601</v>
          </cell>
          <cell r="T116">
            <v>0</v>
          </cell>
          <cell r="U116">
            <v>0.24784054858614607</v>
          </cell>
          <cell r="V116">
            <v>0.24784054858614604</v>
          </cell>
          <cell r="W116">
            <v>2.721232683064741E-2</v>
          </cell>
          <cell r="X116">
            <v>0.22426440596685054</v>
          </cell>
          <cell r="Y116">
            <v>2.8288543140028688E-3</v>
          </cell>
          <cell r="Z116">
            <v>0.22081090975819925</v>
          </cell>
          <cell r="AA116">
            <v>0.22081090975819925</v>
          </cell>
        </row>
        <row r="117">
          <cell r="A117" t="str">
            <v>2003E/02E</v>
          </cell>
          <cell r="B117">
            <v>0.18998820095703572</v>
          </cell>
          <cell r="C117">
            <v>0.11326201853070549</v>
          </cell>
          <cell r="D117">
            <v>7.000000000000009E-2</v>
          </cell>
          <cell r="E117">
            <v>0.10000000000000005</v>
          </cell>
          <cell r="F117">
            <v>0.10626354257548107</v>
          </cell>
          <cell r="G117">
            <v>0.15405607742696742</v>
          </cell>
          <cell r="H117">
            <v>0.15553974490817749</v>
          </cell>
          <cell r="I117">
            <v>0.17942535259323947</v>
          </cell>
          <cell r="J117">
            <v>0.11437590062066565</v>
          </cell>
          <cell r="K117" t="str">
            <v xml:space="preserve">  NM</v>
          </cell>
          <cell r="L117">
            <v>7.000000000000009E-2</v>
          </cell>
          <cell r="M117">
            <v>0.13007449516763839</v>
          </cell>
          <cell r="N117">
            <v>0.11908468114130175</v>
          </cell>
          <cell r="O117">
            <v>0.21149374485233294</v>
          </cell>
          <cell r="P117">
            <v>0.2857142857142857</v>
          </cell>
          <cell r="Q117">
            <v>2.0379850415426948E-2</v>
          </cell>
          <cell r="R117" t="str">
            <v xml:space="preserve">  NM</v>
          </cell>
          <cell r="S117">
            <v>0.24769774085127522</v>
          </cell>
          <cell r="T117">
            <v>0</v>
          </cell>
          <cell r="U117">
            <v>0.24769774085127508</v>
          </cell>
          <cell r="V117">
            <v>0.24769774085127516</v>
          </cell>
          <cell r="W117">
            <v>2.6491433289754441E-2</v>
          </cell>
          <cell r="X117">
            <v>0.22786447692520437</v>
          </cell>
          <cell r="Y117">
            <v>2.8208744710860765E-3</v>
          </cell>
          <cell r="Z117">
            <v>0.22441056841064683</v>
          </cell>
          <cell r="AA117">
            <v>0.22441056841064683</v>
          </cell>
        </row>
        <row r="118">
          <cell r="A118" t="str">
            <v>2004E/03E</v>
          </cell>
          <cell r="B118">
            <v>0.18445734940999015</v>
          </cell>
          <cell r="C118">
            <v>0.10580479109073593</v>
          </cell>
          <cell r="D118">
            <v>7.0000000000000034E-2</v>
          </cell>
          <cell r="E118">
            <v>8.0000000000000099E-2</v>
          </cell>
          <cell r="F118">
            <v>9.5715701505608555E-2</v>
          </cell>
          <cell r="G118">
            <v>0.14794929602616028</v>
          </cell>
          <cell r="H118">
            <v>0.13509101276537175</v>
          </cell>
          <cell r="I118">
            <v>0.17667100131595459</v>
          </cell>
          <cell r="J118">
            <v>0.10137323321202535</v>
          </cell>
          <cell r="K118" t="str">
            <v xml:space="preserve">  NM</v>
          </cell>
          <cell r="L118">
            <v>7.0000000000000034E-2</v>
          </cell>
          <cell r="M118">
            <v>0.12099566347673334</v>
          </cell>
          <cell r="N118">
            <v>0.1120758805253427</v>
          </cell>
          <cell r="O118">
            <v>0.21497603063605478</v>
          </cell>
          <cell r="P118">
            <v>0.27777777777777779</v>
          </cell>
          <cell r="Q118">
            <v>1.9972807584479037E-2</v>
          </cell>
          <cell r="R118" t="str">
            <v xml:space="preserve">  NM</v>
          </cell>
          <cell r="S118">
            <v>0.2456264438466042</v>
          </cell>
          <cell r="T118">
            <v>0</v>
          </cell>
          <cell r="U118">
            <v>0.24562644384660431</v>
          </cell>
          <cell r="V118">
            <v>0.24562644384660418</v>
          </cell>
          <cell r="W118">
            <v>2.580774902801981E-2</v>
          </cell>
          <cell r="X118">
            <v>0.22914989675975156</v>
          </cell>
          <cell r="Y118">
            <v>2.8129395218003208E-3</v>
          </cell>
          <cell r="Z118">
            <v>0.22570207096238887</v>
          </cell>
          <cell r="AA118">
            <v>0.22570207096238887</v>
          </cell>
        </row>
        <row r="119">
          <cell r="A119" t="str">
            <v>2005E/04E</v>
          </cell>
          <cell r="B119">
            <v>0.17093716715180127</v>
          </cell>
          <cell r="C119">
            <v>5.4225271450129231E-2</v>
          </cell>
          <cell r="D119">
            <v>7.0000000000000007E-2</v>
          </cell>
          <cell r="E119">
            <v>8.0000000000000029E-2</v>
          </cell>
          <cell r="F119">
            <v>6.2808035535739187E-2</v>
          </cell>
          <cell r="G119">
            <v>0.12847725591161571</v>
          </cell>
          <cell r="H119">
            <v>0.13533315995675632</v>
          </cell>
          <cell r="I119">
            <v>0.16306866003156056</v>
          </cell>
          <cell r="J119">
            <v>0.12847725591161571</v>
          </cell>
          <cell r="K119" t="str">
            <v xml:space="preserve">  NM</v>
          </cell>
          <cell r="L119">
            <v>7.0000000000000007E-2</v>
          </cell>
          <cell r="M119">
            <v>9.65415686821465E-2</v>
          </cell>
          <cell r="N119">
            <v>9.2074763785434485E-2</v>
          </cell>
          <cell r="O119">
            <v>0.14076520963048006</v>
          </cell>
          <cell r="P119">
            <v>0.2608695652173913</v>
          </cell>
          <cell r="Q119">
            <v>1.9581705939572234E-2</v>
          </cell>
          <cell r="R119" t="str">
            <v xml:space="preserve">  NM</v>
          </cell>
          <cell r="S119">
            <v>0.17123062828218052</v>
          </cell>
          <cell r="T119">
            <v>0</v>
          </cell>
          <cell r="U119">
            <v>0.17123062828218052</v>
          </cell>
          <cell r="V119">
            <v>0.17123062828218055</v>
          </cell>
          <cell r="W119">
            <v>2.5158465660327898E-2</v>
          </cell>
          <cell r="X119">
            <v>0.16209306990689357</v>
          </cell>
          <cell r="Y119">
            <v>2.8050490883590857E-3</v>
          </cell>
          <cell r="Z119">
            <v>0.15884245992113991</v>
          </cell>
          <cell r="AA119">
            <v>0.15884245992113991</v>
          </cell>
        </row>
        <row r="121">
          <cell r="A121" t="str">
            <v>See footnotes on "Exhibit 3".</v>
          </cell>
        </row>
        <row r="122">
          <cell r="A122" t="str">
            <v>E = Morgan Stanley Dean Witter Research Estimates       NM = Not Meaningful</v>
          </cell>
        </row>
      </sheetData>
      <sheetData sheetId="3" refreshError="1"/>
      <sheetData sheetId="4" refreshError="1">
        <row r="68">
          <cell r="A68" t="str">
            <v>Table 3</v>
          </cell>
        </row>
        <row r="69">
          <cell r="A69" t="str">
            <v>Alza</v>
          </cell>
        </row>
        <row r="70">
          <cell r="A70" t="str">
            <v xml:space="preserve">Quarterly Sales Comparisons 1995-2004E % Change </v>
          </cell>
        </row>
        <row r="71">
          <cell r="A71" t="str">
            <v>($ Millions)</v>
          </cell>
        </row>
        <row r="74">
          <cell r="L74" t="str">
            <v>Other</v>
          </cell>
        </row>
        <row r="75">
          <cell r="B75" t="str">
            <v>Ditropan</v>
          </cell>
          <cell r="I75" t="str">
            <v>Testo-</v>
          </cell>
          <cell r="L75" t="str">
            <v>New</v>
          </cell>
          <cell r="N75" t="str">
            <v>Contract</v>
          </cell>
        </row>
        <row r="76">
          <cell r="B76" t="str">
            <v>XL</v>
          </cell>
          <cell r="F76" t="str">
            <v>Ethyol</v>
          </cell>
          <cell r="G76" t="str">
            <v>Mycelex</v>
          </cell>
          <cell r="H76" t="str">
            <v>Elmiron</v>
          </cell>
          <cell r="I76" t="str">
            <v>derm</v>
          </cell>
          <cell r="L76" t="str">
            <v>Products</v>
          </cell>
          <cell r="M76" t="str">
            <v>Total</v>
          </cell>
          <cell r="N76" t="str">
            <v>Manuf.</v>
          </cell>
          <cell r="O76" t="str">
            <v>Total</v>
          </cell>
        </row>
        <row r="78">
          <cell r="A78" t="str">
            <v>1996/95</v>
          </cell>
        </row>
        <row r="79">
          <cell r="A79" t="str">
            <v xml:space="preserve"> 1Q</v>
          </cell>
          <cell r="B79" t="str">
            <v>NM</v>
          </cell>
          <cell r="F79" t="str">
            <v>NM</v>
          </cell>
          <cell r="G79" t="str">
            <v>NM</v>
          </cell>
          <cell r="H79" t="str">
            <v>NM</v>
          </cell>
          <cell r="I79" t="str">
            <v>NM</v>
          </cell>
          <cell r="K79" t="str">
            <v>NM</v>
          </cell>
          <cell r="L79" t="str">
            <v>NM</v>
          </cell>
          <cell r="M79">
            <v>1.3852645985401459</v>
          </cell>
          <cell r="N79">
            <v>-4.084562181913097E-2</v>
          </cell>
          <cell r="O79">
            <v>0.27635717909690505</v>
          </cell>
        </row>
        <row r="80">
          <cell r="A80" t="str">
            <v xml:space="preserve"> 2Q</v>
          </cell>
          <cell r="B80" t="str">
            <v>NM</v>
          </cell>
          <cell r="F80" t="str">
            <v>NM</v>
          </cell>
          <cell r="G80" t="str">
            <v>NM</v>
          </cell>
          <cell r="H80" t="str">
            <v>NM</v>
          </cell>
          <cell r="I80" t="str">
            <v>NM</v>
          </cell>
          <cell r="K80" t="str">
            <v>NM</v>
          </cell>
          <cell r="L80" t="str">
            <v>NM</v>
          </cell>
          <cell r="M80">
            <v>1.7666865315852205</v>
          </cell>
          <cell r="N80">
            <v>0.86483103879849832</v>
          </cell>
          <cell r="O80">
            <v>1.0213591228796031</v>
          </cell>
        </row>
        <row r="81">
          <cell r="A81" t="str">
            <v xml:space="preserve"> 3Q</v>
          </cell>
          <cell r="B81" t="str">
            <v>NM</v>
          </cell>
          <cell r="F81" t="str">
            <v>NM</v>
          </cell>
          <cell r="G81" t="str">
            <v>NM</v>
          </cell>
          <cell r="H81" t="str">
            <v>NM</v>
          </cell>
          <cell r="I81" t="str">
            <v>NM</v>
          </cell>
          <cell r="K81" t="str">
            <v>NM</v>
          </cell>
          <cell r="L81" t="str">
            <v>NM</v>
          </cell>
          <cell r="M81">
            <v>2.6885245901639343</v>
          </cell>
          <cell r="N81">
            <v>0.80617743037110123</v>
          </cell>
          <cell r="O81">
            <v>1.1770262035344303</v>
          </cell>
        </row>
        <row r="82">
          <cell r="A82" t="str">
            <v xml:space="preserve"> 4Q</v>
          </cell>
          <cell r="B82" t="str">
            <v>NM</v>
          </cell>
          <cell r="F82" t="str">
            <v>NM</v>
          </cell>
          <cell r="G82" t="str">
            <v>NM</v>
          </cell>
          <cell r="H82" t="str">
            <v>NM</v>
          </cell>
          <cell r="I82" t="str">
            <v>NM</v>
          </cell>
          <cell r="K82" t="str">
            <v>NM</v>
          </cell>
          <cell r="L82" t="str">
            <v>NM</v>
          </cell>
          <cell r="M82">
            <v>2.7262902514336131</v>
          </cell>
          <cell r="N82">
            <v>-8.4862995477520742E-2</v>
          </cell>
          <cell r="O82">
            <v>0.46148570448797627</v>
          </cell>
        </row>
        <row r="84">
          <cell r="A84" t="str">
            <v>1996/95</v>
          </cell>
          <cell r="B84" t="str">
            <v>NM</v>
          </cell>
          <cell r="C84" t="str">
            <v>NM</v>
          </cell>
          <cell r="D84" t="str">
            <v>NM</v>
          </cell>
          <cell r="E84" t="str">
            <v>NM</v>
          </cell>
          <cell r="F84" t="str">
            <v>NM</v>
          </cell>
          <cell r="G84" t="str">
            <v>NM</v>
          </cell>
          <cell r="H84" t="str">
            <v>NM</v>
          </cell>
          <cell r="I84" t="str">
            <v>NM</v>
          </cell>
          <cell r="J84">
            <v>0.49903512157468161</v>
          </cell>
          <cell r="K84" t="str">
            <v>NM</v>
          </cell>
          <cell r="L84" t="str">
            <v>NM</v>
          </cell>
          <cell r="M84">
            <v>2.1316179789772356</v>
          </cell>
          <cell r="N84">
            <v>0.35118050507285314</v>
          </cell>
          <cell r="O84">
            <v>0.70161832836199811</v>
          </cell>
        </row>
        <row r="86">
          <cell r="A86" t="str">
            <v>1997/96</v>
          </cell>
        </row>
        <row r="87">
          <cell r="A87" t="str">
            <v xml:space="preserve"> 1Q</v>
          </cell>
          <cell r="B87" t="str">
            <v>NM</v>
          </cell>
          <cell r="C87" t="str">
            <v>NM</v>
          </cell>
          <cell r="D87" t="str">
            <v>NM</v>
          </cell>
          <cell r="E87">
            <v>0.35802469135802473</v>
          </cell>
          <cell r="F87" t="str">
            <v>NM</v>
          </cell>
          <cell r="G87" t="str">
            <v>NM</v>
          </cell>
          <cell r="H87" t="str">
            <v>NM</v>
          </cell>
          <cell r="I87">
            <v>-7.6923076923076983E-2</v>
          </cell>
          <cell r="J87">
            <v>0.23436900652090542</v>
          </cell>
          <cell r="K87" t="str">
            <v>NM</v>
          </cell>
          <cell r="L87" t="str">
            <v>NM</v>
          </cell>
          <cell r="M87">
            <v>0.28029071435402131</v>
          </cell>
          <cell r="N87">
            <v>0.40136054421768702</v>
          </cell>
          <cell r="O87">
            <v>0.35103549707834797</v>
          </cell>
        </row>
        <row r="88">
          <cell r="A88" t="str">
            <v xml:space="preserve"> 2Q</v>
          </cell>
          <cell r="B88" t="str">
            <v>NM</v>
          </cell>
          <cell r="C88" t="str">
            <v>NM</v>
          </cell>
          <cell r="D88" t="str">
            <v>NM</v>
          </cell>
          <cell r="E88">
            <v>0.31889763779527563</v>
          </cell>
          <cell r="F88" t="str">
            <v>NM</v>
          </cell>
          <cell r="G88" t="str">
            <v>NM</v>
          </cell>
          <cell r="H88" t="str">
            <v>NM</v>
          </cell>
          <cell r="I88">
            <v>1.2500000000000011E-2</v>
          </cell>
          <cell r="J88">
            <v>0.47405541561712805</v>
          </cell>
          <cell r="K88" t="str">
            <v>NM</v>
          </cell>
          <cell r="L88" t="str">
            <v>NM</v>
          </cell>
          <cell r="M88">
            <v>0.76801292407108246</v>
          </cell>
          <cell r="N88">
            <v>-6.3758389261744916E-2</v>
          </cell>
          <cell r="O88">
            <v>0.13383651017014203</v>
          </cell>
        </row>
        <row r="89">
          <cell r="A89" t="str">
            <v xml:space="preserve"> 3Q</v>
          </cell>
          <cell r="B89" t="str">
            <v>NM</v>
          </cell>
          <cell r="C89" t="str">
            <v>NM</v>
          </cell>
          <cell r="D89" t="str">
            <v>NM</v>
          </cell>
          <cell r="E89">
            <v>0.35506003430531735</v>
          </cell>
          <cell r="F89" t="str">
            <v>NM</v>
          </cell>
          <cell r="G89" t="str">
            <v>NM</v>
          </cell>
          <cell r="H89" t="str">
            <v>NM</v>
          </cell>
          <cell r="I89">
            <v>-0.17837837837837842</v>
          </cell>
          <cell r="J89">
            <v>0.41276595744680816</v>
          </cell>
          <cell r="K89" t="str">
            <v>NM</v>
          </cell>
          <cell r="L89" t="str">
            <v>NM</v>
          </cell>
          <cell r="M89">
            <v>0.95454926624737935</v>
          </cell>
          <cell r="N89">
            <v>-5.8823529411764795E-2</v>
          </cell>
          <cell r="O89">
            <v>0.27944016794961501</v>
          </cell>
        </row>
        <row r="90">
          <cell r="A90" t="str">
            <v xml:space="preserve"> 4Q</v>
          </cell>
          <cell r="B90" t="str">
            <v>NM</v>
          </cell>
          <cell r="C90" t="str">
            <v>NM</v>
          </cell>
          <cell r="D90" t="str">
            <v>NM</v>
          </cell>
          <cell r="E90">
            <v>0.16949152542372881</v>
          </cell>
          <cell r="F90" t="str">
            <v>NM</v>
          </cell>
          <cell r="G90" t="str">
            <v>NM</v>
          </cell>
          <cell r="H90" t="str">
            <v>NM</v>
          </cell>
          <cell r="I90">
            <v>-1.5384615384615399E-2</v>
          </cell>
          <cell r="J90">
            <v>0.87381193124368151</v>
          </cell>
          <cell r="K90" t="str">
            <v>NM</v>
          </cell>
          <cell r="L90" t="str">
            <v>NM</v>
          </cell>
          <cell r="M90">
            <v>1.058952352767091</v>
          </cell>
          <cell r="N90">
            <v>0.29069767441860489</v>
          </cell>
          <cell r="O90">
            <v>0.67138876668133174</v>
          </cell>
        </row>
        <row r="92">
          <cell r="A92" t="str">
            <v>1997/96</v>
          </cell>
          <cell r="B92" t="str">
            <v>NM</v>
          </cell>
          <cell r="C92" t="str">
            <v>NM</v>
          </cell>
          <cell r="D92" t="str">
            <v>NM</v>
          </cell>
          <cell r="E92">
            <v>0.29434324065196554</v>
          </cell>
          <cell r="F92" t="str">
            <v>NM</v>
          </cell>
          <cell r="G92" t="str">
            <v>NM</v>
          </cell>
          <cell r="H92" t="str">
            <v>NM</v>
          </cell>
          <cell r="I92">
            <v>-6.567164179104483E-2</v>
          </cell>
          <cell r="J92">
            <v>0.5789564023343633</v>
          </cell>
          <cell r="K92" t="str">
            <v>NM</v>
          </cell>
          <cell r="L92" t="str">
            <v>NM</v>
          </cell>
          <cell r="M92">
            <v>0.81001606194143572</v>
          </cell>
          <cell r="N92">
            <v>8.8888888888888989E-2</v>
          </cell>
          <cell r="O92">
            <v>0.35010666706449234</v>
          </cell>
        </row>
        <row r="94">
          <cell r="A94" t="str">
            <v>1998/97</v>
          </cell>
        </row>
        <row r="95">
          <cell r="A95" t="str">
            <v xml:space="preserve"> 1Q</v>
          </cell>
          <cell r="B95" t="str">
            <v>NM</v>
          </cell>
          <cell r="C95" t="str">
            <v>NM</v>
          </cell>
          <cell r="D95" t="str">
            <v>NM</v>
          </cell>
          <cell r="E95">
            <v>0.92727272727272725</v>
          </cell>
          <cell r="F95">
            <v>1.3342939481268008</v>
          </cell>
          <cell r="G95" t="str">
            <v>NM</v>
          </cell>
          <cell r="H95" t="str">
            <v>NM</v>
          </cell>
          <cell r="I95">
            <v>0.66666666666666674</v>
          </cell>
          <cell r="J95">
            <v>1.5481665630826573</v>
          </cell>
          <cell r="K95" t="str">
            <v>NM</v>
          </cell>
          <cell r="L95" t="str">
            <v>NM</v>
          </cell>
          <cell r="M95">
            <v>2.1221989841649234</v>
          </cell>
          <cell r="N95">
            <v>0.21359223300970887</v>
          </cell>
          <cell r="O95">
            <v>0.96539955278333522</v>
          </cell>
        </row>
        <row r="96">
          <cell r="A96" t="str">
            <v xml:space="preserve"> 2Q</v>
          </cell>
          <cell r="B96" t="str">
            <v>NM</v>
          </cell>
          <cell r="C96" t="str">
            <v>NM</v>
          </cell>
          <cell r="D96" t="str">
            <v>NM</v>
          </cell>
          <cell r="E96">
            <v>0.76119402985074636</v>
          </cell>
          <cell r="F96">
            <v>0.12185686653771759</v>
          </cell>
          <cell r="G96" t="str">
            <v>NM</v>
          </cell>
          <cell r="H96" t="str">
            <v>NM</v>
          </cell>
          <cell r="I96">
            <v>0.35802469135802473</v>
          </cell>
          <cell r="J96">
            <v>1.9049897470950095</v>
          </cell>
          <cell r="K96" t="str">
            <v>NM</v>
          </cell>
          <cell r="L96" t="str">
            <v>NM</v>
          </cell>
          <cell r="M96">
            <v>1.5462962962962961</v>
          </cell>
          <cell r="N96">
            <v>9.3189964157706015E-2</v>
          </cell>
          <cell r="O96">
            <v>0.63146493365827228</v>
          </cell>
        </row>
        <row r="97">
          <cell r="A97" t="str">
            <v xml:space="preserve"> 3Q</v>
          </cell>
          <cell r="B97" t="str">
            <v>NM</v>
          </cell>
          <cell r="C97" t="str">
            <v>NM</v>
          </cell>
          <cell r="D97" t="str">
            <v>NM</v>
          </cell>
          <cell r="E97">
            <v>0.721518987341772</v>
          </cell>
          <cell r="F97">
            <v>0.66666666666666663</v>
          </cell>
          <cell r="G97">
            <v>0.13461538461538464</v>
          </cell>
          <cell r="H97" t="str">
            <v>NM</v>
          </cell>
          <cell r="I97">
            <v>0.38157894736842107</v>
          </cell>
          <cell r="J97">
            <v>1.4431057563587679</v>
          </cell>
          <cell r="K97" t="str">
            <v>NM</v>
          </cell>
          <cell r="L97" t="str">
            <v>NM</v>
          </cell>
          <cell r="M97">
            <v>0.88347348549854121</v>
          </cell>
          <cell r="N97">
            <v>0.37500000000000011</v>
          </cell>
          <cell r="O97">
            <v>0.63428721449199277</v>
          </cell>
        </row>
        <row r="98">
          <cell r="A98" t="str">
            <v xml:space="preserve"> 4Q</v>
          </cell>
          <cell r="B98" t="str">
            <v>NM</v>
          </cell>
          <cell r="C98" t="str">
            <v>NM</v>
          </cell>
          <cell r="D98" t="str">
            <v>NM</v>
          </cell>
          <cell r="E98">
            <v>0.30434782608695643</v>
          </cell>
          <cell r="F98">
            <v>0.46031746031746024</v>
          </cell>
          <cell r="G98">
            <v>-0.23214285714285712</v>
          </cell>
          <cell r="H98">
            <v>0.41666666666666669</v>
          </cell>
          <cell r="I98">
            <v>0.92708333333333348</v>
          </cell>
          <cell r="J98">
            <v>0.65119792790848141</v>
          </cell>
          <cell r="K98" t="str">
            <v>NM</v>
          </cell>
          <cell r="L98" t="str">
            <v>NM</v>
          </cell>
          <cell r="M98">
            <v>0.38848962226182931</v>
          </cell>
          <cell r="N98">
            <v>0.2297297297297296</v>
          </cell>
          <cell r="O98">
            <v>0.3266416312778575</v>
          </cell>
        </row>
        <row r="100">
          <cell r="A100" t="str">
            <v>1998/97</v>
          </cell>
          <cell r="B100" t="str">
            <v>NM</v>
          </cell>
          <cell r="C100" t="str">
            <v>NM</v>
          </cell>
          <cell r="D100" t="str">
            <v>NM</v>
          </cell>
          <cell r="E100">
            <v>0.66666666666666663</v>
          </cell>
          <cell r="F100">
            <v>0.57945736434108497</v>
          </cell>
          <cell r="G100">
            <v>1.3981481481481481</v>
          </cell>
          <cell r="H100" t="str">
            <v>NM</v>
          </cell>
          <cell r="I100">
            <v>0.59744408945686911</v>
          </cell>
          <cell r="J100">
            <v>1.1361017501902368</v>
          </cell>
          <cell r="K100" t="str">
            <v>NM</v>
          </cell>
          <cell r="L100" t="str">
            <v>NM</v>
          </cell>
          <cell r="M100">
            <v>1.0000455072925438</v>
          </cell>
          <cell r="N100">
            <v>0.2201933404940922</v>
          </cell>
          <cell r="O100">
            <v>0.59891269516790235</v>
          </cell>
        </row>
        <row r="102">
          <cell r="A102" t="str">
            <v>1999/1998</v>
          </cell>
        </row>
        <row r="103">
          <cell r="A103" t="str">
            <v xml:space="preserve"> 1Q</v>
          </cell>
          <cell r="B103" t="str">
            <v>NM</v>
          </cell>
          <cell r="C103" t="str">
            <v>NM</v>
          </cell>
          <cell r="D103" t="str">
            <v>NM</v>
          </cell>
          <cell r="E103">
            <v>0.34905660377358499</v>
          </cell>
          <cell r="F103">
            <v>4.9382716049382762E-2</v>
          </cell>
          <cell r="G103">
            <v>-0.15254237288135597</v>
          </cell>
          <cell r="H103">
            <v>-0.29999999999999993</v>
          </cell>
          <cell r="I103">
            <v>1.25</v>
          </cell>
          <cell r="J103">
            <v>6.0975609756099329E-2</v>
          </cell>
          <cell r="K103" t="str">
            <v>NM</v>
          </cell>
          <cell r="L103" t="str">
            <v>NM</v>
          </cell>
          <cell r="M103">
            <v>0.62440191387559829</v>
          </cell>
          <cell r="N103">
            <v>0.13200000000000003</v>
          </cell>
          <cell r="O103">
            <v>0.440119760479042</v>
          </cell>
        </row>
        <row r="104">
          <cell r="A104" t="str">
            <v xml:space="preserve"> 2Q</v>
          </cell>
          <cell r="B104" t="str">
            <v>NM</v>
          </cell>
          <cell r="C104" t="str">
            <v>NM</v>
          </cell>
          <cell r="D104" t="str">
            <v>NM</v>
          </cell>
          <cell r="E104">
            <v>0.18644067796610161</v>
          </cell>
          <cell r="F104">
            <v>0.48275862068965514</v>
          </cell>
          <cell r="G104">
            <v>-0.21428571428571433</v>
          </cell>
          <cell r="H104">
            <v>1.0810810810810809</v>
          </cell>
          <cell r="I104">
            <v>1.3636363636363635</v>
          </cell>
          <cell r="J104">
            <v>0.31764705882352917</v>
          </cell>
          <cell r="K104" t="str">
            <v>NM</v>
          </cell>
          <cell r="L104" t="str">
            <v>NM</v>
          </cell>
          <cell r="M104">
            <v>0.64593301435406703</v>
          </cell>
          <cell r="N104">
            <v>0.12786885245901636</v>
          </cell>
          <cell r="O104">
            <v>0.4273858921161825</v>
          </cell>
        </row>
        <row r="105">
          <cell r="A105" t="str">
            <v xml:space="preserve"> 3Q</v>
          </cell>
          <cell r="B105" t="str">
            <v>NM</v>
          </cell>
          <cell r="C105" t="str">
            <v>NM</v>
          </cell>
          <cell r="D105" t="str">
            <v>NM</v>
          </cell>
          <cell r="E105">
            <v>0.76470588235294124</v>
          </cell>
          <cell r="F105">
            <v>0.86315789473684201</v>
          </cell>
          <cell r="G105">
            <v>0.96610169491525411</v>
          </cell>
          <cell r="H105">
            <v>0.81818181818181823</v>
          </cell>
          <cell r="I105">
            <v>1.3809523809523809</v>
          </cell>
          <cell r="J105">
            <v>0.72602739726027576</v>
          </cell>
          <cell r="K105" t="str">
            <v>NM</v>
          </cell>
          <cell r="L105" t="str">
            <v>NM</v>
          </cell>
          <cell r="M105">
            <v>1.4214123006833712</v>
          </cell>
          <cell r="N105">
            <v>-6.4935064935064705E-3</v>
          </cell>
          <cell r="O105">
            <v>0.83266398929049534</v>
          </cell>
        </row>
        <row r="106">
          <cell r="A106" t="str">
            <v xml:space="preserve"> 4Q</v>
          </cell>
          <cell r="B106" t="str">
            <v>NM</v>
          </cell>
          <cell r="C106" t="str">
            <v>NM</v>
          </cell>
          <cell r="D106" t="str">
            <v>NM</v>
          </cell>
          <cell r="E106">
            <v>0.54444444444444451</v>
          </cell>
          <cell r="F106">
            <v>0.46739130434782622</v>
          </cell>
          <cell r="G106">
            <v>0.13953488372093037</v>
          </cell>
          <cell r="H106">
            <v>7.3529411764705885E-2</v>
          </cell>
          <cell r="I106">
            <v>0.64864864864864846</v>
          </cell>
          <cell r="J106">
            <v>-0.37254901960784664</v>
          </cell>
          <cell r="K106" t="str">
            <v>NM</v>
          </cell>
          <cell r="L106" t="str">
            <v>NM</v>
          </cell>
          <cell r="M106">
            <v>0.66459627329192572</v>
          </cell>
          <cell r="N106">
            <v>0.14652014652014653</v>
          </cell>
          <cell r="O106">
            <v>0.47751322751322767</v>
          </cell>
        </row>
        <row r="108">
          <cell r="A108" t="str">
            <v>Year</v>
          </cell>
          <cell r="B108" t="str">
            <v>NM</v>
          </cell>
          <cell r="C108" t="str">
            <v>NM</v>
          </cell>
          <cell r="D108" t="str">
            <v>NM</v>
          </cell>
          <cell r="E108">
            <v>0.47111111111111115</v>
          </cell>
          <cell r="F108">
            <v>0.48159509202454004</v>
          </cell>
          <cell r="G108">
            <v>0.12741312741312716</v>
          </cell>
          <cell r="H108">
            <v>0.3000000000000001</v>
          </cell>
          <cell r="I108">
            <v>1.0799999999999996</v>
          </cell>
          <cell r="J108">
            <v>7.1246819338421627E-2</v>
          </cell>
          <cell r="K108" t="str">
            <v>NM</v>
          </cell>
          <cell r="L108" t="str">
            <v>NM</v>
          </cell>
          <cell r="M108">
            <v>0.83959044368600655</v>
          </cell>
          <cell r="N108">
            <v>9.6830985915493092E-2</v>
          </cell>
          <cell r="O108">
            <v>0.54803040774015199</v>
          </cell>
        </row>
        <row r="110">
          <cell r="A110" t="str">
            <v>2000E/1999</v>
          </cell>
        </row>
        <row r="111">
          <cell r="A111" t="str">
            <v xml:space="preserve"> 1QA</v>
          </cell>
          <cell r="B111">
            <v>0.4909090909090908</v>
          </cell>
          <cell r="C111" t="str">
            <v>NM</v>
          </cell>
          <cell r="D111">
            <v>0.4909090909090908</v>
          </cell>
          <cell r="E111">
            <v>-9.0909090909090953E-2</v>
          </cell>
          <cell r="F111">
            <v>0.623529411764706</v>
          </cell>
          <cell r="G111">
            <v>-0.27999999999999997</v>
          </cell>
          <cell r="H111">
            <v>2.0408163265306048E-2</v>
          </cell>
          <cell r="I111">
            <v>0</v>
          </cell>
          <cell r="J111">
            <v>-0.18390804597701144</v>
          </cell>
          <cell r="K111" t="str">
            <v>NM</v>
          </cell>
          <cell r="L111" t="str">
            <v>NM</v>
          </cell>
          <cell r="M111">
            <v>0.17525773195876274</v>
          </cell>
          <cell r="N111">
            <v>2.4734982332155452E-2</v>
          </cell>
          <cell r="O111">
            <v>0.1309771309771309</v>
          </cell>
        </row>
        <row r="112">
          <cell r="A112" t="str">
            <v xml:space="preserve"> 2QA</v>
          </cell>
          <cell r="B112">
            <v>2.1736111111111112</v>
          </cell>
          <cell r="C112" t="str">
            <v>NM</v>
          </cell>
          <cell r="D112">
            <v>2.1736111111111112</v>
          </cell>
          <cell r="E112">
            <v>7.8571428571428542E-2</v>
          </cell>
          <cell r="F112">
            <v>-0.11627906976744186</v>
          </cell>
          <cell r="G112">
            <v>0.29870129870129869</v>
          </cell>
          <cell r="H112">
            <v>0.14285714285714293</v>
          </cell>
          <cell r="I112">
            <v>0.17307692307692296</v>
          </cell>
          <cell r="J112">
            <v>-0.40178571428571341</v>
          </cell>
          <cell r="K112" t="str">
            <v>NM</v>
          </cell>
          <cell r="L112" t="str">
            <v>NM</v>
          </cell>
          <cell r="M112">
            <v>0.45348837209302334</v>
          </cell>
          <cell r="N112">
            <v>5.8139534883721762E-3</v>
          </cell>
          <cell r="O112">
            <v>0.30426356589147296</v>
          </cell>
        </row>
        <row r="113">
          <cell r="A113" t="str">
            <v xml:space="preserve"> 3QA</v>
          </cell>
          <cell r="B113">
            <v>0.8858267716535434</v>
          </cell>
          <cell r="C113" t="str">
            <v>NM</v>
          </cell>
          <cell r="D113">
            <v>0.8858267716535434</v>
          </cell>
          <cell r="E113">
            <v>2.500000000000006E-2</v>
          </cell>
          <cell r="F113">
            <v>-0.30508474576271177</v>
          </cell>
          <cell r="G113">
            <v>-0.75</v>
          </cell>
          <cell r="H113">
            <v>0.10999999999999996</v>
          </cell>
          <cell r="I113">
            <v>-0.27999999999999997</v>
          </cell>
          <cell r="J113">
            <v>-0.29365079365079422</v>
          </cell>
          <cell r="K113" t="str">
            <v>NM</v>
          </cell>
          <cell r="L113" t="str">
            <v>NM</v>
          </cell>
          <cell r="M113">
            <v>0.2765757290686735</v>
          </cell>
          <cell r="N113">
            <v>-4.9019607843137254E-2</v>
          </cell>
          <cell r="O113">
            <v>0.20379839298758201</v>
          </cell>
        </row>
        <row r="114">
          <cell r="A114" t="str">
            <v xml:space="preserve"> 4Q</v>
          </cell>
          <cell r="B114">
            <v>1.0318725099601593</v>
          </cell>
          <cell r="C114" t="str">
            <v>NM</v>
          </cell>
          <cell r="D114">
            <v>1.0717131474103585</v>
          </cell>
          <cell r="E114">
            <v>1.014388489208633</v>
          </cell>
          <cell r="F114">
            <v>0.14814814814814814</v>
          </cell>
          <cell r="G114">
            <v>0.22448979591836726</v>
          </cell>
          <cell r="H114">
            <v>0.64383561643835618</v>
          </cell>
          <cell r="I114">
            <v>-0.26229508196721307</v>
          </cell>
          <cell r="J114">
            <v>-0.16145833333332954</v>
          </cell>
          <cell r="K114" t="str">
            <v>NM</v>
          </cell>
          <cell r="L114" t="str">
            <v>NM</v>
          </cell>
          <cell r="M114">
            <v>0.82898009950248719</v>
          </cell>
          <cell r="N114">
            <v>5.4313099041533523E-2</v>
          </cell>
          <cell r="O114">
            <v>0.61190689346463722</v>
          </cell>
        </row>
        <row r="116">
          <cell r="A116" t="str">
            <v>Year</v>
          </cell>
          <cell r="B116">
            <v>1.0414269275028769</v>
          </cell>
          <cell r="C116" t="str">
            <v>NM</v>
          </cell>
          <cell r="D116">
            <v>1.0529344073647871</v>
          </cell>
          <cell r="E116">
            <v>0.21903323262839877</v>
          </cell>
          <cell r="F116">
            <v>1.8633540372670926E-2</v>
          </cell>
          <cell r="G116">
            <v>-0.22945205479452044</v>
          </cell>
          <cell r="H116">
            <v>0.23411371237458181</v>
          </cell>
          <cell r="I116">
            <v>-0.10096153846153837</v>
          </cell>
          <cell r="J116">
            <v>-0.26959619952493979</v>
          </cell>
          <cell r="K116" t="str">
            <v>NM</v>
          </cell>
          <cell r="L116" t="str">
            <v>NM</v>
          </cell>
          <cell r="M116">
            <v>0.43027210884353739</v>
          </cell>
          <cell r="N116">
            <v>8.8282504012840626E-3</v>
          </cell>
          <cell r="O116">
            <v>0.31305803571428564</v>
          </cell>
        </row>
        <row r="118">
          <cell r="A118" t="str">
            <v>2001E/2000E</v>
          </cell>
          <cell r="B118">
            <v>0.29650507328072151</v>
          </cell>
          <cell r="C118">
            <v>5</v>
          </cell>
          <cell r="D118">
            <v>0.32286995515695061</v>
          </cell>
          <cell r="E118">
            <v>0.17999999999999994</v>
          </cell>
          <cell r="F118">
            <v>0.10000000000000003</v>
          </cell>
          <cell r="G118">
            <v>0.05</v>
          </cell>
          <cell r="H118">
            <v>0.14999999999999991</v>
          </cell>
          <cell r="I118">
            <v>6.9518716577540149E-2</v>
          </cell>
          <cell r="J118">
            <v>-8.6422764227642238E-2</v>
          </cell>
          <cell r="K118">
            <v>1.8634361233480174</v>
          </cell>
          <cell r="L118" t="str">
            <v>NM</v>
          </cell>
          <cell r="M118">
            <v>0.36093071019349282</v>
          </cell>
          <cell r="N118">
            <v>0.1933174224343675</v>
          </cell>
          <cell r="O118">
            <v>0.32511432214194674</v>
          </cell>
        </row>
        <row r="119">
          <cell r="A119" t="str">
            <v>2002E/2001E</v>
          </cell>
          <cell r="B119">
            <v>0.10000000000000013</v>
          </cell>
          <cell r="C119">
            <v>1</v>
          </cell>
          <cell r="D119">
            <v>0.1228813559322034</v>
          </cell>
          <cell r="E119">
            <v>0.12999999999999984</v>
          </cell>
          <cell r="F119" t="str">
            <v>NM</v>
          </cell>
          <cell r="G119">
            <v>5.0000000000000093E-2</v>
          </cell>
          <cell r="H119">
            <v>0.10000000000000012</v>
          </cell>
          <cell r="I119">
            <v>7.0000000000000104E-2</v>
          </cell>
          <cell r="J119">
            <v>2.4201299279167005E-2</v>
          </cell>
          <cell r="K119">
            <v>0.53846153846153844</v>
          </cell>
          <cell r="L119" t="str">
            <v>NM</v>
          </cell>
          <cell r="M119">
            <v>0.19006718046190724</v>
          </cell>
          <cell r="N119">
            <v>0.12000000000000019</v>
          </cell>
          <cell r="O119">
            <v>0.1765840537217197</v>
          </cell>
        </row>
        <row r="120">
          <cell r="A120" t="str">
            <v>2003E/2002E</v>
          </cell>
          <cell r="B120">
            <v>0.10000000000000014</v>
          </cell>
          <cell r="C120">
            <v>0.66666666666666663</v>
          </cell>
          <cell r="D120">
            <v>0.12566037735849081</v>
          </cell>
          <cell r="E120">
            <v>0.10000000000000012</v>
          </cell>
          <cell r="F120" t="str">
            <v>NM</v>
          </cell>
          <cell r="G120">
            <v>5.0000000000000065E-2</v>
          </cell>
          <cell r="H120">
            <v>0.10000000000000003</v>
          </cell>
          <cell r="I120">
            <v>7.0000000000000048E-2</v>
          </cell>
          <cell r="J120">
            <v>2.5896584831804906E-2</v>
          </cell>
          <cell r="K120">
            <v>0.27500000000000002</v>
          </cell>
          <cell r="L120">
            <v>1.25</v>
          </cell>
          <cell r="M120">
            <v>0.18998820095703572</v>
          </cell>
          <cell r="N120">
            <v>0.10000000000000005</v>
          </cell>
          <cell r="O120">
            <v>0.17350442855847609</v>
          </cell>
        </row>
        <row r="121">
          <cell r="A121" t="str">
            <v>2004E/2003E</v>
          </cell>
          <cell r="B121">
            <v>8.0000000000000016E-2</v>
          </cell>
          <cell r="C121">
            <v>0.35</v>
          </cell>
          <cell r="D121">
            <v>9.8102581293999347E-2</v>
          </cell>
          <cell r="E121">
            <v>0.10000000000000007</v>
          </cell>
          <cell r="F121" t="str">
            <v>NM</v>
          </cell>
          <cell r="G121">
            <v>5.0000000000000086E-2</v>
          </cell>
          <cell r="H121">
            <v>9.0000000000000052E-2</v>
          </cell>
          <cell r="I121">
            <v>7.0000000000000132E-2</v>
          </cell>
          <cell r="J121">
            <v>2.7510382089257806E-2</v>
          </cell>
          <cell r="K121">
            <v>0.21568627450980393</v>
          </cell>
          <cell r="L121">
            <v>0.66666666666666663</v>
          </cell>
          <cell r="M121">
            <v>0.18445734940999015</v>
          </cell>
          <cell r="N121">
            <v>8.0000000000000099E-2</v>
          </cell>
          <cell r="O121">
            <v>0.16652166334908378</v>
          </cell>
        </row>
        <row r="122">
          <cell r="A122" t="str">
            <v>2005E/2004E</v>
          </cell>
          <cell r="B122">
            <v>5.9999999999999977E-2</v>
          </cell>
          <cell r="C122">
            <v>0.22222222222222221</v>
          </cell>
          <cell r="D122">
            <v>7.3371432758178534E-2</v>
          </cell>
          <cell r="E122">
            <v>0.1000000000000001</v>
          </cell>
          <cell r="F122" t="str">
            <v>NM</v>
          </cell>
          <cell r="G122">
            <v>5.0000000000000031E-2</v>
          </cell>
          <cell r="H122">
            <v>8.0000000000000057E-2</v>
          </cell>
          <cell r="I122">
            <v>7.0000000000000118E-2</v>
          </cell>
          <cell r="J122">
            <v>2.9042033504096874E-2</v>
          </cell>
          <cell r="K122">
            <v>0.16129032258064516</v>
          </cell>
          <cell r="L122">
            <v>0.56666666666666665</v>
          </cell>
          <cell r="M122">
            <v>0.17093716715180127</v>
          </cell>
          <cell r="N122">
            <v>8.0000000000000029E-2</v>
          </cell>
          <cell r="O122">
            <v>0.15648105994744099</v>
          </cell>
        </row>
        <row r="124">
          <cell r="A124" t="str">
            <v>Notes:</v>
          </cell>
        </row>
        <row r="125">
          <cell r="A125" t="str">
            <v>(a) 1995-1998 sales are pro-forma for Sequus acquisition in early 1999.</v>
          </cell>
        </row>
        <row r="126">
          <cell r="A126" t="str">
            <v xml:space="preserve">E = Morgan Stanley Dean Witter Research Estimates       NM = Not Meaningful </v>
          </cell>
        </row>
      </sheetData>
      <sheetData sheetId="5" refreshError="1">
        <row r="47">
          <cell r="A47" t="str">
            <v>Table 4</v>
          </cell>
        </row>
        <row r="48">
          <cell r="A48" t="str">
            <v>Alza</v>
          </cell>
        </row>
        <row r="49">
          <cell r="A49" t="str">
            <v>Annual Sales Comparisons 1995-2005E</v>
          </cell>
        </row>
        <row r="50">
          <cell r="A50" t="str">
            <v>($ Millions)</v>
          </cell>
          <cell r="O50" t="str">
            <v>% Change</v>
          </cell>
        </row>
        <row r="51">
          <cell r="O51" t="str">
            <v>1996/</v>
          </cell>
          <cell r="P51" t="str">
            <v>1997/</v>
          </cell>
          <cell r="Q51" t="str">
            <v>1998/</v>
          </cell>
          <cell r="R51" t="str">
            <v>1999E/</v>
          </cell>
          <cell r="S51" t="str">
            <v>2000E/</v>
          </cell>
          <cell r="T51" t="str">
            <v>2001E/</v>
          </cell>
          <cell r="U51" t="str">
            <v>2002E/</v>
          </cell>
          <cell r="V51" t="str">
            <v>2003E/</v>
          </cell>
          <cell r="W51" t="str">
            <v>2004E/</v>
          </cell>
          <cell r="X51" t="str">
            <v>2005E/</v>
          </cell>
          <cell r="Y51" t="str">
            <v>CAGR</v>
          </cell>
        </row>
        <row r="52">
          <cell r="A52" t="str">
            <v xml:space="preserve"> </v>
          </cell>
          <cell r="B52">
            <v>1994</v>
          </cell>
          <cell r="C52">
            <v>1995</v>
          </cell>
          <cell r="D52">
            <v>1996</v>
          </cell>
          <cell r="E52">
            <v>1997</v>
          </cell>
          <cell r="F52">
            <v>1998</v>
          </cell>
          <cell r="G52" t="str">
            <v>1999E</v>
          </cell>
          <cell r="H52" t="str">
            <v>2000E</v>
          </cell>
          <cell r="I52" t="str">
            <v>2001E</v>
          </cell>
          <cell r="J52" t="str">
            <v>2002E</v>
          </cell>
          <cell r="K52" t="str">
            <v>2003E</v>
          </cell>
          <cell r="L52" t="str">
            <v>2004E</v>
          </cell>
          <cell r="M52" t="str">
            <v>2005E</v>
          </cell>
          <cell r="O52">
            <v>1995</v>
          </cell>
          <cell r="P52">
            <v>1996</v>
          </cell>
          <cell r="Q52">
            <v>1997</v>
          </cell>
          <cell r="R52">
            <v>1998</v>
          </cell>
          <cell r="S52" t="str">
            <v>1999E</v>
          </cell>
          <cell r="T52" t="str">
            <v>2000E</v>
          </cell>
          <cell r="U52" t="str">
            <v>2001E</v>
          </cell>
          <cell r="V52" t="str">
            <v>2002E</v>
          </cell>
          <cell r="W52" t="str">
            <v>2003E</v>
          </cell>
          <cell r="X52" t="str">
            <v>2004E</v>
          </cell>
          <cell r="Y52" t="str">
            <v>'00-'05E</v>
          </cell>
        </row>
        <row r="54">
          <cell r="A54" t="str">
            <v>Net Sales</v>
          </cell>
        </row>
        <row r="55">
          <cell r="A55" t="str">
            <v>Ditropan XL</v>
          </cell>
          <cell r="C55">
            <v>0</v>
          </cell>
          <cell r="D55">
            <v>0</v>
          </cell>
          <cell r="E55">
            <v>0</v>
          </cell>
          <cell r="F55">
            <v>0</v>
          </cell>
          <cell r="G55">
            <v>86.9</v>
          </cell>
          <cell r="H55">
            <v>0</v>
          </cell>
          <cell r="I55">
            <v>230</v>
          </cell>
          <cell r="J55">
            <v>253.00000000000003</v>
          </cell>
          <cell r="K55">
            <v>278.30000000000007</v>
          </cell>
          <cell r="L55">
            <v>300.56400000000008</v>
          </cell>
          <cell r="M55">
            <v>318.59784000000008</v>
          </cell>
          <cell r="O55" t="str">
            <v>NM</v>
          </cell>
          <cell r="P55" t="str">
            <v>NM</v>
          </cell>
          <cell r="Q55" t="str">
            <v>NM</v>
          </cell>
          <cell r="R55" t="str">
            <v>NM</v>
          </cell>
          <cell r="S55">
            <v>-1</v>
          </cell>
          <cell r="T55" t="e">
            <v>#DIV/0!</v>
          </cell>
          <cell r="U55">
            <v>0.10000000000000009</v>
          </cell>
          <cell r="V55">
            <v>0.10000000000000009</v>
          </cell>
          <cell r="W55">
            <v>8.0000000000000071E-2</v>
          </cell>
          <cell r="X55">
            <v>6.0000000000000053E-2</v>
          </cell>
          <cell r="Y55" t="e">
            <v>#DIV/0!</v>
          </cell>
        </row>
        <row r="56">
          <cell r="A56" t="str">
            <v>Doxil/Caelyx</v>
          </cell>
          <cell r="C56">
            <v>0.93400000000000005</v>
          </cell>
          <cell r="D56">
            <v>20.86</v>
          </cell>
          <cell r="E56">
            <v>27</v>
          </cell>
          <cell r="F56">
            <v>45</v>
          </cell>
          <cell r="G56">
            <v>66.2</v>
          </cell>
          <cell r="H56">
            <v>0</v>
          </cell>
          <cell r="I56">
            <v>95.225999999999999</v>
          </cell>
          <cell r="J56">
            <v>107.60537999999998</v>
          </cell>
          <cell r="K56">
            <v>118.36591799999999</v>
          </cell>
          <cell r="L56">
            <v>130.2025098</v>
          </cell>
          <cell r="M56">
            <v>143.22276078000002</v>
          </cell>
          <cell r="O56" t="str">
            <v>NM</v>
          </cell>
          <cell r="P56">
            <v>0.29434324065196549</v>
          </cell>
          <cell r="Q56">
            <v>0.66666666666666674</v>
          </cell>
          <cell r="R56">
            <v>0.47111111111111126</v>
          </cell>
          <cell r="S56">
            <v>-1</v>
          </cell>
          <cell r="T56" t="e">
            <v>#DIV/0!</v>
          </cell>
          <cell r="U56">
            <v>0.12999999999999989</v>
          </cell>
          <cell r="V56">
            <v>0.10000000000000009</v>
          </cell>
          <cell r="W56">
            <v>0.10000000000000009</v>
          </cell>
          <cell r="X56">
            <v>0.10000000000000009</v>
          </cell>
          <cell r="Y56" t="e">
            <v>#DIV/0!</v>
          </cell>
        </row>
        <row r="57">
          <cell r="A57" t="str">
            <v xml:space="preserve">Ethyol </v>
          </cell>
          <cell r="B57" t="str">
            <v>-</v>
          </cell>
          <cell r="C57">
            <v>0</v>
          </cell>
          <cell r="D57">
            <v>9.35</v>
          </cell>
          <cell r="E57">
            <v>20.64</v>
          </cell>
          <cell r="F57">
            <v>32.599999999999994</v>
          </cell>
          <cell r="G57">
            <v>48.3</v>
          </cell>
          <cell r="H57">
            <v>0</v>
          </cell>
          <cell r="I57">
            <v>54.120000000000005</v>
          </cell>
          <cell r="J57">
            <v>14.883000000000003</v>
          </cell>
          <cell r="K57">
            <v>0</v>
          </cell>
          <cell r="L57">
            <v>0</v>
          </cell>
          <cell r="M57">
            <v>0</v>
          </cell>
          <cell r="O57" t="str">
            <v>NM</v>
          </cell>
          <cell r="P57">
            <v>1.2074866310160428</v>
          </cell>
          <cell r="Q57">
            <v>0.57945736434108497</v>
          </cell>
          <cell r="R57">
            <v>0.48159509202453998</v>
          </cell>
          <cell r="S57">
            <v>-1</v>
          </cell>
          <cell r="T57" t="e">
            <v>#DIV/0!</v>
          </cell>
          <cell r="U57" t="str">
            <v>NM</v>
          </cell>
          <cell r="V57" t="str">
            <v>NM</v>
          </cell>
          <cell r="W57" t="str">
            <v>NM</v>
          </cell>
          <cell r="X57" t="str">
            <v>NM</v>
          </cell>
          <cell r="Y57" t="str">
            <v>NM</v>
          </cell>
        </row>
        <row r="58">
          <cell r="A58" t="str">
            <v>Mycelex</v>
          </cell>
          <cell r="B58" t="str">
            <v>-</v>
          </cell>
          <cell r="C58">
            <v>0</v>
          </cell>
          <cell r="D58">
            <v>0</v>
          </cell>
          <cell r="E58">
            <v>10.8</v>
          </cell>
          <cell r="F58">
            <v>25.900000000000002</v>
          </cell>
          <cell r="G58">
            <v>29.199999999999996</v>
          </cell>
          <cell r="H58">
            <v>0</v>
          </cell>
          <cell r="I58">
            <v>23.625</v>
          </cell>
          <cell r="J58">
            <v>24.806250000000002</v>
          </cell>
          <cell r="K58">
            <v>26.046562500000004</v>
          </cell>
          <cell r="L58">
            <v>27.348890625000006</v>
          </cell>
          <cell r="M58">
            <v>28.716335156250008</v>
          </cell>
          <cell r="O58" t="str">
            <v>NM</v>
          </cell>
          <cell r="P58" t="str">
            <v>NM</v>
          </cell>
          <cell r="Q58">
            <v>1.3981481481481484</v>
          </cell>
          <cell r="R58">
            <v>0.12741312741312716</v>
          </cell>
          <cell r="S58">
            <v>-1</v>
          </cell>
          <cell r="T58" t="e">
            <v>#DIV/0!</v>
          </cell>
          <cell r="U58">
            <v>5.0000000000000044E-2</v>
          </cell>
          <cell r="V58">
            <v>5.0000000000000044E-2</v>
          </cell>
          <cell r="W58">
            <v>5.0000000000000044E-2</v>
          </cell>
          <cell r="X58">
            <v>5.0000000000000044E-2</v>
          </cell>
          <cell r="Y58" t="e">
            <v>#DIV/0!</v>
          </cell>
        </row>
        <row r="59">
          <cell r="A59" t="str">
            <v>Elmiron</v>
          </cell>
          <cell r="B59" t="str">
            <v>-</v>
          </cell>
          <cell r="C59">
            <v>0</v>
          </cell>
          <cell r="D59">
            <v>0</v>
          </cell>
          <cell r="E59">
            <v>4.8</v>
          </cell>
          <cell r="F59">
            <v>23</v>
          </cell>
          <cell r="G59">
            <v>29.900000000000002</v>
          </cell>
          <cell r="H59">
            <v>0</v>
          </cell>
          <cell r="I59">
            <v>42.434999999999995</v>
          </cell>
          <cell r="J59">
            <v>46.6785</v>
          </cell>
          <cell r="K59">
            <v>51.346350000000001</v>
          </cell>
          <cell r="L59">
            <v>55.967521500000004</v>
          </cell>
          <cell r="M59">
            <v>60.444923220000007</v>
          </cell>
          <cell r="O59" t="str">
            <v>NM</v>
          </cell>
          <cell r="P59" t="str">
            <v>NM</v>
          </cell>
          <cell r="Q59">
            <v>3.791666666666667</v>
          </cell>
          <cell r="R59">
            <v>0.30000000000000004</v>
          </cell>
          <cell r="S59">
            <v>-1</v>
          </cell>
          <cell r="T59" t="e">
            <v>#DIV/0!</v>
          </cell>
          <cell r="U59">
            <v>0.10000000000000009</v>
          </cell>
          <cell r="V59">
            <v>0.10000000000000009</v>
          </cell>
          <cell r="W59">
            <v>9.000000000000008E-2</v>
          </cell>
          <cell r="X59">
            <v>8.0000000000000071E-2</v>
          </cell>
          <cell r="Y59" t="e">
            <v>#DIV/0!</v>
          </cell>
        </row>
        <row r="60">
          <cell r="A60" t="str">
            <v>Testoderm/TTS</v>
          </cell>
          <cell r="B60">
            <v>5</v>
          </cell>
          <cell r="C60">
            <v>7</v>
          </cell>
          <cell r="D60">
            <v>7</v>
          </cell>
          <cell r="E60">
            <v>6</v>
          </cell>
          <cell r="F60">
            <v>10</v>
          </cell>
          <cell r="G60">
            <v>21</v>
          </cell>
          <cell r="H60">
            <v>26</v>
          </cell>
          <cell r="I60">
            <v>31</v>
          </cell>
          <cell r="J60">
            <v>35</v>
          </cell>
          <cell r="K60">
            <v>39</v>
          </cell>
          <cell r="L60">
            <v>42</v>
          </cell>
          <cell r="M60">
            <v>44</v>
          </cell>
          <cell r="O60">
            <v>-0.01</v>
          </cell>
          <cell r="P60">
            <v>-7.0000000000000007E-2</v>
          </cell>
          <cell r="Q60">
            <v>0.6</v>
          </cell>
          <cell r="R60">
            <v>1.05</v>
          </cell>
          <cell r="S60">
            <v>0.25</v>
          </cell>
          <cell r="T60">
            <v>0.2</v>
          </cell>
          <cell r="U60">
            <v>0.15</v>
          </cell>
          <cell r="V60">
            <v>0.1</v>
          </cell>
          <cell r="W60">
            <v>0.08</v>
          </cell>
          <cell r="X60">
            <v>0.05</v>
          </cell>
          <cell r="Y60">
            <v>11.5</v>
          </cell>
        </row>
        <row r="61">
          <cell r="A61" t="str">
            <v>Ditropan</v>
          </cell>
          <cell r="B61" t="str">
            <v>-</v>
          </cell>
          <cell r="C61">
            <v>0</v>
          </cell>
          <cell r="D61">
            <v>0</v>
          </cell>
          <cell r="E61">
            <v>2</v>
          </cell>
          <cell r="F61">
            <v>7</v>
          </cell>
          <cell r="G61">
            <v>2</v>
          </cell>
          <cell r="H61">
            <v>1</v>
          </cell>
          <cell r="I61">
            <v>1</v>
          </cell>
          <cell r="J61">
            <v>1</v>
          </cell>
          <cell r="K61">
            <v>1</v>
          </cell>
          <cell r="L61">
            <v>1</v>
          </cell>
          <cell r="M61">
            <v>1</v>
          </cell>
          <cell r="O61" t="str">
            <v>NM</v>
          </cell>
          <cell r="P61" t="str">
            <v>NM</v>
          </cell>
          <cell r="Q61">
            <v>1.98</v>
          </cell>
          <cell r="R61">
            <v>-0.7</v>
          </cell>
          <cell r="S61">
            <v>-0.5</v>
          </cell>
          <cell r="T61">
            <v>-0.5</v>
          </cell>
          <cell r="U61">
            <v>0</v>
          </cell>
          <cell r="V61">
            <v>0</v>
          </cell>
          <cell r="W61">
            <v>0</v>
          </cell>
          <cell r="X61">
            <v>0</v>
          </cell>
          <cell r="Y61">
            <v>-12.9</v>
          </cell>
        </row>
        <row r="62">
          <cell r="A62" t="str">
            <v>Bicitra/Polycitra/Neutra-Phos</v>
          </cell>
          <cell r="C62">
            <v>0</v>
          </cell>
          <cell r="D62">
            <v>0</v>
          </cell>
          <cell r="E62">
            <v>2.5</v>
          </cell>
          <cell r="F62">
            <v>11</v>
          </cell>
          <cell r="G62">
            <v>11.770000000000001</v>
          </cell>
          <cell r="H62">
            <v>11</v>
          </cell>
          <cell r="I62">
            <v>11</v>
          </cell>
          <cell r="J62">
            <v>11</v>
          </cell>
          <cell r="K62">
            <v>11</v>
          </cell>
          <cell r="L62">
            <v>11</v>
          </cell>
          <cell r="M62">
            <v>11</v>
          </cell>
          <cell r="O62" t="str">
            <v>NM</v>
          </cell>
          <cell r="P62" t="str">
            <v>NM</v>
          </cell>
          <cell r="Q62">
            <v>3.48</v>
          </cell>
          <cell r="R62">
            <v>7.0000000000000007E-2</v>
          </cell>
          <cell r="S62">
            <v>-0.05</v>
          </cell>
          <cell r="T62">
            <v>-0.02</v>
          </cell>
          <cell r="U62">
            <v>-0.02</v>
          </cell>
          <cell r="V62">
            <v>0</v>
          </cell>
          <cell r="W62">
            <v>0</v>
          </cell>
          <cell r="X62">
            <v>0</v>
          </cell>
          <cell r="Y62">
            <v>-0.8</v>
          </cell>
        </row>
        <row r="63">
          <cell r="A63" t="str">
            <v>Amphotec/Other Sequus</v>
          </cell>
          <cell r="C63">
            <v>1</v>
          </cell>
          <cell r="D63">
            <v>4.5999999999999996</v>
          </cell>
          <cell r="E63">
            <v>8</v>
          </cell>
          <cell r="F63">
            <v>11.5</v>
          </cell>
          <cell r="G63">
            <v>11.5</v>
          </cell>
          <cell r="H63">
            <v>11.5</v>
          </cell>
          <cell r="I63">
            <v>11.5</v>
          </cell>
          <cell r="J63">
            <v>11.5</v>
          </cell>
          <cell r="K63">
            <v>11.5</v>
          </cell>
          <cell r="L63">
            <v>11.5</v>
          </cell>
          <cell r="M63">
            <v>11.5</v>
          </cell>
          <cell r="O63">
            <v>3.69</v>
          </cell>
          <cell r="P63">
            <v>0.75</v>
          </cell>
          <cell r="Q63">
            <v>0.44</v>
          </cell>
          <cell r="R63">
            <v>0.04</v>
          </cell>
          <cell r="S63">
            <v>0</v>
          </cell>
          <cell r="T63">
            <v>0</v>
          </cell>
          <cell r="U63">
            <v>0</v>
          </cell>
          <cell r="V63">
            <v>0</v>
          </cell>
          <cell r="W63">
            <v>0</v>
          </cell>
          <cell r="X63">
            <v>0</v>
          </cell>
          <cell r="Y63">
            <v>0</v>
          </cell>
        </row>
        <row r="64">
          <cell r="A64" t="str">
            <v>Ocuset/Progestasert/Alzet</v>
          </cell>
          <cell r="C64">
            <v>7</v>
          </cell>
          <cell r="D64">
            <v>7</v>
          </cell>
          <cell r="E64">
            <v>6</v>
          </cell>
          <cell r="F64">
            <v>10</v>
          </cell>
          <cell r="G64">
            <v>12</v>
          </cell>
          <cell r="H64">
            <v>12</v>
          </cell>
          <cell r="I64">
            <v>12</v>
          </cell>
          <cell r="J64">
            <v>12</v>
          </cell>
          <cell r="K64">
            <v>12</v>
          </cell>
          <cell r="L64">
            <v>12</v>
          </cell>
          <cell r="M64">
            <v>12</v>
          </cell>
          <cell r="O64">
            <v>0.04</v>
          </cell>
          <cell r="P64">
            <v>-0.2</v>
          </cell>
          <cell r="Q64">
            <v>0.73</v>
          </cell>
          <cell r="R64">
            <v>0.23</v>
          </cell>
          <cell r="S64">
            <v>0</v>
          </cell>
          <cell r="T64">
            <v>0</v>
          </cell>
          <cell r="U64">
            <v>0</v>
          </cell>
          <cell r="V64">
            <v>0</v>
          </cell>
          <cell r="W64">
            <v>0</v>
          </cell>
          <cell r="X64">
            <v>0</v>
          </cell>
          <cell r="Y64">
            <v>0</v>
          </cell>
        </row>
        <row r="65">
          <cell r="A65" t="str">
            <v>DUROS Leuprolide</v>
          </cell>
          <cell r="B65" t="str">
            <v>-</v>
          </cell>
          <cell r="C65" t="e">
            <v>#REF!</v>
          </cell>
          <cell r="D65" t="e">
            <v>#REF!</v>
          </cell>
          <cell r="E65" t="e">
            <v>#REF!</v>
          </cell>
          <cell r="F65" t="e">
            <v>#REF!</v>
          </cell>
          <cell r="G65" t="e">
            <v>#REF!</v>
          </cell>
          <cell r="H65" t="e">
            <v>#REF!</v>
          </cell>
          <cell r="I65" t="e">
            <v>#REF!</v>
          </cell>
          <cell r="J65" t="e">
            <v>#REF!</v>
          </cell>
          <cell r="K65" t="e">
            <v>#REF!</v>
          </cell>
          <cell r="L65" t="e">
            <v>#REF!</v>
          </cell>
          <cell r="M65" t="e">
            <v>#REF!</v>
          </cell>
          <cell r="O65" t="str">
            <v>NM</v>
          </cell>
          <cell r="P65" t="str">
            <v>NM</v>
          </cell>
          <cell r="Q65" t="str">
            <v>NM</v>
          </cell>
          <cell r="R65" t="str">
            <v>NM</v>
          </cell>
          <cell r="S65" t="str">
            <v>NM</v>
          </cell>
          <cell r="T65" t="e">
            <v>#REF!</v>
          </cell>
          <cell r="U65" t="e">
            <v>#REF!</v>
          </cell>
          <cell r="V65" t="e">
            <v>#REF!</v>
          </cell>
          <cell r="W65" t="e">
            <v>#REF!</v>
          </cell>
          <cell r="X65" t="e">
            <v>#REF!</v>
          </cell>
          <cell r="Y65" t="e">
            <v>#REF!</v>
          </cell>
        </row>
        <row r="66">
          <cell r="A66" t="str">
            <v>OROS Methylphenidate</v>
          </cell>
          <cell r="C66">
            <v>0</v>
          </cell>
          <cell r="D66">
            <v>0</v>
          </cell>
          <cell r="E66">
            <v>0</v>
          </cell>
          <cell r="F66">
            <v>0</v>
          </cell>
          <cell r="G66">
            <v>0</v>
          </cell>
          <cell r="H66">
            <v>0</v>
          </cell>
          <cell r="I66">
            <v>130</v>
          </cell>
          <cell r="J66">
            <v>200</v>
          </cell>
          <cell r="K66">
            <v>255</v>
          </cell>
          <cell r="L66">
            <v>310</v>
          </cell>
          <cell r="M66">
            <v>360</v>
          </cell>
          <cell r="O66" t="str">
            <v>NM</v>
          </cell>
          <cell r="P66" t="str">
            <v>NM</v>
          </cell>
          <cell r="Q66" t="str">
            <v>NM</v>
          </cell>
          <cell r="R66" t="str">
            <v>NM</v>
          </cell>
          <cell r="S66" t="str">
            <v>NM</v>
          </cell>
          <cell r="T66">
            <v>5</v>
          </cell>
          <cell r="U66">
            <v>0.67</v>
          </cell>
          <cell r="V66">
            <v>0.4</v>
          </cell>
          <cell r="W66">
            <v>0.25</v>
          </cell>
          <cell r="X66">
            <v>0.14000000000000001</v>
          </cell>
          <cell r="Y66">
            <v>82.1</v>
          </cell>
        </row>
        <row r="67">
          <cell r="A67" t="str">
            <v>Other New Products</v>
          </cell>
          <cell r="C67">
            <v>0</v>
          </cell>
          <cell r="D67">
            <v>0</v>
          </cell>
          <cell r="E67">
            <v>0</v>
          </cell>
          <cell r="F67">
            <v>0</v>
          </cell>
          <cell r="G67">
            <v>0</v>
          </cell>
          <cell r="H67">
            <v>0</v>
          </cell>
          <cell r="I67">
            <v>0</v>
          </cell>
          <cell r="J67">
            <v>40</v>
          </cell>
          <cell r="K67">
            <v>90</v>
          </cell>
          <cell r="L67">
            <v>150</v>
          </cell>
          <cell r="M67">
            <v>235</v>
          </cell>
          <cell r="O67" t="str">
            <v>NM</v>
          </cell>
          <cell r="P67" t="str">
            <v>NM</v>
          </cell>
          <cell r="Q67" t="str">
            <v>NM</v>
          </cell>
          <cell r="R67" t="str">
            <v>NM</v>
          </cell>
          <cell r="S67" t="str">
            <v>NM</v>
          </cell>
          <cell r="T67" t="str">
            <v>NM</v>
          </cell>
          <cell r="U67" t="str">
            <v>NM</v>
          </cell>
          <cell r="V67">
            <v>1.25</v>
          </cell>
          <cell r="W67">
            <v>0.66666666666666674</v>
          </cell>
          <cell r="X67">
            <v>0.56666666666666665</v>
          </cell>
          <cell r="Y67" t="str">
            <v>NM</v>
          </cell>
        </row>
        <row r="68">
          <cell r="A68" t="str">
            <v>Total Net Sales</v>
          </cell>
          <cell r="B68">
            <v>2248.4650000000001</v>
          </cell>
          <cell r="C68">
            <v>15</v>
          </cell>
          <cell r="D68">
            <v>28</v>
          </cell>
          <cell r="E68">
            <v>61</v>
          </cell>
          <cell r="F68">
            <v>131</v>
          </cell>
          <cell r="G68">
            <v>184</v>
          </cell>
          <cell r="H68">
            <v>244</v>
          </cell>
          <cell r="I68">
            <v>369</v>
          </cell>
          <cell r="J68">
            <v>423</v>
          </cell>
          <cell r="K68">
            <v>525</v>
          </cell>
          <cell r="L68">
            <v>625</v>
          </cell>
          <cell r="M68">
            <v>716</v>
          </cell>
          <cell r="O68">
            <v>0.9</v>
          </cell>
          <cell r="P68">
            <v>1.2</v>
          </cell>
          <cell r="Q68">
            <v>1.1475409836065573</v>
          </cell>
          <cell r="R68">
            <v>0.40458015267175562</v>
          </cell>
          <cell r="S68">
            <v>0.32608695652173902</v>
          </cell>
          <cell r="T68">
            <v>0.51229508196721318</v>
          </cell>
          <cell r="U68">
            <v>0.14634146341463405</v>
          </cell>
          <cell r="V68">
            <v>0.24113475177304955</v>
          </cell>
          <cell r="W68">
            <v>0.19047619047619047</v>
          </cell>
          <cell r="X68">
            <v>0.14559999999999995</v>
          </cell>
          <cell r="Y68">
            <v>24.023687343023848</v>
          </cell>
        </row>
        <row r="69">
          <cell r="A69" t="str">
            <v>Contract Manufacturing</v>
          </cell>
          <cell r="B69">
            <v>58</v>
          </cell>
          <cell r="C69">
            <v>63</v>
          </cell>
          <cell r="D69">
            <v>86</v>
          </cell>
          <cell r="E69">
            <v>93.100000000000009</v>
          </cell>
          <cell r="F69">
            <v>113.6</v>
          </cell>
          <cell r="G69">
            <v>124.60000000000001</v>
          </cell>
          <cell r="H69">
            <v>0</v>
          </cell>
          <cell r="I69">
            <v>150</v>
          </cell>
          <cell r="J69">
            <v>168.00000000000003</v>
          </cell>
          <cell r="K69">
            <v>184.80000000000004</v>
          </cell>
          <cell r="L69">
            <v>199.58400000000006</v>
          </cell>
          <cell r="M69">
            <v>215.55072000000007</v>
          </cell>
          <cell r="O69">
            <v>0.35</v>
          </cell>
          <cell r="P69">
            <v>0.09</v>
          </cell>
          <cell r="Q69">
            <v>0.22019334049409212</v>
          </cell>
          <cell r="R69">
            <v>9.6830985915492995E-2</v>
          </cell>
          <cell r="S69">
            <v>-1</v>
          </cell>
          <cell r="T69" t="e">
            <v>#DIV/0!</v>
          </cell>
          <cell r="U69">
            <v>0.12000000000000011</v>
          </cell>
          <cell r="V69">
            <v>0.10000000000000009</v>
          </cell>
          <cell r="W69">
            <v>8.0000000000000071E-2</v>
          </cell>
          <cell r="X69">
            <v>8.0000000000000071E-2</v>
          </cell>
          <cell r="Y69" t="e">
            <v>#DIV/0!</v>
          </cell>
        </row>
        <row r="70">
          <cell r="A70" t="str">
            <v>Total Net Sales</v>
          </cell>
          <cell r="B70">
            <v>2306.4650000000001</v>
          </cell>
          <cell r="C70">
            <v>78</v>
          </cell>
          <cell r="D70">
            <v>113</v>
          </cell>
          <cell r="E70">
            <v>154</v>
          </cell>
          <cell r="F70">
            <v>244</v>
          </cell>
          <cell r="G70">
            <v>308.60000000000002</v>
          </cell>
          <cell r="H70">
            <v>244</v>
          </cell>
          <cell r="I70">
            <v>531</v>
          </cell>
          <cell r="J70">
            <v>599</v>
          </cell>
          <cell r="K70">
            <v>714</v>
          </cell>
          <cell r="L70">
            <v>829</v>
          </cell>
          <cell r="M70">
            <v>934</v>
          </cell>
          <cell r="O70">
            <v>0.45</v>
          </cell>
          <cell r="P70">
            <v>0.36</v>
          </cell>
          <cell r="Q70">
            <v>0.59</v>
          </cell>
          <cell r="R70">
            <v>0.26</v>
          </cell>
          <cell r="S70">
            <v>0.26</v>
          </cell>
          <cell r="T70">
            <v>0.36</v>
          </cell>
          <cell r="U70">
            <v>0.13</v>
          </cell>
          <cell r="V70">
            <v>0.19</v>
          </cell>
          <cell r="W70">
            <v>0.16</v>
          </cell>
          <cell r="X70">
            <v>0.13</v>
          </cell>
          <cell r="Y70">
            <v>19.100000000000001</v>
          </cell>
        </row>
        <row r="71">
          <cell r="A71" t="str">
            <v>Royalties &amp; Fees</v>
          </cell>
          <cell r="B71" t="e">
            <v>#REF!</v>
          </cell>
          <cell r="C71">
            <v>146</v>
          </cell>
          <cell r="D71">
            <v>181</v>
          </cell>
          <cell r="E71">
            <v>188.35400000000004</v>
          </cell>
          <cell r="F71">
            <v>233.1</v>
          </cell>
          <cell r="G71">
            <v>245</v>
          </cell>
          <cell r="H71">
            <v>258</v>
          </cell>
          <cell r="I71">
            <v>288</v>
          </cell>
          <cell r="J71">
            <v>361</v>
          </cell>
          <cell r="K71">
            <v>394</v>
          </cell>
          <cell r="L71">
            <v>432</v>
          </cell>
          <cell r="M71">
            <v>474</v>
          </cell>
          <cell r="O71">
            <v>0.23972602739726034</v>
          </cell>
          <cell r="P71">
            <v>4.0629834254143793E-2</v>
          </cell>
          <cell r="Q71">
            <v>0.23756331163659894</v>
          </cell>
          <cell r="R71">
            <v>5.1051051051051122E-2</v>
          </cell>
          <cell r="S71">
            <v>0.06</v>
          </cell>
          <cell r="T71">
            <v>0.11</v>
          </cell>
          <cell r="U71">
            <v>0.25347222222222232</v>
          </cell>
          <cell r="V71">
            <v>9.1412742382271484E-2</v>
          </cell>
          <cell r="W71">
            <v>9.6446700507614169E-2</v>
          </cell>
          <cell r="X71">
            <v>9.7222222222222321E-2</v>
          </cell>
          <cell r="Y71">
            <v>12.935824583523491</v>
          </cell>
        </row>
        <row r="72">
          <cell r="A72" t="str">
            <v>Research Revenues</v>
          </cell>
          <cell r="B72">
            <v>68.7</v>
          </cell>
          <cell r="C72">
            <v>104</v>
          </cell>
          <cell r="D72">
            <v>131</v>
          </cell>
          <cell r="E72">
            <v>135</v>
          </cell>
          <cell r="F72">
            <v>124.4</v>
          </cell>
          <cell r="G72">
            <v>120.8</v>
          </cell>
          <cell r="H72">
            <v>0</v>
          </cell>
          <cell r="I72">
            <v>37.022000000000006</v>
          </cell>
          <cell r="J72">
            <v>39.613540000000008</v>
          </cell>
          <cell r="K72">
            <v>42.386487800000012</v>
          </cell>
          <cell r="L72">
            <v>45.353541946000014</v>
          </cell>
          <cell r="M72">
            <v>48.528289882220015</v>
          </cell>
          <cell r="O72">
            <v>0.25961538461538458</v>
          </cell>
          <cell r="P72">
            <v>3.0534351145038219E-2</v>
          </cell>
          <cell r="Q72">
            <v>-7.8518518518518432E-2</v>
          </cell>
          <cell r="R72">
            <v>-2.8938906752411619E-2</v>
          </cell>
          <cell r="S72">
            <v>-1</v>
          </cell>
          <cell r="T72" t="e">
            <v>#DIV/0!</v>
          </cell>
          <cell r="U72">
            <v>7.0000000000000062E-2</v>
          </cell>
          <cell r="V72">
            <v>7.0000000000000062E-2</v>
          </cell>
          <cell r="W72">
            <v>7.0000000000000062E-2</v>
          </cell>
          <cell r="X72">
            <v>7.0000000000000062E-2</v>
          </cell>
          <cell r="Y72" t="e">
            <v>#DIV/0!</v>
          </cell>
        </row>
        <row r="73">
          <cell r="A73" t="str">
            <v>Total Revenues</v>
          </cell>
          <cell r="B73" t="e">
            <v>#REF!</v>
          </cell>
          <cell r="C73">
            <v>328</v>
          </cell>
          <cell r="D73">
            <v>425</v>
          </cell>
          <cell r="E73">
            <v>477.35400000000004</v>
          </cell>
          <cell r="F73">
            <v>602</v>
          </cell>
          <cell r="G73">
            <v>701</v>
          </cell>
          <cell r="H73">
            <v>786</v>
          </cell>
          <cell r="I73">
            <v>875</v>
          </cell>
          <cell r="J73">
            <v>1021</v>
          </cell>
          <cell r="K73">
            <v>1172</v>
          </cell>
          <cell r="L73">
            <v>1329</v>
          </cell>
          <cell r="M73">
            <v>1482</v>
          </cell>
          <cell r="O73">
            <v>0.2957317073170731</v>
          </cell>
          <cell r="P73">
            <v>0.12318588235294126</v>
          </cell>
          <cell r="Q73">
            <v>0.26111858285465273</v>
          </cell>
          <cell r="R73">
            <v>0.16445182724252483</v>
          </cell>
          <cell r="S73">
            <v>0.12125534950071337</v>
          </cell>
          <cell r="T73">
            <v>0.11323155216284997</v>
          </cell>
          <cell r="U73">
            <v>0.16685714285714282</v>
          </cell>
          <cell r="V73">
            <v>0.14789422135161612</v>
          </cell>
          <cell r="W73">
            <v>0.13395904436860073</v>
          </cell>
          <cell r="X73">
            <v>0.1151241534988714</v>
          </cell>
          <cell r="Y73">
            <v>13.52333252179012</v>
          </cell>
        </row>
        <row r="75">
          <cell r="A75" t="str">
            <v>E = Morgan Stanley Dean Witter Research Estimates        NM = Not Meaningful</v>
          </cell>
        </row>
      </sheetData>
      <sheetData sheetId="6" refreshError="1"/>
      <sheetData sheetId="7" refreshError="1">
        <row r="1">
          <cell r="A1" t="str">
            <v>Exhibit 5</v>
          </cell>
        </row>
        <row r="2">
          <cell r="A2" t="str">
            <v>Alza - Annual Royalties &amp; Fees Model 1995-2005E</v>
          </cell>
        </row>
        <row r="3">
          <cell r="A3" t="str">
            <v>($ Millions)</v>
          </cell>
        </row>
        <row r="4">
          <cell r="B4">
            <v>1995</v>
          </cell>
          <cell r="C4">
            <v>1996</v>
          </cell>
          <cell r="D4" t="str">
            <v>1997</v>
          </cell>
          <cell r="E4" t="str">
            <v>1998</v>
          </cell>
          <cell r="F4" t="str">
            <v>1999</v>
          </cell>
          <cell r="G4" t="str">
            <v>2000E</v>
          </cell>
          <cell r="H4" t="str">
            <v xml:space="preserve"> 2001E</v>
          </cell>
          <cell r="I4" t="str">
            <v xml:space="preserve"> 2002E</v>
          </cell>
          <cell r="J4" t="str">
            <v xml:space="preserve"> 2003E</v>
          </cell>
          <cell r="K4" t="str">
            <v xml:space="preserve"> 2004E</v>
          </cell>
          <cell r="L4" t="str">
            <v xml:space="preserve"> 2005E</v>
          </cell>
        </row>
        <row r="5">
          <cell r="A5" t="str">
            <v>Procardia XL (nifedipine) - Pfizer</v>
          </cell>
        </row>
        <row r="6">
          <cell r="A6" t="str">
            <v xml:space="preserve">  Client's Alza Product Sales</v>
          </cell>
          <cell r="B6">
            <v>1134</v>
          </cell>
          <cell r="C6">
            <v>1004.9</v>
          </cell>
          <cell r="D6">
            <v>822</v>
          </cell>
          <cell r="E6">
            <v>713</v>
          </cell>
          <cell r="F6">
            <v>550</v>
          </cell>
          <cell r="G6">
            <v>272</v>
          </cell>
          <cell r="H6">
            <v>163.19999999999999</v>
          </cell>
          <cell r="I6">
            <v>114.23999999999998</v>
          </cell>
          <cell r="J6">
            <v>91.391999999999996</v>
          </cell>
          <cell r="K6">
            <v>77.683199999999999</v>
          </cell>
          <cell r="L6">
            <v>66.030720000000002</v>
          </cell>
        </row>
        <row r="7">
          <cell r="A7" t="str">
            <v xml:space="preserve">  Royalty Rate</v>
          </cell>
          <cell r="B7">
            <v>5.8000000000000003E-2</v>
          </cell>
          <cell r="C7">
            <v>6.3899999999999998E-2</v>
          </cell>
          <cell r="D7">
            <v>7.0000000000000007E-2</v>
          </cell>
          <cell r="E7">
            <v>7.0000000000000007E-2</v>
          </cell>
          <cell r="F7">
            <v>7.0000000000000007E-2</v>
          </cell>
          <cell r="G7">
            <v>7.0000000000000007E-2</v>
          </cell>
          <cell r="H7">
            <v>7.0000000000000007E-2</v>
          </cell>
          <cell r="I7">
            <v>7.0000000000000007E-2</v>
          </cell>
          <cell r="J7">
            <v>7.0000000000000007E-2</v>
          </cell>
          <cell r="K7">
            <v>7.0000000000000007E-2</v>
          </cell>
          <cell r="L7">
            <v>7.0000000000000007E-2</v>
          </cell>
        </row>
        <row r="8">
          <cell r="A8" t="str">
            <v xml:space="preserve">    Total Royalties</v>
          </cell>
          <cell r="B8">
            <v>65.772000000000006</v>
          </cell>
          <cell r="C8">
            <v>64.21311</v>
          </cell>
          <cell r="D8">
            <v>57.540000000000006</v>
          </cell>
          <cell r="E8">
            <v>49.910000000000004</v>
          </cell>
          <cell r="F8">
            <v>38.5</v>
          </cell>
          <cell r="G8">
            <v>19.040000000000003</v>
          </cell>
          <cell r="H8">
            <v>11.423999999999999</v>
          </cell>
          <cell r="I8">
            <v>7.9967999999999995</v>
          </cell>
          <cell r="J8">
            <v>6.3974400000000005</v>
          </cell>
          <cell r="K8">
            <v>5.4378240000000009</v>
          </cell>
          <cell r="L8">
            <v>4.6221504000000007</v>
          </cell>
        </row>
        <row r="10">
          <cell r="A10" t="str">
            <v>Glucotrol XL (glipizide) - Pfizer</v>
          </cell>
        </row>
        <row r="11">
          <cell r="A11" t="str">
            <v xml:space="preserve">  Client's Alza Product Sales</v>
          </cell>
          <cell r="B11">
            <v>81.800000000000011</v>
          </cell>
          <cell r="C11">
            <v>132.80000000000001</v>
          </cell>
          <cell r="D11">
            <v>175</v>
          </cell>
          <cell r="E11">
            <v>225</v>
          </cell>
          <cell r="F11">
            <v>256</v>
          </cell>
          <cell r="G11">
            <v>275.39999999999998</v>
          </cell>
          <cell r="H11">
            <v>291.92399999999998</v>
          </cell>
          <cell r="I11">
            <v>300.68171999999998</v>
          </cell>
          <cell r="J11">
            <v>309.70217159999999</v>
          </cell>
          <cell r="K11">
            <v>309.70217159999999</v>
          </cell>
          <cell r="L11">
            <v>309.70217159999999</v>
          </cell>
        </row>
        <row r="12">
          <cell r="A12" t="str">
            <v xml:space="preserve">  Royalty Rate</v>
          </cell>
          <cell r="B12">
            <v>7.0000000000000007E-2</v>
          </cell>
          <cell r="C12">
            <v>7.0000000000000007E-2</v>
          </cell>
          <cell r="D12">
            <v>7.0000000000000007E-2</v>
          </cell>
          <cell r="E12">
            <v>7.0000000000000007E-2</v>
          </cell>
          <cell r="F12">
            <v>7.0000000000000007E-2</v>
          </cell>
          <cell r="G12">
            <v>7.0000000000000021E-2</v>
          </cell>
          <cell r="H12">
            <v>7.0000000000000007E-2</v>
          </cell>
          <cell r="I12">
            <v>7.0000000000000007E-2</v>
          </cell>
          <cell r="J12">
            <v>7.0000000000000007E-2</v>
          </cell>
          <cell r="K12">
            <v>7.0000000000000007E-2</v>
          </cell>
          <cell r="L12">
            <v>7.0000000000000007E-2</v>
          </cell>
        </row>
        <row r="13">
          <cell r="A13" t="str">
            <v xml:space="preserve">    Total Royalties</v>
          </cell>
          <cell r="B13">
            <v>5.7260000000000018</v>
          </cell>
          <cell r="C13">
            <v>9.2960000000000012</v>
          </cell>
          <cell r="D13">
            <v>12.250000000000002</v>
          </cell>
          <cell r="E13">
            <v>15.750000000000002</v>
          </cell>
          <cell r="F13">
            <v>17.920000000000002</v>
          </cell>
          <cell r="G13">
            <v>19.278000000000002</v>
          </cell>
          <cell r="H13">
            <v>20.43468</v>
          </cell>
          <cell r="I13">
            <v>21.047720399999999</v>
          </cell>
          <cell r="J13">
            <v>21.679152011999999</v>
          </cell>
          <cell r="K13">
            <v>21.679152011999999</v>
          </cell>
          <cell r="L13">
            <v>21.679152011999999</v>
          </cell>
        </row>
        <row r="15">
          <cell r="A15" t="str">
            <v>Adalat CC (nifedipine) - Bayer</v>
          </cell>
        </row>
        <row r="16">
          <cell r="A16" t="str">
            <v xml:space="preserve">  Client's Alza Product Sales</v>
          </cell>
          <cell r="B16">
            <v>300</v>
          </cell>
          <cell r="C16">
            <v>300</v>
          </cell>
          <cell r="D16">
            <v>300</v>
          </cell>
          <cell r="E16">
            <v>300</v>
          </cell>
          <cell r="F16">
            <v>300</v>
          </cell>
          <cell r="G16">
            <v>120</v>
          </cell>
          <cell r="H16">
            <v>90</v>
          </cell>
          <cell r="I16">
            <v>76.5</v>
          </cell>
          <cell r="J16">
            <v>65.024999999999991</v>
          </cell>
          <cell r="K16">
            <v>55.271249999999988</v>
          </cell>
          <cell r="L16">
            <v>46.980562499999991</v>
          </cell>
        </row>
        <row r="17">
          <cell r="A17" t="str">
            <v xml:space="preserve">  Royalty Rate</v>
          </cell>
          <cell r="B17">
            <v>7.0000000000000007E-2</v>
          </cell>
          <cell r="C17">
            <v>7.0000000000000007E-2</v>
          </cell>
          <cell r="D17">
            <v>7.0000000000000007E-2</v>
          </cell>
          <cell r="E17">
            <v>7.0000000000000007E-2</v>
          </cell>
          <cell r="F17">
            <v>7.0000000000000007E-2</v>
          </cell>
          <cell r="G17">
            <v>7.0000000000000007E-2</v>
          </cell>
          <cell r="H17">
            <v>7.0000000000000007E-2</v>
          </cell>
          <cell r="I17">
            <v>7.0000000000000007E-2</v>
          </cell>
          <cell r="J17">
            <v>7.0000000000000007E-2</v>
          </cell>
          <cell r="K17">
            <v>7.0000000000000007E-2</v>
          </cell>
          <cell r="L17">
            <v>7.0000000000000007E-2</v>
          </cell>
        </row>
        <row r="18">
          <cell r="A18" t="str">
            <v xml:space="preserve">    Total Royalties</v>
          </cell>
          <cell r="B18">
            <v>21.000000000000004</v>
          </cell>
          <cell r="C18">
            <v>21.000000000000004</v>
          </cell>
          <cell r="D18">
            <v>21.000000000000004</v>
          </cell>
          <cell r="E18">
            <v>21.000000000000004</v>
          </cell>
          <cell r="F18">
            <v>21.000000000000004</v>
          </cell>
          <cell r="G18">
            <v>8.4</v>
          </cell>
          <cell r="H18">
            <v>6.3000000000000007</v>
          </cell>
          <cell r="I18">
            <v>5.3550000000000004</v>
          </cell>
          <cell r="J18">
            <v>4.5517500000000002</v>
          </cell>
          <cell r="K18">
            <v>3.8689874999999994</v>
          </cell>
          <cell r="L18">
            <v>3.2886393749999998</v>
          </cell>
        </row>
        <row r="20">
          <cell r="A20" t="str">
            <v>Duragesic - JNJ</v>
          </cell>
        </row>
        <row r="21">
          <cell r="A21" t="str">
            <v xml:space="preserve">  Client's Alza Product Sales</v>
          </cell>
          <cell r="B21">
            <v>125</v>
          </cell>
          <cell r="C21">
            <v>170</v>
          </cell>
          <cell r="D21">
            <v>250</v>
          </cell>
          <cell r="E21">
            <v>350</v>
          </cell>
          <cell r="F21">
            <v>450</v>
          </cell>
          <cell r="G21">
            <v>585</v>
          </cell>
          <cell r="H21">
            <v>731.25</v>
          </cell>
          <cell r="I21">
            <v>840.93749999999989</v>
          </cell>
          <cell r="J21">
            <v>941.84999999999991</v>
          </cell>
          <cell r="K21">
            <v>1036.0350000000001</v>
          </cell>
          <cell r="L21">
            <v>828.82800000000009</v>
          </cell>
        </row>
        <row r="22">
          <cell r="A22" t="str">
            <v xml:space="preserve">  Royalty Rate</v>
          </cell>
          <cell r="B22">
            <v>7.0000000000000007E-2</v>
          </cell>
          <cell r="C22">
            <v>7.0000000000000007E-2</v>
          </cell>
          <cell r="D22">
            <v>7.0000000000000007E-2</v>
          </cell>
          <cell r="E22">
            <v>9.8000000000000004E-2</v>
          </cell>
          <cell r="F22">
            <v>0.11</v>
          </cell>
          <cell r="G22">
            <v>0.11</v>
          </cell>
          <cell r="H22">
            <v>0.11</v>
          </cell>
          <cell r="I22">
            <v>0.11</v>
          </cell>
          <cell r="J22">
            <v>0.11</v>
          </cell>
          <cell r="K22">
            <v>0.11</v>
          </cell>
          <cell r="L22">
            <v>0.11</v>
          </cell>
        </row>
        <row r="23">
          <cell r="A23" t="str">
            <v xml:space="preserve">    Total Royalties</v>
          </cell>
          <cell r="B23">
            <v>8.75</v>
          </cell>
          <cell r="C23">
            <v>11.9</v>
          </cell>
          <cell r="D23">
            <v>17.5</v>
          </cell>
          <cell r="E23">
            <v>34.300000000000004</v>
          </cell>
          <cell r="F23">
            <v>49.5</v>
          </cell>
          <cell r="G23">
            <v>64.349999999999994</v>
          </cell>
          <cell r="H23">
            <v>80.4375</v>
          </cell>
          <cell r="I23">
            <v>92.503124999999983</v>
          </cell>
          <cell r="J23">
            <v>103.6035</v>
          </cell>
          <cell r="K23">
            <v>113.96385000000001</v>
          </cell>
          <cell r="L23">
            <v>91.171080000000003</v>
          </cell>
        </row>
        <row r="25">
          <cell r="A25" t="str">
            <v>Nicoderm CQ - SmithKline Beecham</v>
          </cell>
        </row>
        <row r="26">
          <cell r="A26" t="str">
            <v xml:space="preserve">  Client's Alza Product Sales</v>
          </cell>
          <cell r="B26">
            <v>0</v>
          </cell>
          <cell r="C26">
            <v>100</v>
          </cell>
          <cell r="D26">
            <v>200</v>
          </cell>
          <cell r="E26">
            <v>225</v>
          </cell>
          <cell r="F26">
            <v>236.25</v>
          </cell>
          <cell r="G26">
            <v>248.0625</v>
          </cell>
          <cell r="H26">
            <v>260.46562499999999</v>
          </cell>
          <cell r="I26">
            <v>273.48890625000001</v>
          </cell>
          <cell r="J26">
            <v>287.16335156250005</v>
          </cell>
          <cell r="K26">
            <v>301.52151914062506</v>
          </cell>
          <cell r="L26">
            <v>316.59759509765632</v>
          </cell>
        </row>
        <row r="27">
          <cell r="A27" t="str">
            <v xml:space="preserve">  Royalty Rate</v>
          </cell>
          <cell r="B27">
            <v>0.09</v>
          </cell>
          <cell r="C27">
            <v>0.09</v>
          </cell>
          <cell r="D27">
            <v>0.09</v>
          </cell>
          <cell r="E27">
            <v>0.06</v>
          </cell>
          <cell r="F27">
            <v>0.06</v>
          </cell>
          <cell r="G27">
            <v>0.06</v>
          </cell>
          <cell r="H27">
            <v>0.06</v>
          </cell>
          <cell r="I27">
            <v>0.06</v>
          </cell>
          <cell r="J27">
            <v>0.06</v>
          </cell>
          <cell r="K27">
            <v>0.06</v>
          </cell>
          <cell r="L27">
            <v>0.06</v>
          </cell>
        </row>
        <row r="28">
          <cell r="A28" t="str">
            <v xml:space="preserve">    Total Royalties</v>
          </cell>
          <cell r="B28">
            <v>0</v>
          </cell>
          <cell r="C28">
            <v>9</v>
          </cell>
          <cell r="D28">
            <v>18</v>
          </cell>
          <cell r="E28">
            <v>13.5</v>
          </cell>
          <cell r="F28">
            <v>14.174999999999999</v>
          </cell>
          <cell r="G28">
            <v>14.883749999999999</v>
          </cell>
          <cell r="H28">
            <v>15.627937499999998</v>
          </cell>
          <cell r="I28">
            <v>16.409334375</v>
          </cell>
          <cell r="J28">
            <v>17.229801093750002</v>
          </cell>
          <cell r="K28">
            <v>18.091291148437502</v>
          </cell>
          <cell r="L28">
            <v>18.99585570585938</v>
          </cell>
        </row>
        <row r="30">
          <cell r="A30" t="str">
            <v>Covera-HS (verapamil) - Searle</v>
          </cell>
        </row>
        <row r="31">
          <cell r="A31" t="str">
            <v xml:space="preserve">  Client's Alza Product Sales</v>
          </cell>
          <cell r="B31">
            <v>0</v>
          </cell>
          <cell r="C31">
            <v>21</v>
          </cell>
          <cell r="D31">
            <v>55</v>
          </cell>
          <cell r="E31">
            <v>81</v>
          </cell>
          <cell r="F31">
            <v>93.149999999999991</v>
          </cell>
          <cell r="G31">
            <v>102.465</v>
          </cell>
          <cell r="H31">
            <v>110.66220000000001</v>
          </cell>
          <cell r="I31">
            <v>116.19531000000002</v>
          </cell>
          <cell r="J31">
            <v>122.00507550000003</v>
          </cell>
          <cell r="K31">
            <v>128.10532927500003</v>
          </cell>
          <cell r="L31">
            <v>134.51059573875003</v>
          </cell>
        </row>
        <row r="32">
          <cell r="A32" t="str">
            <v xml:space="preserve">  Royalty Rate</v>
          </cell>
          <cell r="B32">
            <v>7.0000000000000007E-2</v>
          </cell>
          <cell r="C32">
            <v>7.0000000000000007E-2</v>
          </cell>
          <cell r="D32">
            <v>7.0000000000000007E-2</v>
          </cell>
          <cell r="E32">
            <v>7.0000000000000007E-2</v>
          </cell>
          <cell r="F32">
            <v>7.0000000000000007E-2</v>
          </cell>
          <cell r="G32">
            <v>7.0000000000000007E-2</v>
          </cell>
          <cell r="H32">
            <v>7.0000000000000007E-2</v>
          </cell>
          <cell r="I32">
            <v>7.0000000000000007E-2</v>
          </cell>
          <cell r="J32">
            <v>7.0000000000000007E-2</v>
          </cell>
          <cell r="K32">
            <v>7.0000000000000007E-2</v>
          </cell>
          <cell r="L32">
            <v>7.0000000000000007E-2</v>
          </cell>
        </row>
        <row r="33">
          <cell r="A33" t="str">
            <v xml:space="preserve">    Total Royalties</v>
          </cell>
          <cell r="B33">
            <v>0</v>
          </cell>
          <cell r="C33">
            <v>1.4700000000000002</v>
          </cell>
          <cell r="D33">
            <v>3.8500000000000005</v>
          </cell>
          <cell r="E33">
            <v>5.6700000000000008</v>
          </cell>
          <cell r="F33">
            <v>6.5205000000000002</v>
          </cell>
          <cell r="G33">
            <v>7.1725500000000011</v>
          </cell>
          <cell r="H33">
            <v>7.746354000000002</v>
          </cell>
          <cell r="I33">
            <v>8.1336717000000025</v>
          </cell>
          <cell r="J33">
            <v>8.5403552850000022</v>
          </cell>
          <cell r="K33">
            <v>8.9673730492500034</v>
          </cell>
          <cell r="L33">
            <v>9.415741701712502</v>
          </cell>
        </row>
        <row r="35">
          <cell r="A35" t="str">
            <v>DynaCirc CR (isradipine) - Novartis</v>
          </cell>
        </row>
        <row r="36">
          <cell r="A36" t="str">
            <v xml:space="preserve">  Client's Product Sales</v>
          </cell>
          <cell r="B36">
            <v>231</v>
          </cell>
          <cell r="C36">
            <v>260</v>
          </cell>
          <cell r="D36">
            <v>280</v>
          </cell>
          <cell r="E36">
            <v>285</v>
          </cell>
          <cell r="F36">
            <v>290.7</v>
          </cell>
          <cell r="G36">
            <v>296.51400000000001</v>
          </cell>
          <cell r="H36">
            <v>302.44427999999999</v>
          </cell>
          <cell r="I36">
            <v>308.4931656</v>
          </cell>
          <cell r="J36">
            <v>314.66302891200002</v>
          </cell>
          <cell r="K36">
            <v>320.95628949024001</v>
          </cell>
          <cell r="L36">
            <v>327.37541528004482</v>
          </cell>
        </row>
        <row r="37">
          <cell r="A37" t="str">
            <v xml:space="preserve">  Penetration Rate</v>
          </cell>
          <cell r="B37">
            <v>0</v>
          </cell>
          <cell r="C37">
            <v>0</v>
          </cell>
          <cell r="D37">
            <v>0.03</v>
          </cell>
          <cell r="E37">
            <v>0.05</v>
          </cell>
          <cell r="F37">
            <v>7.0000000000000007E-2</v>
          </cell>
          <cell r="G37">
            <v>0.1</v>
          </cell>
          <cell r="H37">
            <v>0.12000000000000001</v>
          </cell>
          <cell r="I37">
            <v>0.14000000000000001</v>
          </cell>
          <cell r="J37">
            <v>0.16</v>
          </cell>
          <cell r="K37">
            <v>0.18</v>
          </cell>
          <cell r="L37">
            <v>0.19999999999999998</v>
          </cell>
        </row>
        <row r="38">
          <cell r="A38" t="str">
            <v xml:space="preserve">  Client's Alza Product Sales</v>
          </cell>
          <cell r="B38">
            <v>0</v>
          </cell>
          <cell r="C38">
            <v>0</v>
          </cell>
          <cell r="D38">
            <v>8.4</v>
          </cell>
          <cell r="E38">
            <v>14.25</v>
          </cell>
          <cell r="F38">
            <v>20.349</v>
          </cell>
          <cell r="G38">
            <v>29.651400000000002</v>
          </cell>
          <cell r="H38">
            <v>36.293313600000005</v>
          </cell>
          <cell r="I38">
            <v>43.189043184000006</v>
          </cell>
          <cell r="J38">
            <v>50.346084625920007</v>
          </cell>
          <cell r="K38">
            <v>57.772132108243198</v>
          </cell>
          <cell r="L38">
            <v>65.475083056008955</v>
          </cell>
        </row>
        <row r="39">
          <cell r="A39" t="str">
            <v xml:space="preserve">  Royalty Rate</v>
          </cell>
          <cell r="B39">
            <v>0.04</v>
          </cell>
          <cell r="C39">
            <v>0.04</v>
          </cell>
          <cell r="D39">
            <v>0.04</v>
          </cell>
          <cell r="E39">
            <v>0.04</v>
          </cell>
          <cell r="F39">
            <v>0.04</v>
          </cell>
          <cell r="G39">
            <v>0.04</v>
          </cell>
          <cell r="H39">
            <v>0.04</v>
          </cell>
          <cell r="I39">
            <v>0.04</v>
          </cell>
          <cell r="J39">
            <v>0.04</v>
          </cell>
          <cell r="K39">
            <v>0.04</v>
          </cell>
          <cell r="L39">
            <v>0.04</v>
          </cell>
        </row>
        <row r="40">
          <cell r="A40" t="str">
            <v xml:space="preserve">    Total Royalties</v>
          </cell>
          <cell r="B40">
            <v>0</v>
          </cell>
          <cell r="C40">
            <v>0</v>
          </cell>
          <cell r="D40">
            <v>0.33600000000000002</v>
          </cell>
          <cell r="E40">
            <v>0.57000000000000006</v>
          </cell>
          <cell r="F40">
            <v>0.81396000000000002</v>
          </cell>
          <cell r="G40">
            <v>1.1860560000000002</v>
          </cell>
          <cell r="H40">
            <v>1.4517325440000002</v>
          </cell>
          <cell r="I40">
            <v>1.7275617273600004</v>
          </cell>
          <cell r="J40">
            <v>2.0138433850368003</v>
          </cell>
          <cell r="K40">
            <v>2.3108852843297281</v>
          </cell>
          <cell r="L40">
            <v>2.6190033222403581</v>
          </cell>
        </row>
        <row r="42">
          <cell r="A42" t="str">
            <v>Transderm Nitro (nitroglycerin) - Novartis</v>
          </cell>
        </row>
        <row r="43">
          <cell r="A43" t="str">
            <v xml:space="preserve">  Client's Alza Product Sales</v>
          </cell>
          <cell r="B43">
            <v>0</v>
          </cell>
          <cell r="C43">
            <v>300</v>
          </cell>
          <cell r="D43">
            <v>275</v>
          </cell>
          <cell r="E43">
            <v>250</v>
          </cell>
          <cell r="F43">
            <v>212.5</v>
          </cell>
          <cell r="G43">
            <v>180.625</v>
          </cell>
          <cell r="H43">
            <v>153.53125</v>
          </cell>
          <cell r="I43">
            <v>130.50156250000001</v>
          </cell>
          <cell r="J43">
            <v>110.926328125</v>
          </cell>
          <cell r="K43">
            <v>94.287378906249998</v>
          </cell>
          <cell r="L43">
            <v>80.144272070312496</v>
          </cell>
        </row>
        <row r="44">
          <cell r="A44" t="str">
            <v xml:space="preserve">  Royalty Rate</v>
          </cell>
          <cell r="B44">
            <v>0.04</v>
          </cell>
          <cell r="C44">
            <v>0.04</v>
          </cell>
          <cell r="D44">
            <v>0.04</v>
          </cell>
          <cell r="E44">
            <v>0.04</v>
          </cell>
          <cell r="F44">
            <v>0.04</v>
          </cell>
          <cell r="G44">
            <v>0.04</v>
          </cell>
          <cell r="H44">
            <v>0.04</v>
          </cell>
          <cell r="I44">
            <v>0.04</v>
          </cell>
          <cell r="J44">
            <v>0.04</v>
          </cell>
          <cell r="K44">
            <v>0.04</v>
          </cell>
          <cell r="L44">
            <v>0.04</v>
          </cell>
        </row>
        <row r="45">
          <cell r="A45" t="str">
            <v xml:space="preserve">    Total Royalties</v>
          </cell>
          <cell r="B45">
            <v>0</v>
          </cell>
          <cell r="C45">
            <v>12</v>
          </cell>
          <cell r="D45">
            <v>11</v>
          </cell>
          <cell r="E45">
            <v>10</v>
          </cell>
          <cell r="F45">
            <v>8.5</v>
          </cell>
          <cell r="G45">
            <v>7.2250000000000005</v>
          </cell>
          <cell r="H45">
            <v>6.1412500000000003</v>
          </cell>
          <cell r="I45">
            <v>5.2200625</v>
          </cell>
          <cell r="J45">
            <v>4.4370531250000003</v>
          </cell>
          <cell r="K45">
            <v>3.7714951562499999</v>
          </cell>
          <cell r="L45">
            <v>3.2057708828124998</v>
          </cell>
        </row>
        <row r="47">
          <cell r="A47" t="str">
            <v>Transderm Scop (scopolamine) - Novartis</v>
          </cell>
        </row>
        <row r="48">
          <cell r="A48" t="str">
            <v xml:space="preserve">  Client's Alza Product Sales</v>
          </cell>
          <cell r="B48">
            <v>0</v>
          </cell>
          <cell r="C48">
            <v>0</v>
          </cell>
          <cell r="D48">
            <v>20</v>
          </cell>
          <cell r="E48">
            <v>20</v>
          </cell>
          <cell r="F48">
            <v>20</v>
          </cell>
          <cell r="G48">
            <v>20</v>
          </cell>
          <cell r="H48">
            <v>20</v>
          </cell>
          <cell r="I48">
            <v>20</v>
          </cell>
          <cell r="J48">
            <v>20</v>
          </cell>
          <cell r="K48">
            <v>20</v>
          </cell>
          <cell r="L48">
            <v>20</v>
          </cell>
        </row>
        <row r="49">
          <cell r="A49" t="str">
            <v xml:space="preserve">  Royalty Rate</v>
          </cell>
          <cell r="B49">
            <v>0.05</v>
          </cell>
          <cell r="C49">
            <v>0.05</v>
          </cell>
          <cell r="D49">
            <v>0.05</v>
          </cell>
          <cell r="E49">
            <v>0.05</v>
          </cell>
          <cell r="F49">
            <v>0.05</v>
          </cell>
          <cell r="G49">
            <v>0.05</v>
          </cell>
          <cell r="H49">
            <v>0.05</v>
          </cell>
          <cell r="I49">
            <v>0.05</v>
          </cell>
          <cell r="J49">
            <v>0.05</v>
          </cell>
          <cell r="K49">
            <v>0.05</v>
          </cell>
          <cell r="L49">
            <v>0.05</v>
          </cell>
        </row>
        <row r="50">
          <cell r="A50" t="str">
            <v xml:space="preserve">    Total Royalties</v>
          </cell>
          <cell r="B50">
            <v>0</v>
          </cell>
          <cell r="C50">
            <v>0</v>
          </cell>
          <cell r="D50">
            <v>1</v>
          </cell>
          <cell r="E50">
            <v>1</v>
          </cell>
          <cell r="F50">
            <v>1</v>
          </cell>
          <cell r="G50">
            <v>1</v>
          </cell>
          <cell r="H50">
            <v>1</v>
          </cell>
          <cell r="I50">
            <v>1</v>
          </cell>
          <cell r="J50">
            <v>1</v>
          </cell>
          <cell r="K50">
            <v>1</v>
          </cell>
          <cell r="L50">
            <v>1</v>
          </cell>
        </row>
        <row r="52">
          <cell r="A52" t="str">
            <v>IVOMEC SR Bolus (ivermectin) - Merial</v>
          </cell>
        </row>
        <row r="53">
          <cell r="A53" t="str">
            <v xml:space="preserve">  Client's Product Sales (U.S.)</v>
          </cell>
          <cell r="B53">
            <v>330</v>
          </cell>
          <cell r="C53">
            <v>330</v>
          </cell>
          <cell r="D53">
            <v>330</v>
          </cell>
          <cell r="E53">
            <v>330</v>
          </cell>
          <cell r="F53">
            <v>330</v>
          </cell>
          <cell r="G53">
            <v>330</v>
          </cell>
          <cell r="H53">
            <v>330</v>
          </cell>
          <cell r="I53">
            <v>330</v>
          </cell>
          <cell r="J53">
            <v>330</v>
          </cell>
          <cell r="K53">
            <v>330</v>
          </cell>
          <cell r="L53">
            <v>330</v>
          </cell>
        </row>
        <row r="54">
          <cell r="A54" t="str">
            <v xml:space="preserve">  Penetration Rate</v>
          </cell>
          <cell r="B54">
            <v>0</v>
          </cell>
          <cell r="C54">
            <v>0</v>
          </cell>
          <cell r="D54">
            <v>0.05</v>
          </cell>
          <cell r="E54">
            <v>0.1</v>
          </cell>
          <cell r="F54">
            <v>0.15000000000000002</v>
          </cell>
          <cell r="G54">
            <v>0.2</v>
          </cell>
          <cell r="H54">
            <v>0.25</v>
          </cell>
          <cell r="I54">
            <v>0.3</v>
          </cell>
          <cell r="J54">
            <v>0.35</v>
          </cell>
          <cell r="K54">
            <v>0.39999999999999997</v>
          </cell>
          <cell r="L54">
            <v>0.44999999999999996</v>
          </cell>
        </row>
        <row r="55">
          <cell r="A55" t="str">
            <v xml:space="preserve">  Client's Alza Product Sales</v>
          </cell>
          <cell r="B55">
            <v>0</v>
          </cell>
          <cell r="C55">
            <v>0</v>
          </cell>
          <cell r="D55">
            <v>16.5</v>
          </cell>
          <cell r="E55">
            <v>33</v>
          </cell>
          <cell r="F55">
            <v>49.500000000000007</v>
          </cell>
          <cell r="G55">
            <v>66</v>
          </cell>
          <cell r="H55">
            <v>82.5</v>
          </cell>
          <cell r="I55">
            <v>99</v>
          </cell>
          <cell r="J55">
            <v>115.49999999999999</v>
          </cell>
          <cell r="K55">
            <v>132</v>
          </cell>
          <cell r="L55">
            <v>148.49999999999997</v>
          </cell>
        </row>
        <row r="56">
          <cell r="A56" t="str">
            <v xml:space="preserve">  Royalty Rate</v>
          </cell>
          <cell r="B56">
            <v>0.02</v>
          </cell>
          <cell r="C56">
            <v>0.02</v>
          </cell>
          <cell r="D56">
            <v>0.02</v>
          </cell>
          <cell r="E56">
            <v>0.02</v>
          </cell>
          <cell r="F56">
            <v>0.02</v>
          </cell>
          <cell r="G56">
            <v>0.02</v>
          </cell>
          <cell r="H56">
            <v>0.02</v>
          </cell>
          <cell r="I56">
            <v>0.02</v>
          </cell>
          <cell r="J56">
            <v>0.02</v>
          </cell>
          <cell r="K56">
            <v>0.02</v>
          </cell>
          <cell r="L56">
            <v>0.02</v>
          </cell>
        </row>
        <row r="57">
          <cell r="A57" t="str">
            <v xml:space="preserve">    Total Royalties</v>
          </cell>
          <cell r="B57">
            <v>0</v>
          </cell>
          <cell r="C57">
            <v>0</v>
          </cell>
          <cell r="D57">
            <v>0.33</v>
          </cell>
          <cell r="E57">
            <v>0.66</v>
          </cell>
          <cell r="F57">
            <v>0.99000000000000021</v>
          </cell>
          <cell r="G57">
            <v>1.32</v>
          </cell>
          <cell r="H57">
            <v>1.6500000000000001</v>
          </cell>
          <cell r="I57">
            <v>1.98</v>
          </cell>
          <cell r="J57">
            <v>2.3099999999999996</v>
          </cell>
          <cell r="K57">
            <v>2.64</v>
          </cell>
          <cell r="L57">
            <v>2.9699999999999993</v>
          </cell>
        </row>
        <row r="59">
          <cell r="A59" t="str">
            <v xml:space="preserve">E = Morgan Stanley Dean Witter Research Estimates </v>
          </cell>
        </row>
        <row r="62">
          <cell r="A62" t="str">
            <v>Table 5 (continued)</v>
          </cell>
        </row>
        <row r="63">
          <cell r="A63" t="str">
            <v>Alza - Annual Royalties &amp; Fees Model 1995-2005E</v>
          </cell>
        </row>
        <row r="64">
          <cell r="A64" t="str">
            <v>($ Millions)</v>
          </cell>
        </row>
        <row r="65">
          <cell r="B65">
            <v>1995</v>
          </cell>
          <cell r="C65">
            <v>1996</v>
          </cell>
          <cell r="D65" t="str">
            <v>1997</v>
          </cell>
          <cell r="E65" t="str">
            <v>1998</v>
          </cell>
          <cell r="F65" t="str">
            <v>1999</v>
          </cell>
          <cell r="G65" t="str">
            <v>2000E</v>
          </cell>
          <cell r="H65" t="str">
            <v xml:space="preserve"> 2001E</v>
          </cell>
          <cell r="I65" t="str">
            <v xml:space="preserve"> 2002E</v>
          </cell>
          <cell r="J65" t="str">
            <v xml:space="preserve"> 2003E</v>
          </cell>
          <cell r="K65" t="str">
            <v xml:space="preserve"> 2004E</v>
          </cell>
          <cell r="L65" t="str">
            <v xml:space="preserve"> 2005E</v>
          </cell>
        </row>
        <row r="66">
          <cell r="A66" t="str">
            <v>Catapres-TTS (clonidine) - Boehringer Ingel.</v>
          </cell>
        </row>
        <row r="67">
          <cell r="A67" t="str">
            <v xml:space="preserve">  Client's Alza Product Sales</v>
          </cell>
          <cell r="B67">
            <v>70</v>
          </cell>
          <cell r="C67">
            <v>90</v>
          </cell>
          <cell r="D67">
            <v>105</v>
          </cell>
          <cell r="E67">
            <v>113.4</v>
          </cell>
          <cell r="F67">
            <v>121.33800000000001</v>
          </cell>
          <cell r="G67">
            <v>129.83166000000003</v>
          </cell>
          <cell r="H67">
            <v>137.62155960000004</v>
          </cell>
          <cell r="I67">
            <v>145.87885317600006</v>
          </cell>
          <cell r="J67">
            <v>153.17279583480007</v>
          </cell>
          <cell r="K67">
            <v>160.83143562654007</v>
          </cell>
          <cell r="L67">
            <v>168.87300740786708</v>
          </cell>
        </row>
        <row r="68">
          <cell r="A68" t="str">
            <v xml:space="preserve">  Royalty Rate</v>
          </cell>
          <cell r="B68">
            <v>0.09</v>
          </cell>
          <cell r="C68">
            <v>0.09</v>
          </cell>
          <cell r="D68">
            <v>0.09</v>
          </cell>
          <cell r="E68">
            <v>0.09</v>
          </cell>
          <cell r="F68">
            <v>0.09</v>
          </cell>
          <cell r="G68">
            <v>0.09</v>
          </cell>
          <cell r="H68">
            <v>0.09</v>
          </cell>
          <cell r="I68">
            <v>0.09</v>
          </cell>
          <cell r="J68">
            <v>0.09</v>
          </cell>
          <cell r="K68">
            <v>0.09</v>
          </cell>
          <cell r="L68">
            <v>0.09</v>
          </cell>
        </row>
        <row r="69">
          <cell r="A69" t="str">
            <v xml:space="preserve">    Total Royalties</v>
          </cell>
          <cell r="B69">
            <v>6.3</v>
          </cell>
          <cell r="C69">
            <v>8.1</v>
          </cell>
          <cell r="D69">
            <v>9.4499999999999993</v>
          </cell>
          <cell r="E69">
            <v>10.206</v>
          </cell>
          <cell r="F69">
            <v>10.92042</v>
          </cell>
          <cell r="G69">
            <v>11.684849400000003</v>
          </cell>
          <cell r="H69">
            <v>12.385940364000003</v>
          </cell>
          <cell r="I69">
            <v>13.129096785840005</v>
          </cell>
          <cell r="J69">
            <v>13.785551625132006</v>
          </cell>
          <cell r="K69">
            <v>14.474829206388605</v>
          </cell>
          <cell r="L69">
            <v>15.198570666708036</v>
          </cell>
        </row>
        <row r="71">
          <cell r="A71" t="str">
            <v>Efidac (24 Hr. Sudafed) - WLA</v>
          </cell>
        </row>
        <row r="72">
          <cell r="A72" t="str">
            <v xml:space="preserve">  Client's Product Sales (U.S.)</v>
          </cell>
          <cell r="B72">
            <v>122</v>
          </cell>
          <cell r="C72">
            <v>134</v>
          </cell>
          <cell r="D72">
            <v>140.70000000000002</v>
          </cell>
          <cell r="E72">
            <v>147.73500000000001</v>
          </cell>
          <cell r="F72">
            <v>155.12175000000002</v>
          </cell>
          <cell r="G72">
            <v>162.87783750000003</v>
          </cell>
          <cell r="H72">
            <v>171.02172937500004</v>
          </cell>
          <cell r="I72">
            <v>179.57281584375005</v>
          </cell>
          <cell r="J72">
            <v>188.55145663593757</v>
          </cell>
          <cell r="K72">
            <v>197.97902946773445</v>
          </cell>
          <cell r="L72">
            <v>207.87798094112119</v>
          </cell>
        </row>
        <row r="73">
          <cell r="A73" t="str">
            <v xml:space="preserve">  Penetration Rate</v>
          </cell>
          <cell r="B73">
            <v>0</v>
          </cell>
          <cell r="C73">
            <v>0</v>
          </cell>
          <cell r="D73">
            <v>0</v>
          </cell>
          <cell r="E73">
            <v>0.05</v>
          </cell>
          <cell r="F73">
            <v>0.1</v>
          </cell>
          <cell r="G73">
            <v>0.15000000000000002</v>
          </cell>
          <cell r="H73">
            <v>0.2</v>
          </cell>
          <cell r="I73">
            <v>0.25</v>
          </cell>
          <cell r="J73">
            <v>0.3</v>
          </cell>
          <cell r="K73">
            <v>0.35</v>
          </cell>
          <cell r="L73">
            <v>0.39999999999999997</v>
          </cell>
        </row>
        <row r="74">
          <cell r="A74" t="str">
            <v xml:space="preserve">  Client's Alza Product Sales</v>
          </cell>
          <cell r="B74">
            <v>0</v>
          </cell>
          <cell r="C74">
            <v>0</v>
          </cell>
          <cell r="D74">
            <v>0</v>
          </cell>
          <cell r="E74">
            <v>7.386750000000001</v>
          </cell>
          <cell r="F74">
            <v>15.512175000000003</v>
          </cell>
          <cell r="G74">
            <v>24.431675625000008</v>
          </cell>
          <cell r="H74">
            <v>34.204345875000008</v>
          </cell>
          <cell r="I74">
            <v>44.893203960937512</v>
          </cell>
          <cell r="J74">
            <v>56.565436990781272</v>
          </cell>
          <cell r="K74">
            <v>69.292660313707046</v>
          </cell>
          <cell r="L74">
            <v>83.151192376448478</v>
          </cell>
        </row>
        <row r="75">
          <cell r="A75" t="str">
            <v xml:space="preserve">  Royalty Rate</v>
          </cell>
          <cell r="B75">
            <v>0.05</v>
          </cell>
          <cell r="C75">
            <v>0.05</v>
          </cell>
          <cell r="D75">
            <v>0.05</v>
          </cell>
          <cell r="E75">
            <v>0.05</v>
          </cell>
          <cell r="F75">
            <v>0.05</v>
          </cell>
          <cell r="G75">
            <v>0.05</v>
          </cell>
          <cell r="H75">
            <v>0.05</v>
          </cell>
          <cell r="I75">
            <v>0.05</v>
          </cell>
          <cell r="J75">
            <v>0.05</v>
          </cell>
          <cell r="K75">
            <v>0.05</v>
          </cell>
          <cell r="L75">
            <v>0.05</v>
          </cell>
        </row>
        <row r="76">
          <cell r="A76" t="str">
            <v xml:space="preserve">    Total Royalties</v>
          </cell>
          <cell r="B76">
            <v>0</v>
          </cell>
          <cell r="C76">
            <v>0</v>
          </cell>
          <cell r="D76">
            <v>0</v>
          </cell>
          <cell r="E76">
            <v>0.3693375000000001</v>
          </cell>
          <cell r="F76">
            <v>0.77560875000000018</v>
          </cell>
          <cell r="G76">
            <v>1.2215837812500006</v>
          </cell>
          <cell r="H76">
            <v>1.7102172937500004</v>
          </cell>
          <cell r="I76">
            <v>2.2446601980468759</v>
          </cell>
          <cell r="J76">
            <v>2.828271849539064</v>
          </cell>
          <cell r="K76">
            <v>3.4646330156853526</v>
          </cell>
          <cell r="L76">
            <v>4.1575596188224244</v>
          </cell>
        </row>
        <row r="78">
          <cell r="A78" t="str">
            <v>Alpress LP (prazosin) - Pfizer (Fr)</v>
          </cell>
        </row>
        <row r="79">
          <cell r="A79" t="str">
            <v xml:space="preserve">  Client's Alza Product Sales</v>
          </cell>
          <cell r="B79">
            <v>8</v>
          </cell>
          <cell r="C79">
            <v>8</v>
          </cell>
          <cell r="D79">
            <v>8</v>
          </cell>
          <cell r="E79">
            <v>8</v>
          </cell>
          <cell r="F79">
            <v>8</v>
          </cell>
          <cell r="G79">
            <v>8</v>
          </cell>
          <cell r="H79">
            <v>8</v>
          </cell>
          <cell r="I79">
            <v>8</v>
          </cell>
          <cell r="J79">
            <v>8</v>
          </cell>
          <cell r="K79">
            <v>8</v>
          </cell>
          <cell r="L79">
            <v>8</v>
          </cell>
        </row>
        <row r="80">
          <cell r="A80" t="str">
            <v xml:space="preserve">  Royalty Rate</v>
          </cell>
          <cell r="B80">
            <v>7.0000000000000007E-2</v>
          </cell>
          <cell r="C80">
            <v>7.0000000000000007E-2</v>
          </cell>
          <cell r="D80">
            <v>7.0000000000000007E-2</v>
          </cell>
          <cell r="E80">
            <v>7.0000000000000007E-2</v>
          </cell>
          <cell r="F80">
            <v>7.0000000000000007E-2</v>
          </cell>
          <cell r="G80">
            <v>7.0000000000000007E-2</v>
          </cell>
          <cell r="H80">
            <v>7.0000000000000007E-2</v>
          </cell>
          <cell r="I80">
            <v>7.0000000000000007E-2</v>
          </cell>
          <cell r="J80">
            <v>7.0000000000000007E-2</v>
          </cell>
          <cell r="K80">
            <v>7.0000000000000007E-2</v>
          </cell>
          <cell r="L80">
            <v>7.0000000000000007E-2</v>
          </cell>
        </row>
        <row r="81">
          <cell r="A81" t="str">
            <v xml:space="preserve">    Total Royalties</v>
          </cell>
          <cell r="B81">
            <v>0.56000000000000005</v>
          </cell>
          <cell r="C81">
            <v>0.56000000000000005</v>
          </cell>
          <cell r="D81">
            <v>0.56000000000000005</v>
          </cell>
          <cell r="E81">
            <v>0.56000000000000005</v>
          </cell>
          <cell r="F81">
            <v>0.56000000000000005</v>
          </cell>
          <cell r="G81">
            <v>0.56000000000000005</v>
          </cell>
          <cell r="H81">
            <v>0.56000000000000005</v>
          </cell>
          <cell r="I81">
            <v>0.56000000000000005</v>
          </cell>
          <cell r="J81">
            <v>0.56000000000000005</v>
          </cell>
          <cell r="K81">
            <v>0.56000000000000005</v>
          </cell>
          <cell r="L81">
            <v>0.56000000000000005</v>
          </cell>
        </row>
        <row r="83">
          <cell r="A83" t="str">
            <v>Teczem - Hoechst (U.S.)</v>
          </cell>
        </row>
        <row r="84">
          <cell r="A84" t="str">
            <v xml:space="preserve">  Client's Alza Product Sales</v>
          </cell>
          <cell r="B84">
            <v>0</v>
          </cell>
          <cell r="C84">
            <v>0</v>
          </cell>
          <cell r="D84">
            <v>0</v>
          </cell>
          <cell r="E84">
            <v>5</v>
          </cell>
          <cell r="F84">
            <v>10</v>
          </cell>
          <cell r="G84">
            <v>15</v>
          </cell>
          <cell r="H84">
            <v>20</v>
          </cell>
          <cell r="I84">
            <v>25</v>
          </cell>
          <cell r="J84">
            <v>30</v>
          </cell>
          <cell r="K84">
            <v>30</v>
          </cell>
          <cell r="L84">
            <v>30</v>
          </cell>
        </row>
        <row r="85">
          <cell r="A85" t="str">
            <v xml:space="preserve">  Royalty Rate</v>
          </cell>
          <cell r="B85">
            <v>0.03</v>
          </cell>
          <cell r="C85">
            <v>0.03</v>
          </cell>
          <cell r="D85">
            <v>0.03</v>
          </cell>
          <cell r="E85">
            <v>0.03</v>
          </cell>
          <cell r="F85">
            <v>0.03</v>
          </cell>
          <cell r="G85">
            <v>0.03</v>
          </cell>
          <cell r="H85">
            <v>0.03</v>
          </cell>
          <cell r="I85">
            <v>0.03</v>
          </cell>
          <cell r="J85">
            <v>0.03</v>
          </cell>
          <cell r="K85">
            <v>0.03</v>
          </cell>
          <cell r="L85">
            <v>0.03</v>
          </cell>
        </row>
        <row r="86">
          <cell r="A86" t="str">
            <v xml:space="preserve">    Total Royalties</v>
          </cell>
          <cell r="B86">
            <v>0</v>
          </cell>
          <cell r="C86">
            <v>0</v>
          </cell>
          <cell r="D86">
            <v>0</v>
          </cell>
          <cell r="E86">
            <v>0.15</v>
          </cell>
          <cell r="F86">
            <v>0.3</v>
          </cell>
          <cell r="G86">
            <v>0.44999999999999996</v>
          </cell>
          <cell r="H86">
            <v>0.6</v>
          </cell>
          <cell r="I86">
            <v>0.75</v>
          </cell>
          <cell r="J86">
            <v>0.89999999999999991</v>
          </cell>
          <cell r="K86">
            <v>0.89999999999999991</v>
          </cell>
          <cell r="L86">
            <v>0.89999999999999991</v>
          </cell>
        </row>
        <row r="88">
          <cell r="A88" t="str">
            <v>Cardura XL - Pfizer</v>
          </cell>
        </row>
        <row r="89">
          <cell r="A89" t="str">
            <v xml:space="preserve">  Client's Alza Product Sales</v>
          </cell>
          <cell r="B89">
            <v>0</v>
          </cell>
          <cell r="C89">
            <v>0</v>
          </cell>
          <cell r="D89">
            <v>0</v>
          </cell>
          <cell r="E89">
            <v>3</v>
          </cell>
          <cell r="F89">
            <v>6</v>
          </cell>
          <cell r="G89">
            <v>8</v>
          </cell>
          <cell r="H89">
            <v>8.8000000000000007</v>
          </cell>
          <cell r="I89">
            <v>9.6800000000000015</v>
          </cell>
          <cell r="J89">
            <v>10.648000000000003</v>
          </cell>
          <cell r="K89">
            <v>11.712800000000005</v>
          </cell>
          <cell r="L89">
            <v>12.884080000000006</v>
          </cell>
        </row>
        <row r="90">
          <cell r="A90" t="str">
            <v xml:space="preserve">  Royalty Rate</v>
          </cell>
          <cell r="B90">
            <v>0.09</v>
          </cell>
          <cell r="C90">
            <v>0.09</v>
          </cell>
          <cell r="D90">
            <v>0.09</v>
          </cell>
          <cell r="E90">
            <v>0.09</v>
          </cell>
          <cell r="F90">
            <v>0.09</v>
          </cell>
          <cell r="G90">
            <v>0.09</v>
          </cell>
          <cell r="H90">
            <v>0.09</v>
          </cell>
          <cell r="I90">
            <v>0.09</v>
          </cell>
          <cell r="J90">
            <v>0.09</v>
          </cell>
          <cell r="K90">
            <v>0.09</v>
          </cell>
          <cell r="L90">
            <v>0.09</v>
          </cell>
        </row>
        <row r="91">
          <cell r="A91" t="str">
            <v xml:space="preserve">    Total Royalties</v>
          </cell>
          <cell r="B91">
            <v>0</v>
          </cell>
          <cell r="C91">
            <v>0</v>
          </cell>
          <cell r="D91">
            <v>0</v>
          </cell>
          <cell r="E91">
            <v>0.27</v>
          </cell>
          <cell r="F91">
            <v>0.54</v>
          </cell>
          <cell r="G91">
            <v>0.72</v>
          </cell>
          <cell r="H91">
            <v>0.79200000000000004</v>
          </cell>
          <cell r="I91">
            <v>0.87120000000000009</v>
          </cell>
          <cell r="J91">
            <v>0.95832000000000028</v>
          </cell>
          <cell r="K91">
            <v>1.0541520000000004</v>
          </cell>
          <cell r="L91">
            <v>1.1595672000000006</v>
          </cell>
        </row>
        <row r="93">
          <cell r="A93" t="str">
            <v>Volmax (albuterol) - Glaxo</v>
          </cell>
        </row>
        <row r="94">
          <cell r="A94" t="str">
            <v xml:space="preserve">  Client's Alza Product Sales</v>
          </cell>
          <cell r="B94">
            <v>40</v>
          </cell>
          <cell r="C94">
            <v>40</v>
          </cell>
          <cell r="D94">
            <v>45</v>
          </cell>
          <cell r="E94">
            <v>50</v>
          </cell>
          <cell r="F94">
            <v>52</v>
          </cell>
          <cell r="G94">
            <v>54</v>
          </cell>
          <cell r="H94">
            <v>54</v>
          </cell>
          <cell r="I94">
            <v>54</v>
          </cell>
          <cell r="J94">
            <v>54</v>
          </cell>
          <cell r="K94">
            <v>54</v>
          </cell>
          <cell r="L94">
            <v>54</v>
          </cell>
        </row>
        <row r="95">
          <cell r="A95" t="str">
            <v xml:space="preserve">  Royalty Rate</v>
          </cell>
          <cell r="B95">
            <v>7.0000000000000007E-2</v>
          </cell>
          <cell r="C95">
            <v>7.0000000000000007E-2</v>
          </cell>
          <cell r="D95">
            <v>7.0000000000000007E-2</v>
          </cell>
          <cell r="E95">
            <v>7.0000000000000007E-2</v>
          </cell>
          <cell r="F95">
            <v>7.0000000000000007E-2</v>
          </cell>
          <cell r="G95">
            <v>7.0000000000000007E-2</v>
          </cell>
          <cell r="H95">
            <v>7.0000000000000007E-2</v>
          </cell>
          <cell r="I95">
            <v>7.0000000000000007E-2</v>
          </cell>
          <cell r="J95">
            <v>7.0000000000000007E-2</v>
          </cell>
          <cell r="K95">
            <v>7.0000000000000007E-2</v>
          </cell>
          <cell r="L95">
            <v>7.0000000000000007E-2</v>
          </cell>
        </row>
        <row r="96">
          <cell r="A96" t="str">
            <v xml:space="preserve">    Total Royalties</v>
          </cell>
          <cell r="B96">
            <v>2.8000000000000003</v>
          </cell>
          <cell r="C96">
            <v>2.8000000000000003</v>
          </cell>
          <cell r="D96">
            <v>3.1500000000000004</v>
          </cell>
          <cell r="E96">
            <v>3.5000000000000004</v>
          </cell>
          <cell r="F96">
            <v>3.6400000000000006</v>
          </cell>
          <cell r="G96">
            <v>3.7800000000000002</v>
          </cell>
          <cell r="H96">
            <v>3.7800000000000002</v>
          </cell>
          <cell r="I96">
            <v>3.7800000000000002</v>
          </cell>
          <cell r="J96">
            <v>3.7800000000000002</v>
          </cell>
          <cell r="K96">
            <v>3.7800000000000002</v>
          </cell>
          <cell r="L96">
            <v>3.7800000000000002</v>
          </cell>
        </row>
        <row r="98">
          <cell r="A98" t="str">
            <v>OROS hydromorphone - Knoll (BASF)</v>
          </cell>
        </row>
        <row r="99">
          <cell r="A99" t="str">
            <v xml:space="preserve">  Client's Product Sales (U.S. Dilaudid)</v>
          </cell>
          <cell r="B99">
            <v>0</v>
          </cell>
          <cell r="C99">
            <v>0</v>
          </cell>
          <cell r="D99">
            <v>17</v>
          </cell>
          <cell r="E99">
            <v>19</v>
          </cell>
          <cell r="F99">
            <v>15</v>
          </cell>
          <cell r="G99">
            <v>15</v>
          </cell>
          <cell r="H99">
            <v>5</v>
          </cell>
          <cell r="I99">
            <v>4</v>
          </cell>
          <cell r="J99">
            <v>3</v>
          </cell>
          <cell r="K99">
            <v>2</v>
          </cell>
          <cell r="L99">
            <v>1</v>
          </cell>
        </row>
        <row r="100">
          <cell r="A100" t="str">
            <v xml:space="preserve">  Penetration Rate</v>
          </cell>
          <cell r="B100" t="str">
            <v>NM</v>
          </cell>
          <cell r="C100" t="str">
            <v>NM</v>
          </cell>
          <cell r="D100" t="str">
            <v>NM</v>
          </cell>
          <cell r="E100" t="str">
            <v>NM</v>
          </cell>
          <cell r="F100" t="str">
            <v>NM</v>
          </cell>
          <cell r="G100" t="str">
            <v>NM</v>
          </cell>
          <cell r="H100" t="str">
            <v>NM</v>
          </cell>
          <cell r="I100" t="str">
            <v>NM</v>
          </cell>
          <cell r="J100" t="str">
            <v>NM</v>
          </cell>
          <cell r="K100" t="str">
            <v>NM</v>
          </cell>
          <cell r="L100" t="str">
            <v>NM</v>
          </cell>
        </row>
        <row r="101">
          <cell r="A101" t="str">
            <v xml:space="preserve">  Client's Alza Product Sales</v>
          </cell>
          <cell r="B101">
            <v>0</v>
          </cell>
          <cell r="C101">
            <v>0</v>
          </cell>
          <cell r="D101">
            <v>0</v>
          </cell>
          <cell r="E101">
            <v>0</v>
          </cell>
          <cell r="F101">
            <v>0</v>
          </cell>
          <cell r="G101">
            <v>0</v>
          </cell>
          <cell r="H101">
            <v>18</v>
          </cell>
          <cell r="I101">
            <v>35</v>
          </cell>
          <cell r="J101">
            <v>50</v>
          </cell>
          <cell r="K101">
            <v>65</v>
          </cell>
          <cell r="L101">
            <v>80</v>
          </cell>
        </row>
        <row r="102">
          <cell r="A102" t="str">
            <v xml:space="preserve">  Royalty Rate</v>
          </cell>
          <cell r="B102">
            <v>0</v>
          </cell>
          <cell r="C102">
            <v>0</v>
          </cell>
          <cell r="D102">
            <v>0</v>
          </cell>
          <cell r="E102">
            <v>0</v>
          </cell>
          <cell r="F102">
            <v>0</v>
          </cell>
          <cell r="G102">
            <v>0</v>
          </cell>
          <cell r="H102">
            <v>0.2</v>
          </cell>
          <cell r="I102">
            <v>0.2</v>
          </cell>
          <cell r="J102">
            <v>0.2</v>
          </cell>
          <cell r="K102">
            <v>0.2</v>
          </cell>
          <cell r="L102">
            <v>0.2</v>
          </cell>
        </row>
        <row r="103">
          <cell r="A103" t="str">
            <v xml:space="preserve">    Total Royalties</v>
          </cell>
          <cell r="B103">
            <v>0</v>
          </cell>
          <cell r="C103">
            <v>0</v>
          </cell>
          <cell r="D103">
            <v>0</v>
          </cell>
          <cell r="E103">
            <v>0</v>
          </cell>
          <cell r="F103">
            <v>0</v>
          </cell>
          <cell r="G103">
            <v>0</v>
          </cell>
          <cell r="H103">
            <v>3.6</v>
          </cell>
          <cell r="I103">
            <v>7</v>
          </cell>
          <cell r="J103">
            <v>10</v>
          </cell>
          <cell r="K103">
            <v>13</v>
          </cell>
          <cell r="L103">
            <v>16</v>
          </cell>
        </row>
        <row r="105">
          <cell r="A105" t="str">
            <v>Ethyol - U.S. Bioscience</v>
          </cell>
        </row>
        <row r="106">
          <cell r="A106" t="str">
            <v xml:space="preserve">  Client's Alza Product Sales</v>
          </cell>
          <cell r="B106">
            <v>0</v>
          </cell>
          <cell r="C106">
            <v>9.35</v>
          </cell>
          <cell r="D106">
            <v>20.64</v>
          </cell>
          <cell r="E106">
            <v>32.599999999999994</v>
          </cell>
          <cell r="F106">
            <v>48.3</v>
          </cell>
          <cell r="G106">
            <v>49.2</v>
          </cell>
          <cell r="H106">
            <v>54.120000000000005</v>
          </cell>
          <cell r="I106">
            <v>48.707999999999998</v>
          </cell>
          <cell r="J106">
            <v>56.014199999999995</v>
          </cell>
          <cell r="K106">
            <v>62.735903999999998</v>
          </cell>
          <cell r="L106">
            <v>69.009494400000008</v>
          </cell>
        </row>
        <row r="107">
          <cell r="A107" t="str">
            <v xml:space="preserve">  Royalty Rate</v>
          </cell>
          <cell r="B107">
            <v>0</v>
          </cell>
          <cell r="C107">
            <v>0</v>
          </cell>
          <cell r="D107">
            <v>0</v>
          </cell>
          <cell r="E107">
            <v>0</v>
          </cell>
          <cell r="F107">
            <v>0</v>
          </cell>
          <cell r="G107">
            <v>0</v>
          </cell>
          <cell r="H107">
            <v>0</v>
          </cell>
          <cell r="I107">
            <v>0.3</v>
          </cell>
          <cell r="J107">
            <v>0.27500000000000002</v>
          </cell>
          <cell r="K107">
            <v>0.25</v>
          </cell>
          <cell r="L107">
            <v>0.25</v>
          </cell>
        </row>
        <row r="108">
          <cell r="A108" t="str">
            <v xml:space="preserve">    Total Royalties</v>
          </cell>
          <cell r="B108">
            <v>0</v>
          </cell>
          <cell r="C108">
            <v>0</v>
          </cell>
          <cell r="D108">
            <v>0</v>
          </cell>
          <cell r="E108">
            <v>0</v>
          </cell>
          <cell r="F108">
            <v>0</v>
          </cell>
          <cell r="G108">
            <v>0</v>
          </cell>
          <cell r="H108">
            <v>0</v>
          </cell>
          <cell r="I108">
            <v>14.612399999999999</v>
          </cell>
          <cell r="J108">
            <v>15.403905</v>
          </cell>
          <cell r="K108">
            <v>15.683975999999999</v>
          </cell>
          <cell r="L108">
            <v>17.252373600000002</v>
          </cell>
        </row>
        <row r="110">
          <cell r="A110" t="str">
            <v>Viadur - Bayer</v>
          </cell>
        </row>
        <row r="111">
          <cell r="A111" t="str">
            <v xml:space="preserve">  Client's Alza Product Sales</v>
          </cell>
          <cell r="B111">
            <v>0</v>
          </cell>
          <cell r="C111">
            <v>0</v>
          </cell>
          <cell r="D111">
            <v>0</v>
          </cell>
          <cell r="E111">
            <v>0</v>
          </cell>
          <cell r="F111">
            <v>0</v>
          </cell>
          <cell r="G111">
            <v>0</v>
          </cell>
          <cell r="H111">
            <v>25</v>
          </cell>
          <cell r="I111">
            <v>50</v>
          </cell>
          <cell r="J111">
            <v>75</v>
          </cell>
          <cell r="K111">
            <v>93.8</v>
          </cell>
          <cell r="L111">
            <v>110.6</v>
          </cell>
        </row>
        <row r="112">
          <cell r="A112" t="str">
            <v xml:space="preserve">  Royalty Rate</v>
          </cell>
          <cell r="B112">
            <v>0</v>
          </cell>
          <cell r="C112">
            <v>0</v>
          </cell>
          <cell r="D112">
            <v>0</v>
          </cell>
          <cell r="E112">
            <v>0</v>
          </cell>
          <cell r="F112">
            <v>0</v>
          </cell>
          <cell r="G112">
            <v>0</v>
          </cell>
          <cell r="H112">
            <v>0.11</v>
          </cell>
          <cell r="I112">
            <v>0.11</v>
          </cell>
          <cell r="J112">
            <v>0.11</v>
          </cell>
          <cell r="K112">
            <v>0.11</v>
          </cell>
          <cell r="L112">
            <v>0.11</v>
          </cell>
        </row>
        <row r="113">
          <cell r="A113" t="str">
            <v xml:space="preserve">    Total Royalties</v>
          </cell>
          <cell r="B113">
            <v>0</v>
          </cell>
          <cell r="C113">
            <v>0</v>
          </cell>
          <cell r="D113">
            <v>0</v>
          </cell>
          <cell r="E113">
            <v>0</v>
          </cell>
          <cell r="F113">
            <v>0</v>
          </cell>
          <cell r="G113">
            <v>0</v>
          </cell>
          <cell r="H113">
            <v>2.75</v>
          </cell>
          <cell r="I113">
            <v>5.5</v>
          </cell>
          <cell r="J113">
            <v>8.25</v>
          </cell>
          <cell r="K113">
            <v>10.318</v>
          </cell>
          <cell r="L113">
            <v>12.165999999999999</v>
          </cell>
        </row>
        <row r="115">
          <cell r="A115" t="str">
            <v>Other (a)</v>
          </cell>
          <cell r="B115">
            <v>27.391999999999982</v>
          </cell>
          <cell r="C115">
            <v>30.960889999999978</v>
          </cell>
          <cell r="D115">
            <v>28.433999999999969</v>
          </cell>
          <cell r="E115">
            <v>51.484662500000013</v>
          </cell>
          <cell r="F115">
            <v>44.244511249999988</v>
          </cell>
          <cell r="G115">
            <v>118</v>
          </cell>
          <cell r="H115">
            <v>135</v>
          </cell>
          <cell r="I115">
            <v>145.80000000000001</v>
          </cell>
          <cell r="J115">
            <v>167.67</v>
          </cell>
          <cell r="K115">
            <v>192.82049999999998</v>
          </cell>
          <cell r="L115">
            <v>231.38459999999998</v>
          </cell>
        </row>
        <row r="116">
          <cell r="A116" t="str">
            <v>Nonrecurring/Crescendo</v>
          </cell>
          <cell r="B116">
            <v>7.4</v>
          </cell>
          <cell r="C116">
            <v>9.5</v>
          </cell>
          <cell r="D116">
            <v>4</v>
          </cell>
          <cell r="E116">
            <v>14.2</v>
          </cell>
          <cell r="F116">
            <v>7.2</v>
          </cell>
          <cell r="G116">
            <v>2</v>
          </cell>
          <cell r="H116">
            <v>0</v>
          </cell>
          <cell r="I116">
            <v>0</v>
          </cell>
          <cell r="J116">
            <v>0</v>
          </cell>
          <cell r="K116">
            <v>0</v>
          </cell>
          <cell r="L116">
            <v>0</v>
          </cell>
        </row>
        <row r="118">
          <cell r="A118" t="str">
            <v>Total - Reported</v>
          </cell>
          <cell r="B118">
            <v>145.69999999999999</v>
          </cell>
          <cell r="C118">
            <v>180.8</v>
          </cell>
          <cell r="D118">
            <v>188.4</v>
          </cell>
          <cell r="E118">
            <v>233.1</v>
          </cell>
          <cell r="F118">
            <v>227.1</v>
          </cell>
          <cell r="G118">
            <v>282.27178918124997</v>
          </cell>
          <cell r="H118">
            <v>313.39161170174998</v>
          </cell>
          <cell r="I118">
            <v>355.62063268624695</v>
          </cell>
          <cell r="J118">
            <v>395.89894337545786</v>
          </cell>
          <cell r="K118">
            <v>437.78694837234121</v>
          </cell>
          <cell r="L118">
            <v>461.52606448515519</v>
          </cell>
        </row>
        <row r="120">
          <cell r="A120" t="str">
            <v>Notes:</v>
          </cell>
        </row>
        <row r="121">
          <cell r="A121" t="str">
            <v xml:space="preserve">(a) Other includes milestone payments and royalties on Muro, Baxter Infusor, and ENACT AirWatch as well as Hexalen and </v>
          </cell>
        </row>
        <row r="122">
          <cell r="A122" t="str">
            <v xml:space="preserve">NeuTrexin, until the two products were sent back to U.S. Bioscience in mid-1999. </v>
          </cell>
        </row>
        <row r="124">
          <cell r="A124" t="str">
            <v xml:space="preserve">E = Morgan Stanley Dean Witter Research Estimates </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Quarterly"/>
      <sheetName val="__FDSCACHE__"/>
      <sheetName val="Annual"/>
      <sheetName val="Angiomax-US"/>
      <sheetName val="Angiomax-Europe"/>
      <sheetName val="Balance Sheet"/>
      <sheetName val="Cash Flow"/>
      <sheetName val="Calc"/>
      <sheetName val="Milestones"/>
      <sheetName val="Pipeline"/>
      <sheetName val="Valuation"/>
      <sheetName val="Sheet1"/>
      <sheetName val="NY UPLOAD shadow"/>
    </sheetNames>
    <sheetDataSet>
      <sheetData sheetId="0"/>
      <sheetData sheetId="1"/>
      <sheetData sheetId="2"/>
      <sheetData sheetId="3" refreshError="1">
        <row r="27">
          <cell r="F27">
            <v>-1.211421003900645</v>
          </cell>
          <cell r="H27">
            <v>-0.12541776215182754</v>
          </cell>
          <cell r="J27">
            <v>0.97941985249809671</v>
          </cell>
        </row>
        <row r="28">
          <cell r="D28">
            <v>-1.6673097078972552</v>
          </cell>
          <cell r="L28">
            <v>1.742116905925265</v>
          </cell>
        </row>
      </sheetData>
      <sheetData sheetId="4"/>
      <sheetData sheetId="5"/>
      <sheetData sheetId="6"/>
      <sheetData sheetId="7" refreshError="1"/>
      <sheetData sheetId="8"/>
      <sheetData sheetId="9"/>
      <sheetData sheetId="10"/>
      <sheetData sheetId="11"/>
      <sheetData sheetId="12"/>
      <sheetData sheetId="1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2002"/>
      <sheetName val="2003"/>
      <sheetName val="Annual"/>
      <sheetName val="Velcade"/>
      <sheetName val="Integrilin"/>
      <sheetName val="Balance Sheet "/>
      <sheetName val="Cashflow"/>
      <sheetName val="Milestones "/>
      <sheetName val="Changes to Model"/>
      <sheetName val="MS Est vs Rpt"/>
      <sheetName val="SNAP"/>
      <sheetName val="NY UPLOAD shadow"/>
      <sheetName val="mStartup"/>
      <sheetName val="MainCode"/>
    </sheetNames>
    <sheetDataSet>
      <sheetData sheetId="0" refreshError="1"/>
      <sheetData sheetId="1" refreshError="1"/>
      <sheetData sheetId="2" refreshError="1"/>
      <sheetData sheetId="3"/>
      <sheetData sheetId="4" refreshError="1">
        <row r="36">
          <cell r="H36">
            <v>-1.4364451795968316</v>
          </cell>
          <cell r="J36">
            <v>-1.0051007391237032</v>
          </cell>
          <cell r="L36">
            <v>-0.89578564689506335</v>
          </cell>
          <cell r="N36">
            <v>-0.60826164111096548</v>
          </cell>
        </row>
        <row r="37">
          <cell r="H37">
            <v>-1.0421020427374565</v>
          </cell>
          <cell r="L37">
            <v>-0.79066139389808188</v>
          </cell>
        </row>
      </sheetData>
      <sheetData sheetId="5" refreshError="1"/>
      <sheetData sheetId="6" refreshError="1"/>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 sheet"/>
      <sheetName val="__FDSCACHE__"/>
      <sheetName val="MainCode"/>
      <sheetName val="mStartup"/>
      <sheetName val="NY UPLOAD shadow"/>
      <sheetName val="FCFF"/>
      <sheetName val="DCF Valuation"/>
      <sheetName val="Stock Options Data"/>
      <sheetName val="Calc"/>
      <sheetName val="Cash Flow"/>
      <sheetName val="Balance Sheet"/>
      <sheetName val="xbrlPreview"/>
      <sheetName val="NY UPLOAD"/>
      <sheetName val="Annual"/>
      <sheetName val="Quarterly"/>
      <sheetName val="US Epo Model"/>
      <sheetName val="Int'l Epo Model"/>
      <sheetName val="US RA Model"/>
      <sheetName val="Euro RA Model"/>
      <sheetName val="RA Total"/>
      <sheetName val="AMGN Milestones"/>
      <sheetName val="Pipeline (2)"/>
      <sheetName val="Pipeline"/>
      <sheetName val="xbrldates"/>
      <sheetName val="xbrlSettings"/>
      <sheetName val="Sheet9"/>
      <sheetName val="ACR data"/>
      <sheetName val="1217"/>
      <sheetName val="Sheet10"/>
      <sheetName val="Sheet11"/>
      <sheetName val="Sheet12"/>
      <sheetName val="Sheet13"/>
      <sheetName val="Sheet14"/>
      <sheetName val="Sheet15"/>
      <sheetName val="Sheet16"/>
      <sheetName val="Module1"/>
      <sheetName val="AMGN"/>
    </sheetNames>
    <sheetDataSet>
      <sheetData sheetId="0"/>
      <sheetData sheetId="1"/>
      <sheetData sheetId="2" refreshError="1"/>
      <sheetData sheetId="3" refreshError="1"/>
      <sheetData sheetId="4"/>
      <sheetData sheetId="5"/>
      <sheetData sheetId="6"/>
      <sheetData sheetId="7"/>
      <sheetData sheetId="8"/>
      <sheetData sheetId="9"/>
      <sheetData sheetId="10" refreshError="1">
        <row r="7">
          <cell r="K7">
            <v>689.1</v>
          </cell>
          <cell r="L7">
            <v>1851.7</v>
          </cell>
          <cell r="M7">
            <v>1339.7507282108186</v>
          </cell>
          <cell r="N7">
            <v>2039.8520056133134</v>
          </cell>
          <cell r="O7">
            <v>1588.7891864814724</v>
          </cell>
        </row>
        <row r="8">
          <cell r="K8">
            <v>1973.1</v>
          </cell>
          <cell r="L8">
            <v>2812.2</v>
          </cell>
        </row>
      </sheetData>
      <sheetData sheetId="11"/>
      <sheetData sheetId="12"/>
      <sheetData sheetId="13" refreshError="1">
        <row r="40">
          <cell r="X40">
            <v>1289.5</v>
          </cell>
          <cell r="Z40">
            <v>1285</v>
          </cell>
          <cell r="AB40">
            <v>1288.81826</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2"/>
      <sheetName val="UPDATE"/>
    </sheetNames>
    <definedNames>
      <definedName name="cmdOK2_click"/>
    </definedNames>
    <sheetDataSet>
      <sheetData sheetId="0" refreshError="1"/>
      <sheetData sheetId="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 Convert"/>
      <sheetName val="ImportantDisclosures"/>
      <sheetName val="summary"/>
      <sheetName val="COVER SHEET"/>
      <sheetName val="consensus"/>
      <sheetName val="IS-ANNUAL"/>
      <sheetName val="IS-QTRLY"/>
      <sheetName val="REV-ANNUAL"/>
      <sheetName val="REV-QTRLY"/>
      <sheetName val="CFBS"/>
      <sheetName val="DCF"/>
      <sheetName val="MGMT PROJECTIONS"/>
      <sheetName val="PIV CHALLENGES"/>
      <sheetName val="FOOTNOTES"/>
      <sheetName val="AGREEMENTS"/>
      <sheetName val="PIPELINE"/>
      <sheetName val="CNS FRANCHISE"/>
      <sheetName val="patents"/>
      <sheetName val="launches"/>
      <sheetName val="PIPELINE_UNADJ"/>
      <sheetName val="DEBT"/>
      <sheetName val="Var-YOY"/>
      <sheetName val="Var-Seq"/>
      <sheetName val="calendar"/>
      <sheetName val="patent expirations"/>
      <sheetName val="SOTP"/>
      <sheetName val="revenue snapshot"/>
      <sheetName val="Gaap Adj"/>
      <sheetName val="rev contribution analysis"/>
      <sheetName val="rev change analysis"/>
      <sheetName val="MW-Cache"/>
      <sheetName val="mwareDates"/>
      <sheetName val="MWA RR"/>
      <sheetName val="mwareSettings"/>
      <sheetName val="__FDSCACHE__"/>
      <sheetName val="IndexInformation"/>
    </sheetNames>
    <sheetDataSet>
      <sheetData sheetId="0"/>
      <sheetData sheetId="1"/>
      <sheetData sheetId="2">
        <row r="7">
          <cell r="J7" t="str">
            <v>Cephalon Inc.</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s"/>
      <sheetName val="P&amp;L"/>
      <sheetName val="P&amp;L 2-12-00"/>
      <sheetName val="Glance"/>
      <sheetName val="P&amp;L 4Q99E"/>
      <sheetName val="P&amp;L 3Q99E"/>
      <sheetName val="P&amp;L 9-10-99"/>
      <sheetName val="P&amp;L 2Q99E"/>
      <sheetName val="P&amp;L 1Q99E"/>
      <sheetName val="Qrtrly Var."/>
      <sheetName val="Valuation"/>
      <sheetName val="MS_Model"/>
      <sheetName val="Tables"/>
      <sheetName val="Market"/>
      <sheetName val="IMS"/>
      <sheetName val="Compare"/>
      <sheetName val="Patents"/>
      <sheetName val="IS-Comps"/>
      <sheetName val="Sheet16"/>
      <sheetName val="Disclaimer"/>
      <sheetName val="P&amp;L 2Q98E"/>
      <sheetName val="P&amp;L 6-18-98"/>
      <sheetName val="P&amp;L 1Q98E"/>
      <sheetName val="P&amp;L 4Q97"/>
      <sheetName val="P&amp;L 1-6-98"/>
      <sheetName val="P&amp;L 10-8-97"/>
      <sheetName val="P&amp;L 9-9-97"/>
      <sheetName val="P&amp;L 2Q97E"/>
      <sheetName val="Sheet14"/>
      <sheetName val="Sheet15"/>
      <sheetName val="IndexInformation"/>
      <sheetName val="MainCode"/>
      <sheetName val="P&amp;L 9-2-98"/>
      <sheetName val="P&amp;L 9-10-98"/>
      <sheetName val="P&amp;L 9-21-98"/>
      <sheetName val="P&amp;L 9-11-98"/>
      <sheetName val="Pipeline"/>
      <sheetName val="P&amp;L 1Q00E"/>
      <sheetName val="P&amp;L 2Q00E"/>
      <sheetName val="BGEN"/>
      <sheetName val="P&amp;L3Q00E"/>
      <sheetName val="P&amp;L8-17-00E"/>
      <sheetName val="NY UPLOAD"/>
      <sheetName val="mStartup"/>
      <sheetName val="NY UPLOAD Shadow"/>
      <sheetName val="RED P&amp;L"/>
      <sheetName val="P&amp;L1Q01E"/>
      <sheetName val="P&amp;L3-27-01E"/>
      <sheetName val="P&amp;L4Q00E"/>
      <sheetName val="guidance"/>
      <sheetName val="P&amp;L RED"/>
      <sheetName val="Annu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
          <cell r="A1" t="str">
            <v>Psoriasis: Amevive Potential Competitors</v>
          </cell>
        </row>
        <row r="3">
          <cell r="A3" t="str">
            <v>Company</v>
          </cell>
          <cell r="B3" t="str">
            <v>Product</v>
          </cell>
          <cell r="C3" t="str">
            <v>Description</v>
          </cell>
          <cell r="D3" t="str">
            <v>Stage</v>
          </cell>
        </row>
        <row r="4">
          <cell r="A4" t="str">
            <v>Vertex</v>
          </cell>
          <cell r="B4" t="str">
            <v>VX-497</v>
          </cell>
          <cell r="C4" t="str">
            <v>IMDPH inhibitor</v>
          </cell>
          <cell r="D4" t="str">
            <v>Phase II</v>
          </cell>
        </row>
        <row r="5">
          <cell r="A5" t="str">
            <v>Johnson &amp; Johnson</v>
          </cell>
          <cell r="B5" t="str">
            <v>Prograf</v>
          </cell>
          <cell r="C5" t="str">
            <v>IL-2 antagonist</v>
          </cell>
          <cell r="D5" t="str">
            <v>Phase II</v>
          </cell>
        </row>
        <row r="6">
          <cell r="A6" t="str">
            <v>Bristol Meyers</v>
          </cell>
          <cell r="B6" t="str">
            <v>BMS-188667</v>
          </cell>
          <cell r="C6" t="str">
            <v>monoclonal antibody; CD28 antagonist</v>
          </cell>
          <cell r="D6" t="str">
            <v>Phase II</v>
          </cell>
        </row>
        <row r="7">
          <cell r="A7" t="str">
            <v>Xoma/Genentech</v>
          </cell>
          <cell r="B7" t="str">
            <v>hu1124</v>
          </cell>
          <cell r="C7" t="str">
            <v>humanized monoclonal antibody; CD11a antagonist</v>
          </cell>
          <cell r="D7" t="str">
            <v>Phase II</v>
          </cell>
        </row>
        <row r="8">
          <cell r="A8" t="str">
            <v>Ligand</v>
          </cell>
          <cell r="B8" t="str">
            <v>Ontak</v>
          </cell>
          <cell r="C8" t="str">
            <v>IL-2 fusion protein; IL-2 antagonist</v>
          </cell>
          <cell r="D8" t="str">
            <v>Phase II</v>
          </cell>
        </row>
        <row r="9">
          <cell r="A9" t="str">
            <v>Abgenix</v>
          </cell>
          <cell r="B9" t="str">
            <v>ABX-IL8</v>
          </cell>
          <cell r="C9" t="str">
            <v>human antibody; interleukin-8 antagonist</v>
          </cell>
          <cell r="D9" t="str">
            <v>Phase I/II</v>
          </cell>
        </row>
        <row r="10">
          <cell r="A10" t="str">
            <v>ICOS</v>
          </cell>
          <cell r="B10" t="str">
            <v>ICM3</v>
          </cell>
          <cell r="C10" t="str">
            <v>humanized monoclonal antibody; integrin (LFA-1, Alpha-D) antagonist</v>
          </cell>
          <cell r="D10" t="str">
            <v>Phase I/II</v>
          </cell>
        </row>
        <row r="11">
          <cell r="A11" t="str">
            <v>Protein Design Labs</v>
          </cell>
          <cell r="B11" t="str">
            <v>Zenapax</v>
          </cell>
          <cell r="C11" t="str">
            <v>humanized monoclonal antibody; IL-2 antagonist</v>
          </cell>
          <cell r="D11" t="str">
            <v>Phase I/II</v>
          </cell>
        </row>
        <row r="12">
          <cell r="A12" t="str">
            <v>MedImmune</v>
          </cell>
          <cell r="B12" t="str">
            <v>MEDI-507</v>
          </cell>
          <cell r="C12" t="str">
            <v>humanized monoclonal antibody; CD2 agonist</v>
          </cell>
          <cell r="D12" t="str">
            <v>Phase I</v>
          </cell>
        </row>
        <row r="13">
          <cell r="A13" t="str">
            <v>IDEC Pharmaceuticals</v>
          </cell>
          <cell r="B13" t="str">
            <v>anti-B7 antibody</v>
          </cell>
          <cell r="C13" t="str">
            <v>PRIMATIZED monoclonal antibody; B7 agonist</v>
          </cell>
          <cell r="D13" t="str">
            <v>Preclinical</v>
          </cell>
        </row>
      </sheetData>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rint Menu"/>
      <sheetName val="Input"/>
      <sheetName val="Coverage Univers (NEW RATINGS)"/>
      <sheetName val="Life Science Tools Valuation"/>
      <sheetName val="Spec. Distr Valuation"/>
      <sheetName val="Disclosure (w. ACDO)"/>
      <sheetName val="ROC"/>
      <sheetName val="Coverage Univers (w acdo)"/>
      <sheetName val="Reagents &amp; Tools"/>
      <sheetName val="Reagents"/>
      <sheetName val="Reagents (2)"/>
      <sheetName val="Tools"/>
      <sheetName val="STREET vs. Our estimates"/>
      <sheetName val="Distr "/>
      <sheetName val="Summary (3)"/>
      <sheetName val="Showcase"/>
      <sheetName val="Summary"/>
      <sheetName val="Summary2"/>
      <sheetName val="Summary (2)"/>
      <sheetName val="Coverage Univers"/>
      <sheetName val="Summary2 (2)"/>
      <sheetName val="NonProfitable_Sum"/>
      <sheetName val="NonProfitable_Sum2"/>
      <sheetName val="Profile - Profitable"/>
      <sheetName val="Profile - Profitable 2"/>
      <sheetName val="Profile - NonProfitable"/>
      <sheetName val="Profile - NonProfitable 2"/>
      <sheetName val="Val Input"/>
      <sheetName val="Price Matx"/>
      <sheetName val="Public Val1"/>
      <sheetName val="Public Val Calc"/>
      <sheetName val="Public Val2"/>
      <sheetName val="Public Grph1"/>
      <sheetName val="Public Grph2"/>
      <sheetName val="MA Val1"/>
      <sheetName val="MA Val Calc"/>
      <sheetName val="MA Val2"/>
      <sheetName val="MA Grph1"/>
      <sheetName val="MA Grph2"/>
      <sheetName val="Estm"/>
      <sheetName val="__FDSCACHE__"/>
      <sheetName val="Rev_Estm"/>
      <sheetName val="Rank Menu"/>
      <sheetName val="Macros"/>
      <sheetName val="Macro-Print"/>
      <sheetName val="Macro-Rank"/>
      <sheetName val="Rank1"/>
      <sheetName val="Rank2"/>
      <sheetName val="Rank3"/>
      <sheetName val="Rank4"/>
      <sheetName val="Rank Work"/>
      <sheetName val="Graph_Ranker_Main"/>
      <sheetName val="Graphs_1,2"/>
      <sheetName val="CheckWork"/>
    </sheetNames>
    <sheetDataSet>
      <sheetData sheetId="0" refreshError="1"/>
      <sheetData sheetId="1" refreshError="1"/>
      <sheetData sheetId="2" refreshError="1">
        <row r="6">
          <cell r="H6" t="str">
            <v>IVGN</v>
          </cell>
          <cell r="I6" t="str">
            <v>QGENF</v>
          </cell>
          <cell r="J6" t="str">
            <v>TECH</v>
          </cell>
          <cell r="K6" t="str">
            <v>BIO</v>
          </cell>
          <cell r="L6" t="str">
            <v>AFFX</v>
          </cell>
          <cell r="M6" t="str">
            <v>ABI</v>
          </cell>
          <cell r="N6" t="str">
            <v>MTD</v>
          </cell>
          <cell r="O6" t="str">
            <v>MDCC</v>
          </cell>
          <cell r="P6" t="str">
            <v>PKI</v>
          </cell>
          <cell r="Q6" t="str">
            <v>TMO</v>
          </cell>
          <cell r="R6" t="str">
            <v>VARI</v>
          </cell>
          <cell r="S6" t="str">
            <v>WAT</v>
          </cell>
          <cell r="U6" t="str">
            <v>VMSI</v>
          </cell>
          <cell r="V6" t="str">
            <v>ACDO</v>
          </cell>
          <cell r="W6" t="str">
            <v>IVGN</v>
          </cell>
          <cell r="X6" t="str">
            <v>MIL</v>
          </cell>
          <cell r="Y6" t="str">
            <v>PHCC</v>
          </cell>
          <cell r="AB6" t="str">
            <v>ABC</v>
          </cell>
          <cell r="AC6" t="str">
            <v>OMI</v>
          </cell>
          <cell r="AD6" t="str">
            <v>LOOKUP</v>
          </cell>
          <cell r="AE6" t="str">
            <v>PSSI</v>
          </cell>
          <cell r="AF6" t="str">
            <v>HSIC</v>
          </cell>
          <cell r="AG6" t="str">
            <v>SCOR</v>
          </cell>
          <cell r="AK6" t="str">
            <v>FSH</v>
          </cell>
          <cell r="AL6" t="str">
            <v>MCK</v>
          </cell>
          <cell r="AM6" t="str">
            <v>SIAL</v>
          </cell>
          <cell r="AN6" t="str">
            <v>CHMD</v>
          </cell>
          <cell r="AO6" t="str">
            <v>LOOKUP</v>
          </cell>
          <cell r="AR6" t="str">
            <v>PDCO</v>
          </cell>
          <cell r="AV6" t="str">
            <v>CAH</v>
          </cell>
        </row>
        <row r="7">
          <cell r="H7" t="str">
            <v>IVGN</v>
          </cell>
          <cell r="I7" t="str">
            <v>QGENF</v>
          </cell>
          <cell r="J7" t="str">
            <v>TECH</v>
          </cell>
          <cell r="K7" t="str">
            <v>BIO</v>
          </cell>
          <cell r="L7" t="str">
            <v>AFFX</v>
          </cell>
          <cell r="M7" t="str">
            <v>ABI</v>
          </cell>
          <cell r="N7" t="str">
            <v>MTD</v>
          </cell>
          <cell r="O7" t="str">
            <v>MDCC</v>
          </cell>
          <cell r="P7" t="str">
            <v>PKI</v>
          </cell>
          <cell r="Q7" t="str">
            <v>TMO</v>
          </cell>
          <cell r="R7" t="str">
            <v>VARI</v>
          </cell>
          <cell r="S7" t="str">
            <v>WAT</v>
          </cell>
          <cell r="U7" t="str">
            <v>VMSI</v>
          </cell>
          <cell r="V7" t="str">
            <v>ACDO</v>
          </cell>
          <cell r="W7" t="str">
            <v>IVGN</v>
          </cell>
          <cell r="X7" t="str">
            <v>MIL</v>
          </cell>
          <cell r="Y7" t="str">
            <v>PHCC</v>
          </cell>
          <cell r="Z7" t="str">
            <v>BBC</v>
          </cell>
          <cell r="AA7" t="str">
            <v>AAS</v>
          </cell>
          <cell r="AB7" t="str">
            <v>ABC</v>
          </cell>
          <cell r="AC7" t="str">
            <v>OMI</v>
          </cell>
          <cell r="AD7" t="str">
            <v>TICKER</v>
          </cell>
          <cell r="AE7" t="str">
            <v>PSSI</v>
          </cell>
          <cell r="AF7" t="str">
            <v>HSIC</v>
          </cell>
          <cell r="AG7" t="str">
            <v>SCOR</v>
          </cell>
          <cell r="AH7" t="str">
            <v>ACDO</v>
          </cell>
          <cell r="AI7" t="str">
            <v>GTIV</v>
          </cell>
          <cell r="AK7" t="str">
            <v>FSH</v>
          </cell>
          <cell r="AL7" t="str">
            <v>MCK</v>
          </cell>
          <cell r="AM7" t="str">
            <v>SIAL</v>
          </cell>
          <cell r="AN7" t="str">
            <v>CHMD</v>
          </cell>
          <cell r="AO7" t="str">
            <v>TICKER</v>
          </cell>
          <cell r="AP7" t="str">
            <v>PDCO</v>
          </cell>
          <cell r="AR7" t="str">
            <v>PDCO</v>
          </cell>
          <cell r="AS7" t="str">
            <v>SCOR</v>
          </cell>
          <cell r="AT7" t="str">
            <v>BLPG</v>
          </cell>
          <cell r="AU7" t="str">
            <v>CAH</v>
          </cell>
          <cell r="AV7" t="str">
            <v>CAH</v>
          </cell>
        </row>
        <row r="8">
          <cell r="H8" t="str">
            <v>Invitrogen</v>
          </cell>
          <cell r="I8" t="str">
            <v>QIAGEN NV</v>
          </cell>
          <cell r="J8" t="str">
            <v>TECHNE</v>
          </cell>
          <cell r="K8" t="str">
            <v>Bio-Rad Laboratories</v>
          </cell>
          <cell r="L8" t="str">
            <v>Affymetrix</v>
          </cell>
          <cell r="M8" t="str">
            <v>Applied Biosystems*</v>
          </cell>
          <cell r="N8" t="str">
            <v>Mettler Toledo*</v>
          </cell>
          <cell r="O8" t="str">
            <v>Molecular Devices*</v>
          </cell>
          <cell r="P8" t="str">
            <v>PerkinElmer</v>
          </cell>
          <cell r="Q8" t="str">
            <v>Thermo Electron</v>
          </cell>
          <cell r="R8" t="str">
            <v>Varian</v>
          </cell>
          <cell r="S8" t="str">
            <v>Waters*</v>
          </cell>
          <cell r="U8" t="str">
            <v>Ventana Medical Systems, Inc.</v>
          </cell>
          <cell r="V8" t="str">
            <v>Accredo Health, Inc.*</v>
          </cell>
          <cell r="W8" t="str">
            <v>Invitrogen Corporation</v>
          </cell>
          <cell r="X8" t="str">
            <v>Millipore Corporation</v>
          </cell>
          <cell r="Y8" t="str">
            <v>Priority Healthcare Corporation</v>
          </cell>
          <cell r="Z8" t="str">
            <v>Bergen Brunswig Corporation</v>
          </cell>
          <cell r="AA8" t="str">
            <v>AmeriSource Health Corporation</v>
          </cell>
          <cell r="AB8" t="str">
            <v>AmerisourceBergen Corporation</v>
          </cell>
          <cell r="AC8" t="str">
            <v>Owens &amp; Minor, Inc.</v>
          </cell>
          <cell r="AD8" t="str">
            <v>Full Name, Inc.</v>
          </cell>
          <cell r="AE8" t="str">
            <v>PSS World Medical, Inc.</v>
          </cell>
          <cell r="AF8" t="str">
            <v>Henry Schein, Inc.</v>
          </cell>
          <cell r="AG8" t="str">
            <v>Syncor International Corporation</v>
          </cell>
          <cell r="AH8" t="str">
            <v>Accredo Health, Incorporated</v>
          </cell>
          <cell r="AI8" t="str">
            <v>Gentiva Health Services, Inc.</v>
          </cell>
          <cell r="AK8" t="str">
            <v>Fisher Scientific International Inc.*</v>
          </cell>
          <cell r="AL8" t="str">
            <v>McKesson Corporation</v>
          </cell>
          <cell r="AM8" t="str">
            <v>Sigma-Aldrich Corp.</v>
          </cell>
          <cell r="AN8" t="str">
            <v>Chronimed Inc.</v>
          </cell>
          <cell r="AO8" t="str">
            <v>Full Name, Inc.</v>
          </cell>
          <cell r="AP8" t="str">
            <v>Patterson Dental Company</v>
          </cell>
          <cell r="AQ8" t="str">
            <v>Webster</v>
          </cell>
          <cell r="AR8" t="str">
            <v>Patterson Dental Company</v>
          </cell>
          <cell r="AS8" t="str">
            <v>Syncor International Corporation</v>
          </cell>
          <cell r="AT8" t="str">
            <v>Boron, LePore &amp; Associates, Inc.</v>
          </cell>
          <cell r="AU8" t="str">
            <v>Cardinal Health, Inc.</v>
          </cell>
          <cell r="AV8" t="str">
            <v>Cardinal Health, Inc.</v>
          </cell>
        </row>
        <row r="9">
          <cell r="H9" t="str">
            <v>Invitrogen</v>
          </cell>
          <cell r="I9" t="str">
            <v>QIAGEN NV</v>
          </cell>
          <cell r="J9" t="str">
            <v>TECHNE</v>
          </cell>
          <cell r="K9" t="str">
            <v>Bio-Rad Laboratories</v>
          </cell>
          <cell r="L9" t="str">
            <v>Affymetrix</v>
          </cell>
          <cell r="M9" t="str">
            <v>Applied Biosystems*</v>
          </cell>
          <cell r="N9" t="str">
            <v>Mettler Toledo*</v>
          </cell>
          <cell r="O9" t="str">
            <v>Molecular Devices*</v>
          </cell>
          <cell r="P9" t="str">
            <v>PerkinElmer</v>
          </cell>
          <cell r="Q9" t="str">
            <v>Thermo Electron</v>
          </cell>
          <cell r="R9" t="str">
            <v>Varian</v>
          </cell>
          <cell r="S9" t="str">
            <v>Waters*</v>
          </cell>
          <cell r="T9" t="str">
            <v>Fisher Scientific*</v>
          </cell>
          <cell r="U9" t="str">
            <v>Ventana Medical Systems, Inc.</v>
          </cell>
          <cell r="V9" t="str">
            <v>Accredo Health*</v>
          </cell>
          <cell r="W9" t="str">
            <v>Invitrogen</v>
          </cell>
          <cell r="X9" t="str">
            <v>Millipore</v>
          </cell>
          <cell r="Y9" t="str">
            <v>Priority Healthcare</v>
          </cell>
          <cell r="Z9" t="str">
            <v>Bergen Brunswig</v>
          </cell>
          <cell r="AA9" t="str">
            <v>AmeriSource</v>
          </cell>
          <cell r="AB9" t="str">
            <v>AmerisourceBergen</v>
          </cell>
          <cell r="AC9" t="str">
            <v>Owens &amp; Minor</v>
          </cell>
          <cell r="AD9" t="str">
            <v>Short Name</v>
          </cell>
          <cell r="AE9" t="str">
            <v>PSS World Medical, Inc.</v>
          </cell>
          <cell r="AF9" t="str">
            <v>Henry Schein</v>
          </cell>
          <cell r="AG9" t="str">
            <v>Syncor</v>
          </cell>
          <cell r="AH9" t="str">
            <v>Accredo</v>
          </cell>
          <cell r="AI9" t="str">
            <v>Gentiva</v>
          </cell>
          <cell r="AJ9" t="str">
            <v>Accredo*</v>
          </cell>
          <cell r="AK9" t="str">
            <v>Fisher Scientific*</v>
          </cell>
          <cell r="AL9" t="str">
            <v>McKesson Corporation</v>
          </cell>
          <cell r="AM9" t="str">
            <v>Sigma-Aldrich</v>
          </cell>
          <cell r="AN9" t="str">
            <v>Chronimed</v>
          </cell>
          <cell r="AO9" t="str">
            <v>Short Name</v>
          </cell>
          <cell r="AP9" t="str">
            <v>Patterson Dental</v>
          </cell>
          <cell r="AQ9" t="str">
            <v>Short Name</v>
          </cell>
          <cell r="AR9" t="str">
            <v>Patterson Dental</v>
          </cell>
          <cell r="AS9" t="str">
            <v>Syncor</v>
          </cell>
          <cell r="AT9" t="str">
            <v>Boron, LePore</v>
          </cell>
          <cell r="AU9" t="str">
            <v>Cardinal Health</v>
          </cell>
          <cell r="AV9" t="str">
            <v>Cardinal Health</v>
          </cell>
          <cell r="AW9" t="str">
            <v>Short Name</v>
          </cell>
          <cell r="AX9" t="str">
            <v>Short Name</v>
          </cell>
          <cell r="AY9" t="str">
            <v>Short Name</v>
          </cell>
          <cell r="AZ9" t="str">
            <v>Short Name</v>
          </cell>
          <cell r="BA9" t="str">
            <v>Short Name</v>
          </cell>
          <cell r="BB9" t="str">
            <v>Short Name</v>
          </cell>
          <cell r="BC9" t="str">
            <v>Short Name</v>
          </cell>
          <cell r="BD9" t="str">
            <v>Short Name</v>
          </cell>
          <cell r="BE9" t="str">
            <v>Short Name</v>
          </cell>
        </row>
        <row r="10">
          <cell r="H10">
            <v>37256</v>
          </cell>
          <cell r="I10">
            <v>37256</v>
          </cell>
          <cell r="J10">
            <v>37072</v>
          </cell>
          <cell r="K10">
            <v>37256</v>
          </cell>
          <cell r="L10">
            <v>37256</v>
          </cell>
          <cell r="M10">
            <v>37256</v>
          </cell>
          <cell r="N10">
            <v>37256</v>
          </cell>
          <cell r="O10">
            <v>37256</v>
          </cell>
          <cell r="P10">
            <v>37256</v>
          </cell>
          <cell r="Q10">
            <v>37256</v>
          </cell>
          <cell r="R10">
            <v>37256</v>
          </cell>
          <cell r="S10">
            <v>37256</v>
          </cell>
          <cell r="T10">
            <v>37256</v>
          </cell>
          <cell r="U10">
            <v>37256</v>
          </cell>
          <cell r="V10" t="str">
            <v>6/31/01</v>
          </cell>
          <cell r="W10">
            <v>37256</v>
          </cell>
          <cell r="X10">
            <v>36891</v>
          </cell>
          <cell r="Y10">
            <v>37254</v>
          </cell>
          <cell r="Z10">
            <v>36799</v>
          </cell>
          <cell r="AA10">
            <v>36799</v>
          </cell>
          <cell r="AB10">
            <v>37164</v>
          </cell>
          <cell r="AC10">
            <v>37256</v>
          </cell>
          <cell r="AD10">
            <v>36891</v>
          </cell>
          <cell r="AE10">
            <v>36980</v>
          </cell>
          <cell r="AF10">
            <v>37254</v>
          </cell>
          <cell r="AG10">
            <v>37256</v>
          </cell>
          <cell r="AH10">
            <v>36678</v>
          </cell>
          <cell r="AI10">
            <v>37256</v>
          </cell>
          <cell r="AJ10">
            <v>37072</v>
          </cell>
          <cell r="AK10">
            <v>37256</v>
          </cell>
          <cell r="AL10">
            <v>36981</v>
          </cell>
          <cell r="AM10">
            <v>37256</v>
          </cell>
          <cell r="AN10">
            <v>37071</v>
          </cell>
          <cell r="AO10">
            <v>36891</v>
          </cell>
          <cell r="AP10">
            <v>37009</v>
          </cell>
          <cell r="AQ10">
            <v>37009</v>
          </cell>
          <cell r="AR10">
            <v>37009</v>
          </cell>
          <cell r="AS10">
            <v>37256</v>
          </cell>
          <cell r="AT10">
            <v>37256</v>
          </cell>
          <cell r="AU10">
            <v>37072</v>
          </cell>
          <cell r="AV10">
            <v>37072</v>
          </cell>
          <cell r="AW10">
            <v>36891</v>
          </cell>
          <cell r="AX10">
            <v>36891</v>
          </cell>
          <cell r="AY10">
            <v>36891</v>
          </cell>
          <cell r="AZ10">
            <v>36891</v>
          </cell>
          <cell r="BA10">
            <v>36891</v>
          </cell>
          <cell r="BB10">
            <v>36891</v>
          </cell>
          <cell r="BC10">
            <v>36891</v>
          </cell>
          <cell r="BD10">
            <v>36891</v>
          </cell>
          <cell r="BE10">
            <v>36891</v>
          </cell>
        </row>
        <row r="11">
          <cell r="H11" t="str">
            <v>PAYTON</v>
          </cell>
          <cell r="I11" t="str">
            <v>PAYTON</v>
          </cell>
          <cell r="J11" t="str">
            <v>PAYTON</v>
          </cell>
          <cell r="K11" t="str">
            <v>PAYTON</v>
          </cell>
          <cell r="L11" t="str">
            <v>PAYTON</v>
          </cell>
          <cell r="M11" t="str">
            <v>PAYTON</v>
          </cell>
          <cell r="N11" t="str">
            <v>PAYTON</v>
          </cell>
          <cell r="O11" t="str">
            <v>PAYTON</v>
          </cell>
          <cell r="P11" t="str">
            <v>PAYTON</v>
          </cell>
          <cell r="Q11" t="str">
            <v>PAYTON</v>
          </cell>
          <cell r="R11" t="str">
            <v>PAYTON</v>
          </cell>
          <cell r="S11" t="str">
            <v>PAYTON</v>
          </cell>
          <cell r="T11" t="str">
            <v>PAYTON</v>
          </cell>
          <cell r="U11" t="str">
            <v>Trap</v>
          </cell>
          <cell r="V11" t="str">
            <v>PAYTON</v>
          </cell>
          <cell r="W11" t="str">
            <v>Kaitlin</v>
          </cell>
          <cell r="X11" t="str">
            <v>Stanwick</v>
          </cell>
          <cell r="Y11" t="str">
            <v>Michael Min</v>
          </cell>
          <cell r="AB11" t="str">
            <v>Francesca</v>
          </cell>
          <cell r="AC11" t="str">
            <v>Francesca</v>
          </cell>
          <cell r="AD11" t="str">
            <v>Name</v>
          </cell>
          <cell r="AE11" t="str">
            <v>Michael Min</v>
          </cell>
          <cell r="AF11" t="str">
            <v>Dun</v>
          </cell>
          <cell r="AG11" t="str">
            <v>Michael Min</v>
          </cell>
          <cell r="AH11" t="str">
            <v>Francesca</v>
          </cell>
          <cell r="AJ11" t="str">
            <v>Francesca</v>
          </cell>
          <cell r="AK11" t="str">
            <v>Payton</v>
          </cell>
          <cell r="AL11" t="str">
            <v>Dun</v>
          </cell>
          <cell r="AM11" t="str">
            <v>Wilson</v>
          </cell>
          <cell r="AN11" t="str">
            <v>Payton</v>
          </cell>
          <cell r="AO11" t="str">
            <v>Name</v>
          </cell>
          <cell r="AP11" t="str">
            <v>PAYTON</v>
          </cell>
          <cell r="AQ11" t="str">
            <v>PAYTON</v>
          </cell>
          <cell r="AR11" t="str">
            <v>Michael Min</v>
          </cell>
          <cell r="AS11" t="str">
            <v>Francesca</v>
          </cell>
          <cell r="AT11" t="str">
            <v>Francesca</v>
          </cell>
          <cell r="AU11" t="str">
            <v>Francesca</v>
          </cell>
          <cell r="AV11" t="str">
            <v>Francesca</v>
          </cell>
          <cell r="AW11" t="str">
            <v>Name</v>
          </cell>
          <cell r="AX11" t="str">
            <v>Name</v>
          </cell>
          <cell r="AY11" t="str">
            <v>Name</v>
          </cell>
          <cell r="AZ11" t="str">
            <v>Name</v>
          </cell>
          <cell r="BA11" t="str">
            <v>Name</v>
          </cell>
          <cell r="BB11" t="str">
            <v>Name</v>
          </cell>
          <cell r="BC11" t="str">
            <v>Name</v>
          </cell>
          <cell r="BD11" t="str">
            <v>Name</v>
          </cell>
          <cell r="BE11" t="str">
            <v>Name</v>
          </cell>
        </row>
        <row r="12">
          <cell r="H12" t="str">
            <v>Y</v>
          </cell>
          <cell r="I12" t="str">
            <v>Y</v>
          </cell>
          <cell r="J12" t="str">
            <v>Y</v>
          </cell>
          <cell r="K12" t="str">
            <v>Y</v>
          </cell>
          <cell r="L12" t="str">
            <v>Y</v>
          </cell>
          <cell r="M12" t="str">
            <v>Y</v>
          </cell>
          <cell r="N12" t="str">
            <v>Y</v>
          </cell>
          <cell r="O12" t="str">
            <v>Y</v>
          </cell>
          <cell r="P12" t="str">
            <v>Y</v>
          </cell>
          <cell r="Q12" t="str">
            <v>Y</v>
          </cell>
          <cell r="R12" t="str">
            <v>Y</v>
          </cell>
          <cell r="S12" t="str">
            <v>Y</v>
          </cell>
          <cell r="T12" t="str">
            <v>Y</v>
          </cell>
          <cell r="U12" t="str">
            <v>Y</v>
          </cell>
          <cell r="V12" t="str">
            <v>Y</v>
          </cell>
          <cell r="W12" t="str">
            <v>Y</v>
          </cell>
          <cell r="X12" t="str">
            <v>Y</v>
          </cell>
          <cell r="Y12" t="str">
            <v>Y</v>
          </cell>
          <cell r="Z12" t="str">
            <v>Y</v>
          </cell>
          <cell r="AA12" t="str">
            <v>Y</v>
          </cell>
          <cell r="AB12" t="str">
            <v>Y</v>
          </cell>
          <cell r="AC12" t="str">
            <v>Y</v>
          </cell>
          <cell r="AD12" t="str">
            <v>Y</v>
          </cell>
          <cell r="AE12" t="str">
            <v>Y</v>
          </cell>
          <cell r="AF12" t="str">
            <v>Y</v>
          </cell>
          <cell r="AG12" t="str">
            <v>Y</v>
          </cell>
          <cell r="AH12" t="str">
            <v>Y</v>
          </cell>
          <cell r="AI12" t="str">
            <v>Y</v>
          </cell>
          <cell r="AJ12" t="str">
            <v>Y</v>
          </cell>
          <cell r="AK12" t="str">
            <v>Y</v>
          </cell>
          <cell r="AL12" t="str">
            <v>Y</v>
          </cell>
          <cell r="AM12" t="str">
            <v>Y</v>
          </cell>
          <cell r="AN12" t="str">
            <v>Y</v>
          </cell>
          <cell r="AO12" t="str">
            <v>Y</v>
          </cell>
          <cell r="AP12" t="str">
            <v>Y</v>
          </cell>
          <cell r="AQ12" t="str">
            <v>Y</v>
          </cell>
          <cell r="AR12" t="str">
            <v>Y</v>
          </cell>
          <cell r="AS12" t="str">
            <v>Y</v>
          </cell>
          <cell r="AT12" t="str">
            <v>Y</v>
          </cell>
          <cell r="AU12" t="str">
            <v>Y</v>
          </cell>
          <cell r="AV12" t="str">
            <v>Y</v>
          </cell>
          <cell r="AW12" t="str">
            <v>Y</v>
          </cell>
          <cell r="AX12" t="str">
            <v>Y</v>
          </cell>
          <cell r="AY12" t="str">
            <v>Y</v>
          </cell>
          <cell r="AZ12" t="str">
            <v>Y</v>
          </cell>
          <cell r="BA12" t="str">
            <v>Y</v>
          </cell>
          <cell r="BB12" t="str">
            <v>Y</v>
          </cell>
          <cell r="BC12" t="str">
            <v>Y</v>
          </cell>
          <cell r="BD12" t="str">
            <v>Y</v>
          </cell>
          <cell r="BE12" t="str">
            <v>Y</v>
          </cell>
        </row>
        <row r="13">
          <cell r="W13">
            <v>37207</v>
          </cell>
          <cell r="X13">
            <v>36891</v>
          </cell>
          <cell r="Y13">
            <v>37399</v>
          </cell>
          <cell r="AB13">
            <v>37393</v>
          </cell>
          <cell r="AC13">
            <v>37393</v>
          </cell>
          <cell r="AD13">
            <v>36891</v>
          </cell>
          <cell r="AE13">
            <v>37346</v>
          </cell>
          <cell r="AF13">
            <v>37393</v>
          </cell>
          <cell r="AG13">
            <v>37399</v>
          </cell>
          <cell r="AH13">
            <v>37347</v>
          </cell>
          <cell r="AJ13">
            <v>37393</v>
          </cell>
          <cell r="AK13">
            <v>37215</v>
          </cell>
          <cell r="AL13">
            <v>37341</v>
          </cell>
          <cell r="AM13">
            <v>37349</v>
          </cell>
          <cell r="AN13">
            <v>37207</v>
          </cell>
          <cell r="AO13">
            <v>36891</v>
          </cell>
          <cell r="AP13">
            <v>37089</v>
          </cell>
          <cell r="AQ13">
            <v>37089</v>
          </cell>
          <cell r="AR13">
            <v>37346</v>
          </cell>
          <cell r="AS13">
            <v>37427</v>
          </cell>
          <cell r="AT13">
            <v>37413</v>
          </cell>
          <cell r="AU13">
            <v>37393</v>
          </cell>
          <cell r="AV13">
            <v>37413</v>
          </cell>
          <cell r="AW13">
            <v>36891</v>
          </cell>
          <cell r="AX13">
            <v>36891</v>
          </cell>
          <cell r="AY13">
            <v>36891</v>
          </cell>
          <cell r="AZ13">
            <v>36891</v>
          </cell>
          <cell r="BA13">
            <v>36891</v>
          </cell>
          <cell r="BB13">
            <v>36891</v>
          </cell>
          <cell r="BC13">
            <v>36891</v>
          </cell>
          <cell r="BD13">
            <v>36891</v>
          </cell>
          <cell r="BE13">
            <v>36891</v>
          </cell>
        </row>
        <row r="14">
          <cell r="Y14" t="str">
            <v>JWT</v>
          </cell>
          <cell r="AB14" t="str">
            <v>JWT</v>
          </cell>
          <cell r="AC14" t="str">
            <v>JWT</v>
          </cell>
          <cell r="AE14" t="str">
            <v>JWT</v>
          </cell>
          <cell r="AF14" t="str">
            <v>JWT</v>
          </cell>
          <cell r="AG14" t="str">
            <v>JWT</v>
          </cell>
          <cell r="AJ14" t="str">
            <v>JWT</v>
          </cell>
          <cell r="AK14" t="str">
            <v>JWT</v>
          </cell>
          <cell r="AL14" t="str">
            <v>JWT</v>
          </cell>
          <cell r="AM14" t="str">
            <v>OZ</v>
          </cell>
          <cell r="AN14" t="str">
            <v>NO</v>
          </cell>
          <cell r="AP14" t="str">
            <v>JWT</v>
          </cell>
          <cell r="AQ14" t="str">
            <v>JWT</v>
          </cell>
          <cell r="AR14" t="str">
            <v>JWT</v>
          </cell>
          <cell r="AV14" t="str">
            <v>JWT</v>
          </cell>
        </row>
        <row r="15">
          <cell r="H15" t="str">
            <v>Lab products</v>
          </cell>
          <cell r="I15" t="str">
            <v>Lab products</v>
          </cell>
          <cell r="J15" t="str">
            <v>Lab products</v>
          </cell>
          <cell r="K15" t="str">
            <v>Lab products</v>
          </cell>
          <cell r="L15" t="str">
            <v>Lab products</v>
          </cell>
          <cell r="M15" t="str">
            <v>Lab products</v>
          </cell>
          <cell r="N15" t="str">
            <v>Company Description</v>
          </cell>
          <cell r="O15" t="str">
            <v>Lab products</v>
          </cell>
          <cell r="P15" t="str">
            <v>Lab products</v>
          </cell>
          <cell r="Q15" t="str">
            <v>Lab products</v>
          </cell>
          <cell r="R15" t="str">
            <v>Lab products</v>
          </cell>
          <cell r="S15" t="str">
            <v>Lab products</v>
          </cell>
          <cell r="T15" t="str">
            <v>Lab products</v>
          </cell>
          <cell r="U15" t="str">
            <v>Lab products</v>
          </cell>
          <cell r="V15" t="str">
            <v>Lab products</v>
          </cell>
          <cell r="W15" t="str">
            <v>Lab products</v>
          </cell>
          <cell r="X15" t="str">
            <v>Lab products</v>
          </cell>
          <cell r="Z15" t="str">
            <v>Warehouse adjusted</v>
          </cell>
          <cell r="AA15" t="str">
            <v xml:space="preserve"> </v>
          </cell>
          <cell r="AD15" t="str">
            <v>Company Description</v>
          </cell>
          <cell r="AE15" t="str">
            <v xml:space="preserve"> </v>
          </cell>
          <cell r="AK15" t="str">
            <v xml:space="preserve"> </v>
          </cell>
          <cell r="AM15" t="str">
            <v>Lab products</v>
          </cell>
          <cell r="AN15" t="str">
            <v>No warehouse disclosure</v>
          </cell>
          <cell r="AO15" t="str">
            <v>Company Description</v>
          </cell>
          <cell r="AP15" t="str">
            <v>Dental supply distributors</v>
          </cell>
          <cell r="AQ15" t="str">
            <v>Veterinary supplies distributors</v>
          </cell>
          <cell r="AR15" t="str">
            <v>Dental supply distributors</v>
          </cell>
          <cell r="AW15" t="str">
            <v>Company Description</v>
          </cell>
          <cell r="AX15" t="str">
            <v>Company Description</v>
          </cell>
          <cell r="AY15" t="str">
            <v>Company Description</v>
          </cell>
          <cell r="AZ15" t="str">
            <v>Company Description</v>
          </cell>
          <cell r="BA15" t="str">
            <v>Company Description</v>
          </cell>
          <cell r="BB15" t="str">
            <v>Company Description</v>
          </cell>
          <cell r="BC15" t="str">
            <v>Company Description</v>
          </cell>
          <cell r="BD15" t="str">
            <v>Company Description</v>
          </cell>
          <cell r="BE15" t="str">
            <v>Company Description</v>
          </cell>
        </row>
        <row r="16">
          <cell r="H16" t="str">
            <v>notes</v>
          </cell>
          <cell r="I16" t="str">
            <v>notes</v>
          </cell>
          <cell r="J16" t="str">
            <v>notes</v>
          </cell>
          <cell r="K16" t="str">
            <v>notes</v>
          </cell>
          <cell r="L16" t="str">
            <v>notes</v>
          </cell>
          <cell r="M16" t="str">
            <v>notes</v>
          </cell>
          <cell r="N16" t="str">
            <v>notes</v>
          </cell>
          <cell r="O16" t="str">
            <v>LTM EPS and proj. EPS are trending correctly per IBES.</v>
          </cell>
          <cell r="P16" t="str">
            <v>Not PF for acquisition of the Filtration and Separtions business, NS</v>
          </cell>
          <cell r="Q16" t="str">
            <v>Not proforma for acquisitions in 2001 b/c it's not material</v>
          </cell>
          <cell r="R16" t="str">
            <v>Engaged in share repurchase program by issuing additional debt; check news for adjustments</v>
          </cell>
          <cell r="S16" t="str">
            <v>notes</v>
          </cell>
          <cell r="T16" t="str">
            <v>notes</v>
          </cell>
          <cell r="U16" t="str">
            <v>notes</v>
          </cell>
          <cell r="W16" t="str">
            <v>pro forma for Dexter purchase on 9/00 - PLEASE NOTE ASSUMPTIONS</v>
          </cell>
          <cell r="X16" t="str">
            <v>Pro forma for IPO spinoff of sub-division</v>
          </cell>
          <cell r="Y16" t="str">
            <v>notes</v>
          </cell>
          <cell r="Z16" t="str">
            <v>notes</v>
          </cell>
          <cell r="AA16" t="str">
            <v>notes</v>
          </cell>
          <cell r="AB16" t="str">
            <v>PRO FORMA FOR BBC ACQUISITION 3/19/01</v>
          </cell>
          <cell r="AC16" t="str">
            <v>notes</v>
          </cell>
          <cell r="AD16" t="str">
            <v>notes</v>
          </cell>
          <cell r="AE16" t="str">
            <v>notes</v>
          </cell>
          <cell r="AF16" t="str">
            <v>notes</v>
          </cell>
          <cell r="AH16" t="str">
            <v>notes</v>
          </cell>
          <cell r="AI16" t="str">
            <v>notes</v>
          </cell>
          <cell r="AJ16" t="str">
            <v>notes</v>
          </cell>
          <cell r="AK16" t="str">
            <v>Note</v>
          </cell>
          <cell r="AL16" t="str">
            <v>Pro forma for the $400 million debt offering on Jan. 29 2002</v>
          </cell>
          <cell r="AM16" t="str">
            <v>Engaged in share repurchase program by issuing additional debt; check news for adjustments</v>
          </cell>
          <cell r="AN16" t="str">
            <v>PF for diagnostic product spinoff effective 6/30/00 and Home Services Medical subsidiary</v>
          </cell>
          <cell r="AO16" t="str">
            <v>notes</v>
          </cell>
          <cell r="AP16" t="str">
            <v>Pro forma for acquisition of Webster</v>
          </cell>
          <cell r="AS16" t="str">
            <v>notes</v>
          </cell>
          <cell r="AT16" t="str">
            <v>notes</v>
          </cell>
          <cell r="AU16" t="str">
            <v>notes</v>
          </cell>
          <cell r="AW16" t="str">
            <v>notes</v>
          </cell>
          <cell r="AX16" t="str">
            <v>notes</v>
          </cell>
          <cell r="AY16" t="str">
            <v>notes</v>
          </cell>
          <cell r="AZ16" t="str">
            <v>notes</v>
          </cell>
          <cell r="BA16" t="str">
            <v>notes</v>
          </cell>
          <cell r="BB16" t="str">
            <v>notes</v>
          </cell>
          <cell r="BC16" t="str">
            <v>notes</v>
          </cell>
          <cell r="BD16" t="str">
            <v>notes</v>
          </cell>
          <cell r="BE16" t="str">
            <v>notes</v>
          </cell>
        </row>
        <row r="17">
          <cell r="S17" t="str">
            <v xml:space="preserve"> </v>
          </cell>
          <cell r="W17" t="str">
            <v>EXCLUDES AMORTIZATION to match Wall Street research</v>
          </cell>
          <cell r="X17" t="str">
            <v>Decreasing EPS is consistent with IBES estimates for 2000/LTM to 2001</v>
          </cell>
        </row>
        <row r="19">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7.4999999999999997E-2</v>
          </cell>
          <cell r="Z19">
            <v>8.5000000000000006E-2</v>
          </cell>
          <cell r="AA19">
            <v>0</v>
          </cell>
          <cell r="AB19">
            <v>7.0000000000000007E-2</v>
          </cell>
          <cell r="AC19">
            <v>0.08</v>
          </cell>
          <cell r="AD19">
            <v>8.5000000000000006E-2</v>
          </cell>
          <cell r="AE19">
            <v>8.5000000000000006E-2</v>
          </cell>
          <cell r="AF19">
            <v>6.5000000000000002E-2</v>
          </cell>
          <cell r="AG19">
            <v>0</v>
          </cell>
          <cell r="AH19">
            <v>0.08</v>
          </cell>
          <cell r="AI19">
            <v>8.5000000000000006E-2</v>
          </cell>
          <cell r="AJ19">
            <v>0.08</v>
          </cell>
          <cell r="AK19">
            <v>0.08</v>
          </cell>
          <cell r="AL19">
            <v>6.5000000000000002E-2</v>
          </cell>
          <cell r="AM19">
            <v>0</v>
          </cell>
          <cell r="AN19">
            <v>8.5000000000000006E-2</v>
          </cell>
          <cell r="AO19">
            <v>8.5000000000000006E-2</v>
          </cell>
          <cell r="AP19">
            <v>0.09</v>
          </cell>
          <cell r="AQ19">
            <v>8.5000000000000006E-2</v>
          </cell>
          <cell r="AR19">
            <v>7.4999999999999997E-2</v>
          </cell>
          <cell r="AS19">
            <v>8.5000000000000006E-2</v>
          </cell>
          <cell r="AT19">
            <v>8.5000000000000006E-2</v>
          </cell>
          <cell r="AU19">
            <v>6.5000000000000002E-2</v>
          </cell>
          <cell r="AV19">
            <v>6.5000000000000002E-2</v>
          </cell>
          <cell r="AW19">
            <v>0</v>
          </cell>
          <cell r="AX19">
            <v>0</v>
          </cell>
          <cell r="AY19">
            <v>0</v>
          </cell>
          <cell r="AZ19">
            <v>0</v>
          </cell>
          <cell r="BA19">
            <v>0</v>
          </cell>
          <cell r="BB19">
            <v>0</v>
          </cell>
          <cell r="BC19">
            <v>0</v>
          </cell>
          <cell r="BD19">
            <v>0</v>
          </cell>
          <cell r="BE19">
            <v>0</v>
          </cell>
        </row>
        <row r="20">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2.5000000000000001E-2</v>
          </cell>
          <cell r="Z20">
            <v>2.5000000000000001E-2</v>
          </cell>
          <cell r="AA20">
            <v>2.5000000000000001E-2</v>
          </cell>
          <cell r="AB20">
            <v>2.5000000000000001E-2</v>
          </cell>
          <cell r="AC20">
            <v>2.5000000000000001E-2</v>
          </cell>
          <cell r="AD20">
            <v>2.5000000000000001E-2</v>
          </cell>
          <cell r="AE20">
            <v>2.5000000000000001E-2</v>
          </cell>
          <cell r="AF20">
            <v>2.5000000000000001E-2</v>
          </cell>
          <cell r="AG20">
            <v>0</v>
          </cell>
          <cell r="AH20">
            <v>2.5000000000000001E-2</v>
          </cell>
          <cell r="AI20">
            <v>2.5000000000000001E-2</v>
          </cell>
          <cell r="AJ20">
            <v>2.5000000000000001E-2</v>
          </cell>
          <cell r="AK20">
            <v>2.5000000000000001E-2</v>
          </cell>
          <cell r="AL20">
            <v>2.5000000000000001E-2</v>
          </cell>
          <cell r="AM20">
            <v>0</v>
          </cell>
          <cell r="AN20">
            <v>2.5000000000000001E-2</v>
          </cell>
          <cell r="AO20">
            <v>2.5000000000000001E-2</v>
          </cell>
          <cell r="AP20">
            <v>2.5000000000000001E-2</v>
          </cell>
          <cell r="AQ20">
            <v>2.5000000000000001E-2</v>
          </cell>
          <cell r="AR20">
            <v>2.5000000000000001E-2</v>
          </cell>
          <cell r="AS20">
            <v>2.5000000000000001E-2</v>
          </cell>
          <cell r="AT20">
            <v>2.5000000000000001E-2</v>
          </cell>
          <cell r="AU20">
            <v>2.5000000000000001E-2</v>
          </cell>
          <cell r="AV20">
            <v>2.5000000000000001E-2</v>
          </cell>
          <cell r="AW20">
            <v>0</v>
          </cell>
          <cell r="AX20">
            <v>0</v>
          </cell>
          <cell r="AY20">
            <v>0</v>
          </cell>
          <cell r="AZ20">
            <v>0</v>
          </cell>
          <cell r="BA20">
            <v>0</v>
          </cell>
          <cell r="BB20">
            <v>0</v>
          </cell>
          <cell r="BC20">
            <v>0</v>
          </cell>
          <cell r="BD20">
            <v>0</v>
          </cell>
          <cell r="BE20">
            <v>0</v>
          </cell>
        </row>
        <row r="21">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1</v>
          </cell>
          <cell r="Z21">
            <v>1</v>
          </cell>
          <cell r="AA21">
            <v>0</v>
          </cell>
          <cell r="AB21">
            <v>1</v>
          </cell>
          <cell r="AC21">
            <v>1</v>
          </cell>
          <cell r="AD21">
            <v>1</v>
          </cell>
          <cell r="AE21">
            <v>1</v>
          </cell>
          <cell r="AF21">
            <v>1</v>
          </cell>
          <cell r="AG21">
            <v>0</v>
          </cell>
          <cell r="AH21">
            <v>1</v>
          </cell>
          <cell r="AI21">
            <v>1</v>
          </cell>
          <cell r="AJ21">
            <v>1</v>
          </cell>
          <cell r="AK21">
            <v>1</v>
          </cell>
          <cell r="AL21">
            <v>1</v>
          </cell>
          <cell r="AM21">
            <v>0</v>
          </cell>
          <cell r="AN21">
            <v>1</v>
          </cell>
          <cell r="AO21">
            <v>1</v>
          </cell>
          <cell r="AP21">
            <v>20</v>
          </cell>
          <cell r="AQ21">
            <v>1</v>
          </cell>
          <cell r="AR21">
            <v>1</v>
          </cell>
          <cell r="AS21">
            <v>1</v>
          </cell>
          <cell r="AT21">
            <v>1</v>
          </cell>
          <cell r="AU21">
            <v>1</v>
          </cell>
          <cell r="AV21">
            <v>1</v>
          </cell>
          <cell r="AW21">
            <v>0</v>
          </cell>
          <cell r="AX21">
            <v>0</v>
          </cell>
          <cell r="AY21">
            <v>0</v>
          </cell>
          <cell r="AZ21">
            <v>0</v>
          </cell>
          <cell r="BA21">
            <v>0</v>
          </cell>
          <cell r="BB21">
            <v>0</v>
          </cell>
          <cell r="BC21">
            <v>0</v>
          </cell>
          <cell r="BD21">
            <v>0</v>
          </cell>
          <cell r="BE21">
            <v>0</v>
          </cell>
        </row>
        <row r="22">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20</v>
          </cell>
          <cell r="Z22">
            <v>20</v>
          </cell>
          <cell r="AA22">
            <v>0</v>
          </cell>
          <cell r="AB22">
            <v>20</v>
          </cell>
          <cell r="AC22">
            <v>20</v>
          </cell>
          <cell r="AD22">
            <v>20</v>
          </cell>
          <cell r="AE22">
            <v>20</v>
          </cell>
          <cell r="AF22">
            <v>20</v>
          </cell>
          <cell r="AG22">
            <v>0</v>
          </cell>
          <cell r="AH22">
            <v>20</v>
          </cell>
          <cell r="AI22">
            <v>20</v>
          </cell>
          <cell r="AJ22">
            <v>20</v>
          </cell>
          <cell r="AK22">
            <v>20</v>
          </cell>
          <cell r="AL22">
            <v>20</v>
          </cell>
          <cell r="AM22">
            <v>0</v>
          </cell>
          <cell r="AN22">
            <v>20</v>
          </cell>
          <cell r="AO22">
            <v>20</v>
          </cell>
          <cell r="AP22">
            <v>0</v>
          </cell>
          <cell r="AQ22">
            <v>20</v>
          </cell>
          <cell r="AR22">
            <v>20</v>
          </cell>
          <cell r="AS22">
            <v>20</v>
          </cell>
          <cell r="AT22">
            <v>20</v>
          </cell>
          <cell r="AU22">
            <v>20</v>
          </cell>
          <cell r="AV22">
            <v>20</v>
          </cell>
          <cell r="AW22">
            <v>0</v>
          </cell>
          <cell r="AX22">
            <v>0</v>
          </cell>
          <cell r="AY22">
            <v>0</v>
          </cell>
          <cell r="AZ22">
            <v>0</v>
          </cell>
          <cell r="BA22">
            <v>0</v>
          </cell>
          <cell r="BB22">
            <v>0</v>
          </cell>
          <cell r="BC22">
            <v>0</v>
          </cell>
          <cell r="BD22">
            <v>0</v>
          </cell>
          <cell r="BE22">
            <v>0</v>
          </cell>
        </row>
        <row r="23">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0.4</v>
          </cell>
          <cell r="Z23">
            <v>0.4</v>
          </cell>
          <cell r="AA23">
            <v>0</v>
          </cell>
          <cell r="AB23">
            <v>0.4</v>
          </cell>
          <cell r="AC23">
            <v>0.4</v>
          </cell>
          <cell r="AD23">
            <v>0.4</v>
          </cell>
          <cell r="AE23">
            <v>0.4</v>
          </cell>
          <cell r="AF23">
            <v>0.4</v>
          </cell>
          <cell r="AG23">
            <v>0</v>
          </cell>
          <cell r="AH23">
            <v>0.4</v>
          </cell>
          <cell r="AI23">
            <v>0.4</v>
          </cell>
          <cell r="AJ23">
            <v>0.4</v>
          </cell>
          <cell r="AK23">
            <v>0.4</v>
          </cell>
          <cell r="AL23">
            <v>0.4</v>
          </cell>
          <cell r="AM23">
            <v>0</v>
          </cell>
          <cell r="AN23">
            <v>0.4</v>
          </cell>
          <cell r="AO23">
            <v>0.4</v>
          </cell>
          <cell r="AP23">
            <v>0</v>
          </cell>
          <cell r="AQ23">
            <v>0.4</v>
          </cell>
          <cell r="AR23">
            <v>0.4</v>
          </cell>
          <cell r="AS23">
            <v>0.4</v>
          </cell>
          <cell r="AT23">
            <v>0.4</v>
          </cell>
          <cell r="AU23">
            <v>0.4</v>
          </cell>
          <cell r="AV23">
            <v>0.4</v>
          </cell>
          <cell r="AW23">
            <v>0</v>
          </cell>
          <cell r="AX23">
            <v>0</v>
          </cell>
          <cell r="AY23">
            <v>0</v>
          </cell>
          <cell r="AZ23">
            <v>0</v>
          </cell>
          <cell r="BA23">
            <v>0</v>
          </cell>
          <cell r="BB23">
            <v>0</v>
          </cell>
          <cell r="BC23">
            <v>0</v>
          </cell>
          <cell r="BD23">
            <v>0</v>
          </cell>
          <cell r="BE23">
            <v>0</v>
          </cell>
        </row>
        <row r="24">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row>
        <row r="25">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row>
        <row r="27">
          <cell r="V27">
            <v>1000</v>
          </cell>
        </row>
        <row r="30">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row>
        <row r="31">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row>
        <row r="32">
          <cell r="H32" t="str">
            <v>MODEL</v>
          </cell>
          <cell r="I32">
            <v>37437</v>
          </cell>
          <cell r="J32">
            <v>37437</v>
          </cell>
          <cell r="L32">
            <v>37437</v>
          </cell>
          <cell r="P32">
            <v>37437</v>
          </cell>
          <cell r="Q32">
            <v>37437</v>
          </cell>
          <cell r="R32">
            <v>37437</v>
          </cell>
        </row>
        <row r="33">
          <cell r="J33" t="str">
            <v>MODEL</v>
          </cell>
          <cell r="L33" t="str">
            <v>PRESS RELEASE</v>
          </cell>
          <cell r="P33" t="str">
            <v>PRESS RELEASE</v>
          </cell>
          <cell r="Q33" t="str">
            <v>PRESS RELEASE</v>
          </cell>
          <cell r="R33" t="str">
            <v>PRESS RELEASE</v>
          </cell>
        </row>
        <row r="34">
          <cell r="H34">
            <v>37256</v>
          </cell>
          <cell r="I34">
            <v>37256</v>
          </cell>
          <cell r="J34">
            <v>37437</v>
          </cell>
          <cell r="K34">
            <v>37256</v>
          </cell>
          <cell r="L34">
            <v>37256</v>
          </cell>
          <cell r="M34">
            <v>37256</v>
          </cell>
          <cell r="N34">
            <v>37256</v>
          </cell>
          <cell r="O34">
            <v>37256</v>
          </cell>
          <cell r="P34">
            <v>37256</v>
          </cell>
          <cell r="Q34">
            <v>37256</v>
          </cell>
          <cell r="R34">
            <v>37256</v>
          </cell>
          <cell r="S34">
            <v>37256</v>
          </cell>
          <cell r="T34">
            <v>37256</v>
          </cell>
          <cell r="U34">
            <v>37256</v>
          </cell>
          <cell r="V34">
            <v>37437</v>
          </cell>
          <cell r="W34">
            <v>37256</v>
          </cell>
          <cell r="X34">
            <v>37256</v>
          </cell>
          <cell r="Y34">
            <v>37345</v>
          </cell>
          <cell r="AB34">
            <v>37346</v>
          </cell>
          <cell r="AC34">
            <v>37346</v>
          </cell>
          <cell r="AD34">
            <v>36891</v>
          </cell>
          <cell r="AE34">
            <v>37253</v>
          </cell>
          <cell r="AF34">
            <v>37345</v>
          </cell>
          <cell r="AG34">
            <v>37346</v>
          </cell>
          <cell r="AJ34">
            <v>37256</v>
          </cell>
          <cell r="AK34">
            <v>37437</v>
          </cell>
          <cell r="AL34">
            <v>37256</v>
          </cell>
          <cell r="AM34">
            <v>37256</v>
          </cell>
          <cell r="AN34">
            <v>37162</v>
          </cell>
          <cell r="AO34">
            <v>36891</v>
          </cell>
          <cell r="AP34">
            <v>37009</v>
          </cell>
          <cell r="AQ34">
            <v>37009</v>
          </cell>
          <cell r="AR34">
            <v>37434</v>
          </cell>
          <cell r="AV34">
            <v>37346</v>
          </cell>
          <cell r="AW34">
            <v>36891</v>
          </cell>
          <cell r="AX34">
            <v>36891</v>
          </cell>
          <cell r="AY34">
            <v>36891</v>
          </cell>
          <cell r="AZ34">
            <v>36891</v>
          </cell>
          <cell r="BA34">
            <v>36891</v>
          </cell>
          <cell r="BB34">
            <v>36891</v>
          </cell>
          <cell r="BC34">
            <v>36891</v>
          </cell>
          <cell r="BD34">
            <v>36891</v>
          </cell>
          <cell r="BE34">
            <v>36891</v>
          </cell>
        </row>
        <row r="36">
          <cell r="Q36" t="str">
            <v xml:space="preserve">GAAP </v>
          </cell>
          <cell r="AJ36">
            <v>27145.618999999999</v>
          </cell>
        </row>
        <row r="37">
          <cell r="Q37" t="str">
            <v>REPORTED</v>
          </cell>
          <cell r="AB37" t="str">
            <v>x</v>
          </cell>
          <cell r="AV37" t="str">
            <v>x</v>
          </cell>
          <cell r="AX37">
            <v>112891000</v>
          </cell>
        </row>
        <row r="38">
          <cell r="H38">
            <v>59.207999999999998</v>
          </cell>
          <cell r="I38">
            <v>145.916</v>
          </cell>
          <cell r="J38">
            <v>42.494525000000003</v>
          </cell>
          <cell r="K38">
            <v>26.085000000000001</v>
          </cell>
          <cell r="L38">
            <v>60.100999999999999</v>
          </cell>
          <cell r="M38">
            <v>213.28299999999999</v>
          </cell>
          <cell r="N38">
            <v>45.409689999999998</v>
          </cell>
          <cell r="O38">
            <v>15.414</v>
          </cell>
          <cell r="P38">
            <v>125.556</v>
          </cell>
          <cell r="Q38">
            <v>186.74</v>
          </cell>
          <cell r="R38">
            <v>35.048999999999999</v>
          </cell>
          <cell r="S38">
            <v>136.77799999999999</v>
          </cell>
          <cell r="T38">
            <v>57.9</v>
          </cell>
          <cell r="U38">
            <v>16.077313</v>
          </cell>
          <cell r="V38">
            <v>28.199946000000001</v>
          </cell>
          <cell r="W38">
            <v>52.961227999999998</v>
          </cell>
          <cell r="X38">
            <v>47.744526999999998</v>
          </cell>
          <cell r="Y38">
            <v>44.61</v>
          </cell>
          <cell r="Z38">
            <v>135.58958899999999</v>
          </cell>
          <cell r="AA38">
            <v>53.001061999999997</v>
          </cell>
          <cell r="AB38">
            <v>112.89100000000001</v>
          </cell>
          <cell r="AC38">
            <v>40.850999999999999</v>
          </cell>
          <cell r="AD38">
            <v>0</v>
          </cell>
          <cell r="AE38">
            <v>71.217195000000004</v>
          </cell>
          <cell r="AF38">
            <v>44.747</v>
          </cell>
          <cell r="AG38">
            <v>24.778272999999999</v>
          </cell>
          <cell r="AH38">
            <v>26.098680000000002</v>
          </cell>
          <cell r="AI38">
            <v>0</v>
          </cell>
          <cell r="AJ38">
            <v>31.284690000000001</v>
          </cell>
          <cell r="AK38">
            <v>57.9</v>
          </cell>
          <cell r="AL38">
            <v>301</v>
          </cell>
          <cell r="AM38">
            <v>73.771000000000001</v>
          </cell>
          <cell r="AN38">
            <v>12.315314000000001</v>
          </cell>
          <cell r="AR38">
            <v>68.506</v>
          </cell>
          <cell r="AS38">
            <v>12.884701959999999</v>
          </cell>
          <cell r="AT38">
            <v>0</v>
          </cell>
          <cell r="AU38">
            <v>0</v>
          </cell>
          <cell r="AV38">
            <v>460</v>
          </cell>
          <cell r="AW38">
            <v>0</v>
          </cell>
          <cell r="AY38">
            <v>0</v>
          </cell>
          <cell r="AZ38">
            <v>0</v>
          </cell>
          <cell r="BA38">
            <v>0</v>
          </cell>
          <cell r="BB38">
            <v>0</v>
          </cell>
          <cell r="BC38">
            <v>0</v>
          </cell>
          <cell r="BD38">
            <v>0</v>
          </cell>
          <cell r="BE38">
            <v>0</v>
          </cell>
        </row>
        <row r="39">
          <cell r="H39">
            <v>0</v>
          </cell>
          <cell r="I39">
            <v>0</v>
          </cell>
          <cell r="J39">
            <v>0</v>
          </cell>
          <cell r="K39">
            <v>0</v>
          </cell>
          <cell r="L39">
            <v>0</v>
          </cell>
          <cell r="M39">
            <v>0</v>
          </cell>
          <cell r="N39">
            <v>0</v>
          </cell>
          <cell r="O39">
            <v>0</v>
          </cell>
          <cell r="P39">
            <v>0</v>
          </cell>
          <cell r="Q39">
            <v>0</v>
          </cell>
          <cell r="R39">
            <v>0</v>
          </cell>
          <cell r="S39">
            <v>0</v>
          </cell>
          <cell r="T39">
            <v>0</v>
          </cell>
          <cell r="U39">
            <v>2.5030000000000001</v>
          </cell>
          <cell r="V39">
            <v>0</v>
          </cell>
          <cell r="W39">
            <v>5.6609999999999996</v>
          </cell>
          <cell r="X39">
            <v>5.0519999999999996</v>
          </cell>
          <cell r="Y39">
            <v>5.1552319999999998</v>
          </cell>
          <cell r="Z39">
            <v>8.721584</v>
          </cell>
          <cell r="AA39">
            <v>3.6339999999999999</v>
          </cell>
          <cell r="AC39">
            <v>2.2189999999999999</v>
          </cell>
          <cell r="AD39">
            <v>0</v>
          </cell>
          <cell r="AE39">
            <v>6.3520000000000012</v>
          </cell>
          <cell r="AG39">
            <v>7.7510000000000003</v>
          </cell>
          <cell r="AH39">
            <v>1.796775</v>
          </cell>
          <cell r="AI39">
            <v>0</v>
          </cell>
          <cell r="AJ39">
            <v>1.796775</v>
          </cell>
          <cell r="AL39">
            <v>60.732304999999997</v>
          </cell>
          <cell r="AM39">
            <v>3.5651830000000002</v>
          </cell>
          <cell r="AN39">
            <v>2.4042520000000001</v>
          </cell>
          <cell r="AO39">
            <v>0</v>
          </cell>
          <cell r="AR39">
            <v>0.95021299999999997</v>
          </cell>
          <cell r="AS39">
            <v>4.0305200000000001</v>
          </cell>
          <cell r="AT39">
            <v>0</v>
          </cell>
          <cell r="AU39">
            <v>0</v>
          </cell>
          <cell r="AW39">
            <v>0</v>
          </cell>
          <cell r="AX39">
            <v>0</v>
          </cell>
          <cell r="AY39">
            <v>0</v>
          </cell>
          <cell r="AZ39">
            <v>0</v>
          </cell>
          <cell r="BA39">
            <v>0</v>
          </cell>
          <cell r="BB39">
            <v>0</v>
          </cell>
          <cell r="BC39">
            <v>0</v>
          </cell>
          <cell r="BD39">
            <v>0</v>
          </cell>
          <cell r="BE39">
            <v>0</v>
          </cell>
        </row>
        <row r="40">
          <cell r="H40">
            <v>0</v>
          </cell>
          <cell r="I40">
            <v>0</v>
          </cell>
          <cell r="J40">
            <v>0</v>
          </cell>
          <cell r="K40">
            <v>0</v>
          </cell>
          <cell r="L40">
            <v>0</v>
          </cell>
          <cell r="M40">
            <v>0</v>
          </cell>
          <cell r="N40">
            <v>0</v>
          </cell>
          <cell r="O40">
            <v>0</v>
          </cell>
          <cell r="P40">
            <v>0</v>
          </cell>
          <cell r="Q40">
            <v>0</v>
          </cell>
          <cell r="R40">
            <v>0</v>
          </cell>
          <cell r="S40">
            <v>0</v>
          </cell>
          <cell r="T40">
            <v>0</v>
          </cell>
          <cell r="U40">
            <v>18.14</v>
          </cell>
          <cell r="V40">
            <v>0</v>
          </cell>
          <cell r="W40">
            <v>46.72</v>
          </cell>
          <cell r="X40">
            <v>36.450000000000003</v>
          </cell>
          <cell r="Y40">
            <v>22.4</v>
          </cell>
          <cell r="Z40">
            <v>13.83</v>
          </cell>
          <cell r="AA40">
            <v>24</v>
          </cell>
          <cell r="AB40">
            <v>42</v>
          </cell>
          <cell r="AC40">
            <v>13.46</v>
          </cell>
          <cell r="AD40">
            <v>0</v>
          </cell>
          <cell r="AE40">
            <v>10.304480478589419</v>
          </cell>
          <cell r="AF40">
            <v>26.04</v>
          </cell>
          <cell r="AG40">
            <v>18.55</v>
          </cell>
          <cell r="AH40">
            <v>13.52</v>
          </cell>
          <cell r="AI40">
            <v>0</v>
          </cell>
          <cell r="AJ40">
            <v>13.52</v>
          </cell>
          <cell r="AL40">
            <v>39.36</v>
          </cell>
          <cell r="AM40">
            <v>32.39</v>
          </cell>
          <cell r="AN40">
            <v>9.9</v>
          </cell>
          <cell r="AO40">
            <v>0</v>
          </cell>
          <cell r="AR40">
            <v>20.514070571545538</v>
          </cell>
          <cell r="AS40">
            <v>9.6460000000000008</v>
          </cell>
          <cell r="AT40">
            <v>0</v>
          </cell>
          <cell r="AU40">
            <v>0</v>
          </cell>
          <cell r="AV40">
            <v>34.83</v>
          </cell>
          <cell r="AW40">
            <v>0</v>
          </cell>
          <cell r="AX40">
            <v>0</v>
          </cell>
          <cell r="AY40">
            <v>0</v>
          </cell>
          <cell r="AZ40">
            <v>0</v>
          </cell>
          <cell r="BA40">
            <v>0</v>
          </cell>
          <cell r="BB40">
            <v>0</v>
          </cell>
          <cell r="BC40">
            <v>0</v>
          </cell>
          <cell r="BD40">
            <v>0</v>
          </cell>
          <cell r="BE40">
            <v>0</v>
          </cell>
        </row>
        <row r="41">
          <cell r="H41">
            <v>0</v>
          </cell>
          <cell r="I41">
            <v>0</v>
          </cell>
          <cell r="J41">
            <v>0</v>
          </cell>
          <cell r="K41">
            <v>0</v>
          </cell>
          <cell r="L41">
            <v>0</v>
          </cell>
          <cell r="M41">
            <v>0</v>
          </cell>
          <cell r="N41">
            <v>0</v>
          </cell>
          <cell r="O41">
            <v>0</v>
          </cell>
          <cell r="P41">
            <v>0</v>
          </cell>
          <cell r="Q41">
            <v>0</v>
          </cell>
          <cell r="R41">
            <v>0</v>
          </cell>
          <cell r="S41">
            <v>0</v>
          </cell>
          <cell r="T41">
            <v>0</v>
          </cell>
          <cell r="U41">
            <v>0.44</v>
          </cell>
          <cell r="V41">
            <v>0</v>
          </cell>
          <cell r="W41">
            <v>0</v>
          </cell>
          <cell r="X41">
            <v>0</v>
          </cell>
          <cell r="Y41">
            <v>0</v>
          </cell>
          <cell r="Z41">
            <v>0</v>
          </cell>
          <cell r="AA41">
            <v>0</v>
          </cell>
          <cell r="AB41">
            <v>0</v>
          </cell>
          <cell r="AC41">
            <v>0</v>
          </cell>
          <cell r="AD41">
            <v>0</v>
          </cell>
          <cell r="AE41">
            <v>0.78749999999999998</v>
          </cell>
          <cell r="AF41">
            <v>0</v>
          </cell>
          <cell r="AG41">
            <v>0</v>
          </cell>
          <cell r="AH41">
            <v>0</v>
          </cell>
          <cell r="AI41">
            <v>0</v>
          </cell>
          <cell r="AJ41">
            <v>0</v>
          </cell>
          <cell r="AL41">
            <v>0</v>
          </cell>
          <cell r="AM41">
            <v>0</v>
          </cell>
          <cell r="AN41">
            <v>0</v>
          </cell>
          <cell r="AO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H42">
            <v>0</v>
          </cell>
          <cell r="I42">
            <v>0</v>
          </cell>
          <cell r="J42">
            <v>0</v>
          </cell>
          <cell r="K42">
            <v>0</v>
          </cell>
          <cell r="L42">
            <v>0</v>
          </cell>
          <cell r="M42">
            <v>0</v>
          </cell>
          <cell r="N42">
            <v>0</v>
          </cell>
          <cell r="O42">
            <v>0</v>
          </cell>
          <cell r="P42">
            <v>0</v>
          </cell>
          <cell r="Q42">
            <v>0</v>
          </cell>
          <cell r="R42">
            <v>0</v>
          </cell>
          <cell r="S42">
            <v>0</v>
          </cell>
          <cell r="T42">
            <v>0</v>
          </cell>
          <cell r="U42">
            <v>5.82</v>
          </cell>
          <cell r="V42">
            <v>0</v>
          </cell>
          <cell r="W42">
            <v>0</v>
          </cell>
          <cell r="X42">
            <v>0</v>
          </cell>
          <cell r="Y42">
            <v>0</v>
          </cell>
          <cell r="Z42">
            <v>0</v>
          </cell>
          <cell r="AA42">
            <v>0</v>
          </cell>
          <cell r="AB42">
            <v>0</v>
          </cell>
          <cell r="AC42">
            <v>0</v>
          </cell>
          <cell r="AD42">
            <v>0</v>
          </cell>
          <cell r="AE42">
            <v>14.8</v>
          </cell>
          <cell r="AF42">
            <v>0</v>
          </cell>
          <cell r="AG42">
            <v>0</v>
          </cell>
          <cell r="AH42">
            <v>0</v>
          </cell>
          <cell r="AI42">
            <v>0</v>
          </cell>
          <cell r="AJ42">
            <v>0</v>
          </cell>
          <cell r="AL42">
            <v>0</v>
          </cell>
          <cell r="AM42">
            <v>0</v>
          </cell>
          <cell r="AN42">
            <v>0</v>
          </cell>
          <cell r="AO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row>
        <row r="43">
          <cell r="Z43">
            <v>3.3</v>
          </cell>
          <cell r="AA43">
            <v>3.6339999999999999</v>
          </cell>
        </row>
        <row r="44">
          <cell r="Z44">
            <v>23.29</v>
          </cell>
          <cell r="AA44">
            <v>24</v>
          </cell>
        </row>
        <row r="45">
          <cell r="AB45" t="b">
            <v>0</v>
          </cell>
        </row>
        <row r="46">
          <cell r="H46" t="str">
            <v>N</v>
          </cell>
          <cell r="I46" t="str">
            <v>N</v>
          </cell>
          <cell r="J46" t="str">
            <v>N</v>
          </cell>
          <cell r="K46" t="str">
            <v>N</v>
          </cell>
          <cell r="L46" t="str">
            <v>N</v>
          </cell>
          <cell r="M46" t="str">
            <v>N</v>
          </cell>
          <cell r="N46" t="str">
            <v>N</v>
          </cell>
          <cell r="O46" t="str">
            <v>N</v>
          </cell>
          <cell r="P46" t="str">
            <v>N</v>
          </cell>
          <cell r="Q46" t="str">
            <v>N</v>
          </cell>
          <cell r="R46" t="str">
            <v>N</v>
          </cell>
          <cell r="S46" t="str">
            <v>N</v>
          </cell>
          <cell r="T46" t="str">
            <v>N</v>
          </cell>
          <cell r="U46" t="str">
            <v>N</v>
          </cell>
          <cell r="V46" t="str">
            <v>N</v>
          </cell>
          <cell r="W46" t="str">
            <v>Y</v>
          </cell>
          <cell r="X46" t="str">
            <v>N</v>
          </cell>
          <cell r="Y46" t="str">
            <v>N</v>
          </cell>
          <cell r="Z46" t="str">
            <v>N</v>
          </cell>
          <cell r="AA46" t="str">
            <v>Y</v>
          </cell>
          <cell r="AB46" t="str">
            <v>Y</v>
          </cell>
          <cell r="AC46" t="str">
            <v>N</v>
          </cell>
          <cell r="AD46" t="str">
            <v>N</v>
          </cell>
          <cell r="AE46" t="str">
            <v>N</v>
          </cell>
          <cell r="AF46" t="str">
            <v>N</v>
          </cell>
          <cell r="AG46" t="str">
            <v>N</v>
          </cell>
          <cell r="AH46" t="str">
            <v>N</v>
          </cell>
          <cell r="AI46" t="str">
            <v>N</v>
          </cell>
          <cell r="AJ46" t="str">
            <v>N</v>
          </cell>
          <cell r="AK46" t="str">
            <v>N</v>
          </cell>
          <cell r="AL46" t="str">
            <v>N</v>
          </cell>
          <cell r="AM46" t="str">
            <v>N</v>
          </cell>
          <cell r="AN46" t="str">
            <v>N</v>
          </cell>
          <cell r="AO46" t="str">
            <v>N</v>
          </cell>
          <cell r="AP46" t="str">
            <v>N</v>
          </cell>
          <cell r="AQ46" t="str">
            <v>N</v>
          </cell>
          <cell r="AR46" t="str">
            <v>N</v>
          </cell>
          <cell r="AS46" t="str">
            <v>N</v>
          </cell>
          <cell r="AT46" t="str">
            <v>N</v>
          </cell>
          <cell r="AU46" t="str">
            <v>N</v>
          </cell>
          <cell r="AV46" t="str">
            <v>N</v>
          </cell>
          <cell r="AW46" t="str">
            <v>N</v>
          </cell>
          <cell r="AX46" t="str">
            <v>N</v>
          </cell>
          <cell r="AY46" t="str">
            <v>N</v>
          </cell>
          <cell r="AZ46" t="str">
            <v>N</v>
          </cell>
          <cell r="BA46" t="str">
            <v>N</v>
          </cell>
          <cell r="BB46" t="str">
            <v>N</v>
          </cell>
          <cell r="BC46" t="str">
            <v>N</v>
          </cell>
          <cell r="BD46" t="str">
            <v>N</v>
          </cell>
          <cell r="BE46" t="str">
            <v>N</v>
          </cell>
        </row>
        <row r="47">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172.5</v>
          </cell>
          <cell r="X47">
            <v>0</v>
          </cell>
          <cell r="Y47">
            <v>0</v>
          </cell>
          <cell r="Z47">
            <v>0</v>
          </cell>
          <cell r="AA47">
            <v>300</v>
          </cell>
          <cell r="AB47">
            <v>300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row>
        <row r="48">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5.5E-2</v>
          </cell>
          <cell r="X48">
            <v>0</v>
          </cell>
          <cell r="Y48">
            <v>0</v>
          </cell>
          <cell r="Z48">
            <v>0</v>
          </cell>
          <cell r="AA48">
            <v>0.05</v>
          </cell>
          <cell r="AB48">
            <v>0.05</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row>
        <row r="49">
          <cell r="H49">
            <v>36526</v>
          </cell>
          <cell r="I49">
            <v>36526</v>
          </cell>
          <cell r="J49">
            <v>36526</v>
          </cell>
          <cell r="K49">
            <v>36526</v>
          </cell>
          <cell r="L49">
            <v>36526</v>
          </cell>
          <cell r="M49">
            <v>36526</v>
          </cell>
          <cell r="N49">
            <v>36526</v>
          </cell>
          <cell r="O49">
            <v>36526</v>
          </cell>
          <cell r="P49">
            <v>36526</v>
          </cell>
          <cell r="Q49">
            <v>36526</v>
          </cell>
          <cell r="R49">
            <v>36526</v>
          </cell>
          <cell r="S49">
            <v>36526</v>
          </cell>
          <cell r="T49">
            <v>36526</v>
          </cell>
          <cell r="U49">
            <v>0</v>
          </cell>
          <cell r="V49">
            <v>0</v>
          </cell>
          <cell r="W49">
            <v>36892</v>
          </cell>
          <cell r="X49">
            <v>36526</v>
          </cell>
          <cell r="Y49">
            <v>0</v>
          </cell>
          <cell r="Z49">
            <v>0</v>
          </cell>
          <cell r="AA49">
            <v>36861</v>
          </cell>
          <cell r="AB49">
            <v>36861</v>
          </cell>
          <cell r="AC49">
            <v>0</v>
          </cell>
          <cell r="AD49">
            <v>36526</v>
          </cell>
          <cell r="AE49">
            <v>0</v>
          </cell>
          <cell r="AF49">
            <v>0</v>
          </cell>
          <cell r="AG49">
            <v>0</v>
          </cell>
          <cell r="AH49">
            <v>0</v>
          </cell>
          <cell r="AI49">
            <v>36526</v>
          </cell>
          <cell r="AJ49">
            <v>0</v>
          </cell>
          <cell r="AK49">
            <v>0</v>
          </cell>
          <cell r="AL49">
            <v>0</v>
          </cell>
          <cell r="AM49">
            <v>0</v>
          </cell>
          <cell r="AN49">
            <v>0</v>
          </cell>
          <cell r="AO49">
            <v>36526</v>
          </cell>
          <cell r="AP49">
            <v>0</v>
          </cell>
          <cell r="AQ49">
            <v>36526</v>
          </cell>
          <cell r="AR49">
            <v>36526</v>
          </cell>
          <cell r="AS49">
            <v>36526</v>
          </cell>
          <cell r="AT49">
            <v>36526</v>
          </cell>
          <cell r="AU49">
            <v>0</v>
          </cell>
          <cell r="AV49">
            <v>0</v>
          </cell>
          <cell r="AW49">
            <v>36526</v>
          </cell>
          <cell r="AX49">
            <v>36526</v>
          </cell>
          <cell r="AY49">
            <v>36526</v>
          </cell>
          <cell r="AZ49">
            <v>36526</v>
          </cell>
          <cell r="BA49">
            <v>36526</v>
          </cell>
          <cell r="BB49">
            <v>36526</v>
          </cell>
          <cell r="BC49">
            <v>36526</v>
          </cell>
          <cell r="BD49">
            <v>36526</v>
          </cell>
          <cell r="BE49">
            <v>36526</v>
          </cell>
        </row>
        <row r="50">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85.2</v>
          </cell>
          <cell r="X50">
            <v>0</v>
          </cell>
          <cell r="Y50">
            <v>0</v>
          </cell>
          <cell r="Z50">
            <v>0</v>
          </cell>
          <cell r="AA50">
            <v>52.968800000000002</v>
          </cell>
          <cell r="AB50">
            <v>52.97</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row>
        <row r="54">
          <cell r="H54" t="str">
            <v>N</v>
          </cell>
          <cell r="I54" t="str">
            <v>N</v>
          </cell>
          <cell r="J54" t="str">
            <v>N</v>
          </cell>
          <cell r="K54" t="str">
            <v>N</v>
          </cell>
          <cell r="L54" t="str">
            <v>N</v>
          </cell>
          <cell r="M54" t="str">
            <v>N</v>
          </cell>
          <cell r="N54" t="str">
            <v>N</v>
          </cell>
          <cell r="O54" t="str">
            <v>N</v>
          </cell>
          <cell r="P54" t="str">
            <v>N</v>
          </cell>
          <cell r="Q54" t="str">
            <v>N</v>
          </cell>
          <cell r="R54" t="str">
            <v>N</v>
          </cell>
          <cell r="S54" t="str">
            <v>N</v>
          </cell>
          <cell r="T54" t="str">
            <v>N</v>
          </cell>
          <cell r="U54" t="str">
            <v>N</v>
          </cell>
          <cell r="V54" t="str">
            <v>N</v>
          </cell>
          <cell r="W54" t="str">
            <v>N</v>
          </cell>
          <cell r="X54" t="str">
            <v>N</v>
          </cell>
          <cell r="Y54" t="str">
            <v>N</v>
          </cell>
          <cell r="Z54" t="str">
            <v>Y</v>
          </cell>
          <cell r="AA54" t="str">
            <v>N</v>
          </cell>
          <cell r="AB54" t="str">
            <v>N</v>
          </cell>
          <cell r="AC54" t="str">
            <v>Y</v>
          </cell>
          <cell r="AD54" t="str">
            <v>N</v>
          </cell>
          <cell r="AE54" t="str">
            <v>N</v>
          </cell>
          <cell r="AF54" t="str">
            <v>N</v>
          </cell>
          <cell r="AG54" t="str">
            <v>N</v>
          </cell>
          <cell r="AH54" t="str">
            <v>N</v>
          </cell>
          <cell r="AI54" t="str">
            <v>N</v>
          </cell>
          <cell r="AJ54" t="str">
            <v>N</v>
          </cell>
          <cell r="AK54" t="str">
            <v>N</v>
          </cell>
          <cell r="AL54" t="str">
            <v>Y</v>
          </cell>
          <cell r="AM54" t="str">
            <v>N</v>
          </cell>
          <cell r="AN54" t="str">
            <v>N</v>
          </cell>
          <cell r="AO54" t="str">
            <v>N</v>
          </cell>
          <cell r="AP54" t="str">
            <v>N</v>
          </cell>
          <cell r="AQ54" t="str">
            <v>N</v>
          </cell>
          <cell r="AR54" t="str">
            <v>N</v>
          </cell>
          <cell r="AS54" t="str">
            <v>N</v>
          </cell>
          <cell r="AT54" t="str">
            <v>N</v>
          </cell>
          <cell r="AU54" t="str">
            <v>N</v>
          </cell>
          <cell r="AV54" t="str">
            <v>N</v>
          </cell>
          <cell r="AW54" t="str">
            <v>N</v>
          </cell>
          <cell r="AX54" t="str">
            <v>N</v>
          </cell>
          <cell r="AY54" t="str">
            <v>N</v>
          </cell>
          <cell r="AZ54" t="str">
            <v>N</v>
          </cell>
          <cell r="BA54" t="str">
            <v>N</v>
          </cell>
          <cell r="BB54" t="str">
            <v>N</v>
          </cell>
          <cell r="BC54" t="str">
            <v>N</v>
          </cell>
          <cell r="BD54" t="str">
            <v>N</v>
          </cell>
          <cell r="BE54" t="str">
            <v>N</v>
          </cell>
        </row>
        <row r="55">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300</v>
          </cell>
          <cell r="AA55">
            <v>0</v>
          </cell>
          <cell r="AB55">
            <v>0</v>
          </cell>
          <cell r="AC55">
            <v>132</v>
          </cell>
          <cell r="AD55">
            <v>0</v>
          </cell>
          <cell r="AE55">
            <v>0</v>
          </cell>
          <cell r="AF55">
            <v>0</v>
          </cell>
          <cell r="AG55">
            <v>0</v>
          </cell>
          <cell r="AH55">
            <v>0</v>
          </cell>
          <cell r="AI55">
            <v>0</v>
          </cell>
          <cell r="AJ55">
            <v>0</v>
          </cell>
          <cell r="AK55">
            <v>0</v>
          </cell>
          <cell r="AL55">
            <v>196.1</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row>
        <row r="56">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7.8E-2</v>
          </cell>
          <cell r="AA56">
            <v>0</v>
          </cell>
          <cell r="AB56">
            <v>0</v>
          </cell>
          <cell r="AC56">
            <v>5.3749999999999999E-2</v>
          </cell>
          <cell r="AD56">
            <v>0</v>
          </cell>
          <cell r="AE56">
            <v>0</v>
          </cell>
          <cell r="AF56">
            <v>0</v>
          </cell>
          <cell r="AG56">
            <v>0</v>
          </cell>
          <cell r="AH56">
            <v>0</v>
          </cell>
          <cell r="AI56">
            <v>0</v>
          </cell>
          <cell r="AJ56">
            <v>0</v>
          </cell>
          <cell r="AK56">
            <v>0</v>
          </cell>
          <cell r="AL56">
            <v>0.05</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row>
        <row r="57">
          <cell r="H57">
            <v>36526</v>
          </cell>
          <cell r="I57">
            <v>36526</v>
          </cell>
          <cell r="J57">
            <v>36526</v>
          </cell>
          <cell r="K57">
            <v>36526</v>
          </cell>
          <cell r="L57">
            <v>36526</v>
          </cell>
          <cell r="M57">
            <v>36526</v>
          </cell>
          <cell r="N57">
            <v>36526</v>
          </cell>
          <cell r="O57">
            <v>36526</v>
          </cell>
          <cell r="P57">
            <v>36526</v>
          </cell>
          <cell r="Q57">
            <v>36526</v>
          </cell>
          <cell r="R57">
            <v>36526</v>
          </cell>
          <cell r="S57">
            <v>36526</v>
          </cell>
          <cell r="T57">
            <v>36526</v>
          </cell>
          <cell r="U57">
            <v>0</v>
          </cell>
          <cell r="V57">
            <v>0</v>
          </cell>
          <cell r="W57">
            <v>0</v>
          </cell>
          <cell r="X57">
            <v>36526</v>
          </cell>
          <cell r="Y57">
            <v>0</v>
          </cell>
          <cell r="Z57">
            <v>0</v>
          </cell>
          <cell r="AA57">
            <v>0</v>
          </cell>
          <cell r="AB57">
            <v>0</v>
          </cell>
          <cell r="AC57">
            <v>0</v>
          </cell>
          <cell r="AD57">
            <v>36526</v>
          </cell>
          <cell r="AE57">
            <v>0</v>
          </cell>
          <cell r="AF57">
            <v>0</v>
          </cell>
          <cell r="AG57">
            <v>0</v>
          </cell>
          <cell r="AH57">
            <v>0</v>
          </cell>
          <cell r="AI57">
            <v>36526</v>
          </cell>
          <cell r="AJ57">
            <v>0</v>
          </cell>
          <cell r="AK57">
            <v>0</v>
          </cell>
          <cell r="AL57">
            <v>0</v>
          </cell>
          <cell r="AM57">
            <v>0</v>
          </cell>
          <cell r="AN57">
            <v>0</v>
          </cell>
          <cell r="AO57">
            <v>36526</v>
          </cell>
          <cell r="AP57">
            <v>0</v>
          </cell>
          <cell r="AQ57">
            <v>36526</v>
          </cell>
          <cell r="AR57">
            <v>36526</v>
          </cell>
          <cell r="AS57">
            <v>36526</v>
          </cell>
          <cell r="AT57">
            <v>36526</v>
          </cell>
          <cell r="AU57">
            <v>0</v>
          </cell>
          <cell r="AV57">
            <v>0</v>
          </cell>
          <cell r="AW57">
            <v>36526</v>
          </cell>
          <cell r="AX57">
            <v>36526</v>
          </cell>
          <cell r="AY57">
            <v>36526</v>
          </cell>
          <cell r="AZ57">
            <v>36526</v>
          </cell>
          <cell r="BA57">
            <v>36526</v>
          </cell>
          <cell r="BB57">
            <v>36526</v>
          </cell>
          <cell r="BC57">
            <v>36526</v>
          </cell>
          <cell r="BD57">
            <v>36526</v>
          </cell>
          <cell r="BE57">
            <v>36526</v>
          </cell>
        </row>
        <row r="58">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25</v>
          </cell>
          <cell r="AA58">
            <v>0</v>
          </cell>
          <cell r="AB58">
            <v>0</v>
          </cell>
          <cell r="AC58">
            <v>20.625360943816517</v>
          </cell>
          <cell r="AD58">
            <v>0</v>
          </cell>
          <cell r="AE58">
            <v>0</v>
          </cell>
          <cell r="AF58">
            <v>0</v>
          </cell>
          <cell r="AG58">
            <v>0</v>
          </cell>
          <cell r="AH58">
            <v>0</v>
          </cell>
          <cell r="AI58">
            <v>0</v>
          </cell>
          <cell r="AJ58">
            <v>0</v>
          </cell>
          <cell r="AK58">
            <v>0</v>
          </cell>
          <cell r="AL58">
            <v>36.536741690266801</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row>
        <row r="60">
          <cell r="AJ60" t="str">
            <v>See p.79</v>
          </cell>
          <cell r="AS60">
            <v>201.66200000000001</v>
          </cell>
        </row>
        <row r="61">
          <cell r="V61">
            <v>37346</v>
          </cell>
          <cell r="AJ61" t="str">
            <v>PF BS as of 9/30/01</v>
          </cell>
        </row>
        <row r="62">
          <cell r="H62">
            <v>0</v>
          </cell>
          <cell r="I62">
            <v>0</v>
          </cell>
          <cell r="J62">
            <v>0</v>
          </cell>
          <cell r="K62">
            <v>0</v>
          </cell>
          <cell r="L62">
            <v>0</v>
          </cell>
          <cell r="M62">
            <v>0</v>
          </cell>
          <cell r="N62">
            <v>0</v>
          </cell>
          <cell r="O62">
            <v>0</v>
          </cell>
          <cell r="P62">
            <v>143.34299999999999</v>
          </cell>
          <cell r="Q62">
            <v>0</v>
          </cell>
          <cell r="R62">
            <v>0</v>
          </cell>
          <cell r="S62">
            <v>0</v>
          </cell>
          <cell r="T62">
            <v>0</v>
          </cell>
          <cell r="U62">
            <v>20.766999999999999</v>
          </cell>
          <cell r="V62">
            <v>42.912999999999997</v>
          </cell>
          <cell r="W62">
            <v>572.90300000000002</v>
          </cell>
          <cell r="X62">
            <v>70.257999999999996</v>
          </cell>
          <cell r="Y62">
            <v>91.347999999999999</v>
          </cell>
          <cell r="Z62">
            <v>60.804000000000002</v>
          </cell>
          <cell r="AA62">
            <v>94.298000000000002</v>
          </cell>
          <cell r="AB62">
            <v>463.815</v>
          </cell>
          <cell r="AC62">
            <v>0.68799999999999994</v>
          </cell>
          <cell r="AD62">
            <v>0</v>
          </cell>
          <cell r="AE62">
            <v>40.206000000000003</v>
          </cell>
          <cell r="AF62">
            <v>93.421000000000006</v>
          </cell>
          <cell r="AG62">
            <v>24.074999999999999</v>
          </cell>
          <cell r="AH62">
            <v>0</v>
          </cell>
          <cell r="AI62">
            <v>0</v>
          </cell>
          <cell r="AJ62">
            <v>58.841999999999999</v>
          </cell>
          <cell r="AK62">
            <v>45.2</v>
          </cell>
          <cell r="AL62">
            <v>385.5</v>
          </cell>
          <cell r="AM62">
            <v>33.501829999999998</v>
          </cell>
          <cell r="AN62">
            <v>3.6070000000000002</v>
          </cell>
          <cell r="AO62">
            <v>0</v>
          </cell>
          <cell r="AR62">
            <v>132.43700000000001</v>
          </cell>
          <cell r="AS62">
            <v>24.074999999999999</v>
          </cell>
          <cell r="AT62">
            <v>14.052</v>
          </cell>
          <cell r="AU62">
            <v>869.2</v>
          </cell>
          <cell r="AV62">
            <v>703.32700000000011</v>
          </cell>
          <cell r="AW62">
            <v>0</v>
          </cell>
          <cell r="AX62">
            <v>0</v>
          </cell>
          <cell r="AY62">
            <v>0</v>
          </cell>
          <cell r="AZ62">
            <v>0</v>
          </cell>
          <cell r="BA62">
            <v>0</v>
          </cell>
          <cell r="BB62">
            <v>0</v>
          </cell>
          <cell r="BC62">
            <v>0</v>
          </cell>
          <cell r="BD62">
            <v>0</v>
          </cell>
          <cell r="BE62">
            <v>0</v>
          </cell>
        </row>
        <row r="63">
          <cell r="H63">
            <v>0</v>
          </cell>
          <cell r="I63">
            <v>0</v>
          </cell>
          <cell r="J63">
            <v>0</v>
          </cell>
          <cell r="K63">
            <v>0</v>
          </cell>
          <cell r="L63">
            <v>0</v>
          </cell>
          <cell r="M63">
            <v>0</v>
          </cell>
          <cell r="N63">
            <v>0</v>
          </cell>
          <cell r="O63">
            <v>0</v>
          </cell>
          <cell r="P63">
            <v>284.63099999999997</v>
          </cell>
          <cell r="Q63">
            <v>0</v>
          </cell>
          <cell r="R63">
            <v>0</v>
          </cell>
          <cell r="S63">
            <v>0</v>
          </cell>
          <cell r="T63">
            <v>0</v>
          </cell>
          <cell r="U63">
            <v>16.481999999999999</v>
          </cell>
          <cell r="V63">
            <v>335.25299999999999</v>
          </cell>
          <cell r="W63">
            <v>102.568</v>
          </cell>
          <cell r="X63">
            <v>147.79900000000001</v>
          </cell>
          <cell r="Y63">
            <v>138.79300000000001</v>
          </cell>
          <cell r="Z63">
            <v>1620.6289999999999</v>
          </cell>
          <cell r="AA63">
            <v>677.18</v>
          </cell>
          <cell r="AB63">
            <v>2061.3310000000001</v>
          </cell>
          <cell r="AC63">
            <v>364.21499999999997</v>
          </cell>
          <cell r="AD63">
            <v>0</v>
          </cell>
          <cell r="AE63">
            <v>226.47300000000001</v>
          </cell>
          <cell r="AF63">
            <v>356.45299999999997</v>
          </cell>
          <cell r="AG63">
            <v>167.529</v>
          </cell>
          <cell r="AH63">
            <v>0</v>
          </cell>
          <cell r="AI63">
            <v>0</v>
          </cell>
          <cell r="AJ63">
            <v>317.221</v>
          </cell>
          <cell r="AK63">
            <v>0</v>
          </cell>
          <cell r="AL63">
            <v>3604.2</v>
          </cell>
          <cell r="AM63">
            <v>181.45</v>
          </cell>
          <cell r="AN63">
            <v>41.622</v>
          </cell>
          <cell r="AO63">
            <v>0</v>
          </cell>
          <cell r="AR63">
            <v>218.86</v>
          </cell>
          <cell r="AS63">
            <v>167.529</v>
          </cell>
          <cell r="AT63">
            <v>66.616</v>
          </cell>
          <cell r="AU63">
            <v>2536</v>
          </cell>
          <cell r="AV63">
            <v>2770.145</v>
          </cell>
          <cell r="AW63">
            <v>0</v>
          </cell>
          <cell r="AX63">
            <v>0</v>
          </cell>
          <cell r="AY63">
            <v>0</v>
          </cell>
          <cell r="AZ63">
            <v>0</v>
          </cell>
          <cell r="BA63">
            <v>0</v>
          </cell>
          <cell r="BB63">
            <v>0</v>
          </cell>
          <cell r="BC63">
            <v>0</v>
          </cell>
          <cell r="BD63">
            <v>0</v>
          </cell>
          <cell r="BE63">
            <v>0</v>
          </cell>
        </row>
        <row r="64">
          <cell r="H64">
            <v>0</v>
          </cell>
          <cell r="I64">
            <v>0</v>
          </cell>
          <cell r="J64">
            <v>0</v>
          </cell>
          <cell r="K64">
            <v>0</v>
          </cell>
          <cell r="L64">
            <v>0</v>
          </cell>
          <cell r="M64">
            <v>0</v>
          </cell>
          <cell r="N64">
            <v>0</v>
          </cell>
          <cell r="O64">
            <v>0</v>
          </cell>
          <cell r="P64">
            <v>0</v>
          </cell>
          <cell r="Q64">
            <v>0</v>
          </cell>
          <cell r="R64">
            <v>0</v>
          </cell>
          <cell r="S64">
            <v>0</v>
          </cell>
          <cell r="T64">
            <v>0</v>
          </cell>
          <cell r="U64">
            <v>0.29299999999999998</v>
          </cell>
          <cell r="W64">
            <v>13.491</v>
          </cell>
          <cell r="X64">
            <v>0</v>
          </cell>
          <cell r="Y64">
            <v>0</v>
          </cell>
          <cell r="Z64">
            <v>21.030999999999999</v>
          </cell>
          <cell r="AA64">
            <v>4.266</v>
          </cell>
          <cell r="AB64">
            <v>17.831</v>
          </cell>
          <cell r="AC64">
            <v>0</v>
          </cell>
          <cell r="AD64">
            <v>0</v>
          </cell>
          <cell r="AE64">
            <v>41.978000000000002</v>
          </cell>
          <cell r="AF64">
            <v>57.145000000000003</v>
          </cell>
          <cell r="AG64">
            <v>27.484999999999999</v>
          </cell>
          <cell r="AH64">
            <v>0</v>
          </cell>
          <cell r="AI64">
            <v>0</v>
          </cell>
          <cell r="AJ64">
            <v>3.7240000000000002</v>
          </cell>
          <cell r="AK64">
            <v>0</v>
          </cell>
          <cell r="AL64">
            <v>160.69999999999999</v>
          </cell>
          <cell r="AM64">
            <v>0</v>
          </cell>
          <cell r="AN64">
            <v>0</v>
          </cell>
          <cell r="AO64">
            <v>0</v>
          </cell>
          <cell r="AR64">
            <v>12.637</v>
          </cell>
          <cell r="AS64">
            <v>27.484999999999999</v>
          </cell>
          <cell r="AT64">
            <v>7.806</v>
          </cell>
          <cell r="AU64">
            <v>870.8</v>
          </cell>
          <cell r="AV64">
            <v>906.09100000000001</v>
          </cell>
          <cell r="AW64">
            <v>0</v>
          </cell>
          <cell r="AX64">
            <v>0</v>
          </cell>
          <cell r="AY64">
            <v>0</v>
          </cell>
          <cell r="AZ64">
            <v>0</v>
          </cell>
          <cell r="BA64">
            <v>0</v>
          </cell>
          <cell r="BB64">
            <v>0</v>
          </cell>
          <cell r="BC64">
            <v>0</v>
          </cell>
          <cell r="BD64">
            <v>0</v>
          </cell>
          <cell r="BE64">
            <v>0</v>
          </cell>
        </row>
        <row r="65">
          <cell r="H65">
            <v>0</v>
          </cell>
          <cell r="I65">
            <v>0</v>
          </cell>
          <cell r="J65">
            <v>0</v>
          </cell>
          <cell r="K65">
            <v>0</v>
          </cell>
          <cell r="L65">
            <v>0</v>
          </cell>
          <cell r="M65">
            <v>0</v>
          </cell>
          <cell r="N65">
            <v>0</v>
          </cell>
          <cell r="O65">
            <v>0</v>
          </cell>
          <cell r="P65">
            <v>206.36099999999999</v>
          </cell>
          <cell r="Q65">
            <v>0</v>
          </cell>
          <cell r="R65">
            <v>0</v>
          </cell>
          <cell r="S65">
            <v>0</v>
          </cell>
          <cell r="T65">
            <v>0</v>
          </cell>
          <cell r="U65">
            <v>10.364000000000001</v>
          </cell>
          <cell r="W65">
            <v>86.736999999999995</v>
          </cell>
          <cell r="X65">
            <v>86.697000000000003</v>
          </cell>
          <cell r="Y65">
            <v>71.028000000000006</v>
          </cell>
          <cell r="Z65">
            <v>2619.4949999999999</v>
          </cell>
          <cell r="AA65">
            <v>1955.385</v>
          </cell>
          <cell r="AB65">
            <v>5295.924</v>
          </cell>
          <cell r="AC65">
            <v>345.50200000000001</v>
          </cell>
          <cell r="AD65">
            <v>0</v>
          </cell>
          <cell r="AE65">
            <v>171.381</v>
          </cell>
          <cell r="AF65">
            <v>293.76400000000001</v>
          </cell>
          <cell r="AG65">
            <v>28.338999999999999</v>
          </cell>
          <cell r="AH65">
            <v>0</v>
          </cell>
          <cell r="AI65">
            <v>0</v>
          </cell>
          <cell r="AJ65">
            <v>81.48</v>
          </cell>
          <cell r="AK65">
            <v>0</v>
          </cell>
          <cell r="AL65">
            <v>6259.3</v>
          </cell>
          <cell r="AM65">
            <v>468.92599999999999</v>
          </cell>
          <cell r="AN65">
            <v>10.763</v>
          </cell>
          <cell r="AO65">
            <v>0</v>
          </cell>
          <cell r="AR65">
            <v>156.03800000000001</v>
          </cell>
          <cell r="AS65">
            <v>28.338999999999999</v>
          </cell>
          <cell r="AT65">
            <v>0</v>
          </cell>
          <cell r="AU65">
            <v>7902</v>
          </cell>
          <cell r="AV65">
            <v>7930.3389999999999</v>
          </cell>
          <cell r="AW65">
            <v>0</v>
          </cell>
          <cell r="AX65">
            <v>0</v>
          </cell>
          <cell r="AY65">
            <v>0</v>
          </cell>
          <cell r="AZ65">
            <v>0</v>
          </cell>
          <cell r="BA65">
            <v>0</v>
          </cell>
          <cell r="BB65">
            <v>0</v>
          </cell>
          <cell r="BC65">
            <v>0</v>
          </cell>
          <cell r="BD65">
            <v>0</v>
          </cell>
          <cell r="BE65">
            <v>0</v>
          </cell>
        </row>
        <row r="66">
          <cell r="H66">
            <v>0</v>
          </cell>
          <cell r="I66">
            <v>0</v>
          </cell>
          <cell r="J66">
            <v>0</v>
          </cell>
          <cell r="K66">
            <v>0</v>
          </cell>
          <cell r="L66">
            <v>0</v>
          </cell>
          <cell r="M66">
            <v>0</v>
          </cell>
          <cell r="N66">
            <v>0</v>
          </cell>
          <cell r="O66">
            <v>0</v>
          </cell>
          <cell r="P66">
            <v>0</v>
          </cell>
          <cell r="Q66">
            <v>0</v>
          </cell>
          <cell r="R66">
            <v>0</v>
          </cell>
          <cell r="S66">
            <v>0</v>
          </cell>
          <cell r="T66">
            <v>0</v>
          </cell>
          <cell r="U66">
            <v>53.353999999999999</v>
          </cell>
          <cell r="W66">
            <v>815.16499999999996</v>
          </cell>
          <cell r="X66">
            <v>348.99099999999999</v>
          </cell>
          <cell r="Y66">
            <v>313.72699999999998</v>
          </cell>
          <cell r="Z66">
            <v>4335.01</v>
          </cell>
          <cell r="AA66">
            <v>2731.1289999999999</v>
          </cell>
          <cell r="AB66">
            <v>7838.9009999999998</v>
          </cell>
          <cell r="AC66">
            <v>727.40599999999995</v>
          </cell>
          <cell r="AD66">
            <v>0</v>
          </cell>
          <cell r="AE66">
            <v>480.49</v>
          </cell>
          <cell r="AF66">
            <v>827.40899999999999</v>
          </cell>
          <cell r="AG66">
            <v>247.428</v>
          </cell>
          <cell r="AH66">
            <v>0</v>
          </cell>
          <cell r="AI66">
            <v>0</v>
          </cell>
          <cell r="AJ66">
            <v>482.88600000000002</v>
          </cell>
          <cell r="AK66">
            <v>0</v>
          </cell>
          <cell r="AL66">
            <v>10409.700000000001</v>
          </cell>
          <cell r="AM66">
            <v>727.31100000000004</v>
          </cell>
          <cell r="AN66">
            <v>67.548000000000002</v>
          </cell>
          <cell r="AO66">
            <v>0</v>
          </cell>
          <cell r="AR66">
            <v>519.97199999999998</v>
          </cell>
          <cell r="AS66">
            <v>247.428</v>
          </cell>
          <cell r="AT66">
            <v>89.408000000000001</v>
          </cell>
          <cell r="AU66">
            <v>12382.6</v>
          </cell>
          <cell r="AV66">
            <v>12719.436</v>
          </cell>
          <cell r="AW66">
            <v>0</v>
          </cell>
          <cell r="AX66">
            <v>0</v>
          </cell>
          <cell r="AY66">
            <v>0</v>
          </cell>
          <cell r="AZ66">
            <v>0</v>
          </cell>
          <cell r="BA66">
            <v>0</v>
          </cell>
          <cell r="BB66">
            <v>0</v>
          </cell>
          <cell r="BC66">
            <v>0</v>
          </cell>
          <cell r="BD66">
            <v>0</v>
          </cell>
          <cell r="BE66">
            <v>0</v>
          </cell>
        </row>
        <row r="67">
          <cell r="H67">
            <v>0</v>
          </cell>
          <cell r="I67">
            <v>0</v>
          </cell>
          <cell r="J67">
            <v>0</v>
          </cell>
          <cell r="K67">
            <v>0</v>
          </cell>
          <cell r="L67">
            <v>0</v>
          </cell>
          <cell r="M67">
            <v>0</v>
          </cell>
          <cell r="N67">
            <v>0</v>
          </cell>
          <cell r="O67">
            <v>0</v>
          </cell>
          <cell r="P67">
            <v>0</v>
          </cell>
          <cell r="Q67">
            <v>0</v>
          </cell>
          <cell r="R67">
            <v>0</v>
          </cell>
          <cell r="S67">
            <v>0</v>
          </cell>
          <cell r="T67">
            <v>0</v>
          </cell>
          <cell r="U67">
            <v>37.055</v>
          </cell>
          <cell r="W67">
            <v>115.32899999999999</v>
          </cell>
          <cell r="X67">
            <v>185.268</v>
          </cell>
          <cell r="Y67">
            <v>11.090999999999999</v>
          </cell>
          <cell r="Z67">
            <v>195.58099999999999</v>
          </cell>
          <cell r="AA67">
            <v>71.009</v>
          </cell>
          <cell r="AB67">
            <v>277.47500000000002</v>
          </cell>
          <cell r="AC67">
            <v>24.536000000000001</v>
          </cell>
          <cell r="AD67">
            <v>0</v>
          </cell>
          <cell r="AE67">
            <v>82.016999999999996</v>
          </cell>
          <cell r="AF67">
            <v>129.49799999999999</v>
          </cell>
          <cell r="AG67">
            <v>180.89599999999999</v>
          </cell>
          <cell r="AH67">
            <v>0</v>
          </cell>
          <cell r="AI67">
            <v>0</v>
          </cell>
          <cell r="AJ67">
            <v>23.617000000000001</v>
          </cell>
          <cell r="AK67">
            <v>0</v>
          </cell>
          <cell r="AL67">
            <v>579.79999999999995</v>
          </cell>
          <cell r="AM67">
            <v>542.04999999999995</v>
          </cell>
          <cell r="AN67">
            <v>6.7640000000000002</v>
          </cell>
          <cell r="AO67">
            <v>0</v>
          </cell>
          <cell r="AR67">
            <v>56.646999999999998</v>
          </cell>
          <cell r="AS67">
            <v>180.89599999999999</v>
          </cell>
          <cell r="AT67">
            <v>10.311</v>
          </cell>
          <cell r="AU67">
            <v>1823.8</v>
          </cell>
          <cell r="AV67">
            <v>2015.0069999999998</v>
          </cell>
          <cell r="AW67">
            <v>0</v>
          </cell>
          <cell r="AX67">
            <v>0</v>
          </cell>
          <cell r="AY67">
            <v>0</v>
          </cell>
          <cell r="AZ67">
            <v>0</v>
          </cell>
          <cell r="BA67">
            <v>0</v>
          </cell>
          <cell r="BB67">
            <v>0</v>
          </cell>
          <cell r="BC67">
            <v>0</v>
          </cell>
          <cell r="BD67">
            <v>0</v>
          </cell>
          <cell r="BE67">
            <v>0</v>
          </cell>
        </row>
        <row r="68">
          <cell r="H68">
            <v>0</v>
          </cell>
          <cell r="I68">
            <v>0</v>
          </cell>
          <cell r="J68">
            <v>0</v>
          </cell>
          <cell r="K68">
            <v>0</v>
          </cell>
          <cell r="L68">
            <v>0</v>
          </cell>
          <cell r="M68">
            <v>0</v>
          </cell>
          <cell r="N68">
            <v>0</v>
          </cell>
          <cell r="O68">
            <v>0</v>
          </cell>
          <cell r="P68">
            <v>0</v>
          </cell>
          <cell r="Q68">
            <v>0</v>
          </cell>
          <cell r="R68">
            <v>0</v>
          </cell>
          <cell r="S68">
            <v>0</v>
          </cell>
          <cell r="T68">
            <v>0</v>
          </cell>
          <cell r="U68">
            <v>10.677</v>
          </cell>
          <cell r="W68">
            <v>1241.213</v>
          </cell>
          <cell r="X68">
            <v>28.251999999999999</v>
          </cell>
          <cell r="Y68">
            <v>83.563000000000002</v>
          </cell>
          <cell r="Z68">
            <v>663.26800000000003</v>
          </cell>
          <cell r="AA68">
            <v>85.805999999999997</v>
          </cell>
          <cell r="AB68">
            <v>2126.1210000000001</v>
          </cell>
          <cell r="AC68">
            <v>198.32400000000001</v>
          </cell>
          <cell r="AD68">
            <v>0</v>
          </cell>
          <cell r="AE68">
            <v>77.122</v>
          </cell>
          <cell r="AF68">
            <v>293.10599999999999</v>
          </cell>
          <cell r="AG68">
            <v>143.16</v>
          </cell>
          <cell r="AH68">
            <v>0</v>
          </cell>
          <cell r="AI68">
            <v>0</v>
          </cell>
          <cell r="AJ68">
            <v>281.48500000000001</v>
          </cell>
          <cell r="AK68">
            <v>0</v>
          </cell>
          <cell r="AL68">
            <v>974.3</v>
          </cell>
          <cell r="AM68">
            <v>127.602</v>
          </cell>
          <cell r="AN68">
            <v>30.233000000000001</v>
          </cell>
          <cell r="AO68">
            <v>0</v>
          </cell>
          <cell r="AR68">
            <v>131.012</v>
          </cell>
          <cell r="AS68">
            <v>143.16</v>
          </cell>
          <cell r="AT68">
            <v>52.091000000000001</v>
          </cell>
          <cell r="AU68">
            <v>1178.3</v>
          </cell>
          <cell r="AV68">
            <v>1373.5509999999999</v>
          </cell>
          <cell r="AW68">
            <v>0</v>
          </cell>
          <cell r="AX68">
            <v>0</v>
          </cell>
          <cell r="AY68">
            <v>0</v>
          </cell>
          <cell r="AZ68">
            <v>0</v>
          </cell>
          <cell r="BA68">
            <v>0</v>
          </cell>
          <cell r="BB68">
            <v>0</v>
          </cell>
          <cell r="BC68">
            <v>0</v>
          </cell>
          <cell r="BD68">
            <v>0</v>
          </cell>
          <cell r="BE68">
            <v>0</v>
          </cell>
        </row>
        <row r="69">
          <cell r="H69">
            <v>0</v>
          </cell>
          <cell r="I69">
            <v>0</v>
          </cell>
          <cell r="J69">
            <v>0</v>
          </cell>
          <cell r="K69">
            <v>0</v>
          </cell>
          <cell r="L69">
            <v>0</v>
          </cell>
          <cell r="M69">
            <v>0</v>
          </cell>
          <cell r="N69">
            <v>0</v>
          </cell>
          <cell r="O69">
            <v>0</v>
          </cell>
          <cell r="P69">
            <v>0</v>
          </cell>
          <cell r="Q69">
            <v>0</v>
          </cell>
          <cell r="R69">
            <v>0</v>
          </cell>
          <cell r="S69">
            <v>0</v>
          </cell>
          <cell r="T69">
            <v>0</v>
          </cell>
          <cell r="U69">
            <v>107.86799999999999</v>
          </cell>
          <cell r="V69">
            <v>924.82899999999995</v>
          </cell>
          <cell r="W69">
            <v>2225.9009999999998</v>
          </cell>
          <cell r="X69">
            <v>922.84900000000005</v>
          </cell>
          <cell r="Y69">
            <v>409.322</v>
          </cell>
          <cell r="Z69">
            <v>5350.3729999999996</v>
          </cell>
          <cell r="AA69">
            <v>2887.944</v>
          </cell>
          <cell r="AB69">
            <v>10600.218999999999</v>
          </cell>
          <cell r="AC69">
            <v>997.43799999999999</v>
          </cell>
          <cell r="AD69">
            <v>0</v>
          </cell>
          <cell r="AE69">
            <v>670.19</v>
          </cell>
          <cell r="AF69">
            <v>1309.519</v>
          </cell>
          <cell r="AG69">
            <v>594.37099999999998</v>
          </cell>
          <cell r="AH69">
            <v>0</v>
          </cell>
          <cell r="AI69">
            <v>0</v>
          </cell>
          <cell r="AJ69">
            <v>793.13599999999997</v>
          </cell>
          <cell r="AK69">
            <v>0</v>
          </cell>
          <cell r="AL69">
            <v>12888.9</v>
          </cell>
          <cell r="AM69">
            <v>1439.8019999999999</v>
          </cell>
          <cell r="AN69">
            <v>105.80200000000001</v>
          </cell>
          <cell r="AO69">
            <v>0</v>
          </cell>
          <cell r="AR69">
            <v>720.822</v>
          </cell>
          <cell r="AS69">
            <v>594.37099999999998</v>
          </cell>
          <cell r="AT69">
            <v>153.495</v>
          </cell>
          <cell r="AU69">
            <v>16256.5</v>
          </cell>
          <cell r="AV69">
            <v>17004.365999999998</v>
          </cell>
          <cell r="AW69">
            <v>0</v>
          </cell>
          <cell r="AX69">
            <v>0</v>
          </cell>
          <cell r="AY69">
            <v>0</v>
          </cell>
          <cell r="AZ69">
            <v>0</v>
          </cell>
          <cell r="BA69">
            <v>0</v>
          </cell>
          <cell r="BB69">
            <v>0</v>
          </cell>
          <cell r="BC69">
            <v>0</v>
          </cell>
          <cell r="BD69">
            <v>0</v>
          </cell>
          <cell r="BE69">
            <v>0</v>
          </cell>
        </row>
        <row r="70">
          <cell r="H70">
            <v>0</v>
          </cell>
          <cell r="I70">
            <v>0</v>
          </cell>
          <cell r="J70">
            <v>0</v>
          </cell>
          <cell r="K70">
            <v>0</v>
          </cell>
          <cell r="L70">
            <v>0</v>
          </cell>
          <cell r="M70">
            <v>0</v>
          </cell>
          <cell r="N70">
            <v>0</v>
          </cell>
          <cell r="O70">
            <v>0</v>
          </cell>
          <cell r="P70">
            <v>0</v>
          </cell>
          <cell r="Q70">
            <v>0</v>
          </cell>
          <cell r="R70">
            <v>0</v>
          </cell>
          <cell r="S70">
            <v>0</v>
          </cell>
          <cell r="T70">
            <v>0</v>
          </cell>
          <cell r="U70">
            <v>5.34</v>
          </cell>
          <cell r="W70">
            <v>22.13</v>
          </cell>
          <cell r="X70">
            <v>44.152000000000001</v>
          </cell>
          <cell r="Y70">
            <v>108.21299999999999</v>
          </cell>
          <cell r="Z70">
            <v>2428.002</v>
          </cell>
          <cell r="AA70">
            <v>1639.876</v>
          </cell>
          <cell r="AB70">
            <v>5076.7669999999998</v>
          </cell>
          <cell r="AC70">
            <v>293.06200000000001</v>
          </cell>
          <cell r="AD70">
            <v>0</v>
          </cell>
          <cell r="AE70">
            <v>148.376</v>
          </cell>
          <cell r="AF70">
            <v>205.71700000000001</v>
          </cell>
          <cell r="AG70">
            <v>65.893000000000001</v>
          </cell>
          <cell r="AH70">
            <v>0</v>
          </cell>
          <cell r="AI70">
            <v>0</v>
          </cell>
          <cell r="AJ70">
            <v>141.47499999999999</v>
          </cell>
          <cell r="AK70">
            <v>0</v>
          </cell>
          <cell r="AL70">
            <v>6249.1</v>
          </cell>
          <cell r="AM70">
            <v>59.509</v>
          </cell>
          <cell r="AN70">
            <v>15.701000000000001</v>
          </cell>
          <cell r="AO70">
            <v>0</v>
          </cell>
          <cell r="AR70">
            <v>112.02500000000001</v>
          </cell>
          <cell r="AS70">
            <v>65.893000000000001</v>
          </cell>
          <cell r="AT70">
            <v>4.5720000000000001</v>
          </cell>
          <cell r="AU70">
            <v>5266.9</v>
          </cell>
          <cell r="AV70">
            <v>5337.3649999999998</v>
          </cell>
          <cell r="AW70">
            <v>0</v>
          </cell>
          <cell r="AX70">
            <v>0</v>
          </cell>
          <cell r="AY70">
            <v>0</v>
          </cell>
          <cell r="AZ70">
            <v>0</v>
          </cell>
          <cell r="BA70">
            <v>0</v>
          </cell>
          <cell r="BB70">
            <v>0</v>
          </cell>
          <cell r="BC70">
            <v>0</v>
          </cell>
          <cell r="BD70">
            <v>0</v>
          </cell>
          <cell r="BE70">
            <v>0</v>
          </cell>
        </row>
        <row r="71">
          <cell r="H71">
            <v>0</v>
          </cell>
          <cell r="I71">
            <v>0</v>
          </cell>
          <cell r="J71">
            <v>0</v>
          </cell>
          <cell r="K71">
            <v>0</v>
          </cell>
          <cell r="L71">
            <v>0</v>
          </cell>
          <cell r="M71">
            <v>0</v>
          </cell>
          <cell r="N71">
            <v>0</v>
          </cell>
          <cell r="O71">
            <v>0</v>
          </cell>
          <cell r="P71">
            <v>0</v>
          </cell>
          <cell r="Q71">
            <v>0</v>
          </cell>
          <cell r="R71">
            <v>0</v>
          </cell>
          <cell r="S71">
            <v>0</v>
          </cell>
          <cell r="T71">
            <v>0</v>
          </cell>
          <cell r="U71">
            <v>13.272</v>
          </cell>
          <cell r="W71">
            <v>143.131</v>
          </cell>
          <cell r="X71">
            <v>123.297</v>
          </cell>
          <cell r="Y71">
            <v>137.387</v>
          </cell>
          <cell r="Z71">
            <v>2818.442</v>
          </cell>
          <cell r="AA71">
            <v>1833.835</v>
          </cell>
          <cell r="AB71">
            <v>5723.3919999999998</v>
          </cell>
          <cell r="AC71">
            <v>362.14100000000002</v>
          </cell>
          <cell r="AD71">
            <v>0</v>
          </cell>
          <cell r="AE71">
            <v>211.059</v>
          </cell>
          <cell r="AF71">
            <v>334.41300000000001</v>
          </cell>
          <cell r="AG71">
            <v>133.71899999999999</v>
          </cell>
          <cell r="AH71">
            <v>0</v>
          </cell>
          <cell r="AI71">
            <v>0</v>
          </cell>
          <cell r="AJ71">
            <v>155.59200000000001</v>
          </cell>
          <cell r="AK71">
            <v>0</v>
          </cell>
          <cell r="AL71">
            <v>7643.8</v>
          </cell>
          <cell r="AM71">
            <v>397.56299999999999</v>
          </cell>
          <cell r="AN71">
            <v>30.297000000000001</v>
          </cell>
          <cell r="AO71">
            <v>0</v>
          </cell>
          <cell r="AR71">
            <v>175.06899999999999</v>
          </cell>
          <cell r="AS71">
            <v>133.71899999999999</v>
          </cell>
          <cell r="AT71">
            <v>47.113999999999997</v>
          </cell>
          <cell r="AU71">
            <v>6770.7</v>
          </cell>
          <cell r="AV71">
            <v>6951.5329999999994</v>
          </cell>
          <cell r="AW71">
            <v>0</v>
          </cell>
          <cell r="AX71">
            <v>0</v>
          </cell>
          <cell r="AY71">
            <v>0</v>
          </cell>
          <cell r="AZ71">
            <v>0</v>
          </cell>
          <cell r="BA71">
            <v>0</v>
          </cell>
          <cell r="BB71">
            <v>0</v>
          </cell>
          <cell r="BC71">
            <v>0</v>
          </cell>
          <cell r="BD71">
            <v>0</v>
          </cell>
          <cell r="BE71">
            <v>0</v>
          </cell>
        </row>
        <row r="72">
          <cell r="H72">
            <v>0</v>
          </cell>
          <cell r="I72">
            <v>0</v>
          </cell>
          <cell r="J72">
            <v>0</v>
          </cell>
          <cell r="K72">
            <v>0</v>
          </cell>
          <cell r="L72">
            <v>0</v>
          </cell>
          <cell r="M72">
            <v>0</v>
          </cell>
          <cell r="N72">
            <v>0</v>
          </cell>
          <cell r="O72">
            <v>0</v>
          </cell>
          <cell r="P72">
            <v>0</v>
          </cell>
          <cell r="Q72">
            <v>0</v>
          </cell>
          <cell r="R72">
            <v>0</v>
          </cell>
          <cell r="S72">
            <v>0</v>
          </cell>
          <cell r="T72">
            <v>0</v>
          </cell>
          <cell r="U72">
            <v>0</v>
          </cell>
          <cell r="W72">
            <v>4.3860000000000001</v>
          </cell>
          <cell r="X72">
            <v>0</v>
          </cell>
          <cell r="Y72">
            <v>0</v>
          </cell>
          <cell r="Z72">
            <v>55.506999999999998</v>
          </cell>
          <cell r="AA72">
            <v>0</v>
          </cell>
          <cell r="AB72">
            <v>30</v>
          </cell>
          <cell r="AC72">
            <v>0</v>
          </cell>
          <cell r="AD72">
            <v>0</v>
          </cell>
          <cell r="AE72">
            <v>0</v>
          </cell>
          <cell r="AF72">
            <v>7.2430000000000003</v>
          </cell>
          <cell r="AG72">
            <v>12.371</v>
          </cell>
          <cell r="AH72">
            <v>0</v>
          </cell>
          <cell r="AI72">
            <v>0</v>
          </cell>
          <cell r="AJ72">
            <v>0</v>
          </cell>
          <cell r="AK72">
            <v>27.8</v>
          </cell>
          <cell r="AL72">
            <v>33.4</v>
          </cell>
          <cell r="AM72">
            <v>270.38200000000001</v>
          </cell>
          <cell r="AN72">
            <v>10.4</v>
          </cell>
          <cell r="AO72">
            <v>0</v>
          </cell>
          <cell r="AR72">
            <v>0</v>
          </cell>
          <cell r="AS72">
            <v>12.371</v>
          </cell>
          <cell r="AT72">
            <v>0</v>
          </cell>
          <cell r="AU72">
            <v>17.2</v>
          </cell>
          <cell r="AV72">
            <v>29.570999999999998</v>
          </cell>
          <cell r="AW72">
            <v>0</v>
          </cell>
          <cell r="AX72">
            <v>0</v>
          </cell>
          <cell r="AY72">
            <v>0</v>
          </cell>
          <cell r="AZ72">
            <v>0</v>
          </cell>
          <cell r="BA72">
            <v>0</v>
          </cell>
          <cell r="BB72">
            <v>0</v>
          </cell>
          <cell r="BC72">
            <v>0</v>
          </cell>
          <cell r="BD72">
            <v>0</v>
          </cell>
          <cell r="BE72">
            <v>0</v>
          </cell>
        </row>
        <row r="73">
          <cell r="H73">
            <v>0</v>
          </cell>
          <cell r="I73">
            <v>0</v>
          </cell>
          <cell r="J73">
            <v>0</v>
          </cell>
          <cell r="K73">
            <v>0</v>
          </cell>
          <cell r="L73">
            <v>0</v>
          </cell>
          <cell r="M73">
            <v>0</v>
          </cell>
          <cell r="N73">
            <v>0</v>
          </cell>
          <cell r="O73">
            <v>0</v>
          </cell>
          <cell r="P73">
            <v>0</v>
          </cell>
          <cell r="Q73">
            <v>0</v>
          </cell>
          <cell r="R73">
            <v>0</v>
          </cell>
          <cell r="S73">
            <v>0</v>
          </cell>
          <cell r="T73">
            <v>0</v>
          </cell>
          <cell r="U73">
            <v>0</v>
          </cell>
          <cell r="W73">
            <v>172.5</v>
          </cell>
          <cell r="X73">
            <v>0</v>
          </cell>
          <cell r="Y73">
            <v>0</v>
          </cell>
          <cell r="Z73">
            <v>0</v>
          </cell>
          <cell r="AA73">
            <v>300</v>
          </cell>
          <cell r="AB73">
            <v>300</v>
          </cell>
          <cell r="AC73">
            <v>0</v>
          </cell>
          <cell r="AD73">
            <v>0</v>
          </cell>
          <cell r="AE73">
            <v>0</v>
          </cell>
          <cell r="AF73">
            <v>0</v>
          </cell>
          <cell r="AG73">
            <v>0</v>
          </cell>
          <cell r="AH73">
            <v>0</v>
          </cell>
          <cell r="AI73">
            <v>0</v>
          </cell>
          <cell r="AJ73">
            <v>0</v>
          </cell>
          <cell r="AK73">
            <v>0</v>
          </cell>
          <cell r="AL73">
            <v>0</v>
          </cell>
          <cell r="AM73">
            <v>0</v>
          </cell>
          <cell r="AN73">
            <v>0</v>
          </cell>
          <cell r="AO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row>
        <row r="74">
          <cell r="H74">
            <v>0</v>
          </cell>
          <cell r="I74">
            <v>0</v>
          </cell>
          <cell r="J74">
            <v>0</v>
          </cell>
          <cell r="K74">
            <v>0</v>
          </cell>
          <cell r="L74">
            <v>0</v>
          </cell>
          <cell r="M74">
            <v>0</v>
          </cell>
          <cell r="N74">
            <v>0</v>
          </cell>
          <cell r="O74">
            <v>0</v>
          </cell>
          <cell r="P74">
            <v>0</v>
          </cell>
          <cell r="Q74">
            <v>0</v>
          </cell>
          <cell r="R74">
            <v>0</v>
          </cell>
          <cell r="S74">
            <v>0</v>
          </cell>
          <cell r="T74">
            <v>0</v>
          </cell>
          <cell r="U74">
            <v>3.028</v>
          </cell>
          <cell r="V74">
            <v>224.68799999999999</v>
          </cell>
          <cell r="W74">
            <v>14.313000000000001</v>
          </cell>
          <cell r="X74">
            <v>332</v>
          </cell>
          <cell r="Y74">
            <v>0</v>
          </cell>
          <cell r="Z74">
            <v>1398.4649999999999</v>
          </cell>
          <cell r="AA74">
            <v>340.93399999999997</v>
          </cell>
          <cell r="AB74">
            <v>1208.8889999999999</v>
          </cell>
          <cell r="AC74">
            <v>242.01499999999999</v>
          </cell>
          <cell r="AD74">
            <v>0</v>
          </cell>
          <cell r="AE74">
            <v>125</v>
          </cell>
          <cell r="AF74">
            <v>241.96799999999999</v>
          </cell>
          <cell r="AG74">
            <v>203.97300000000001</v>
          </cell>
          <cell r="AH74">
            <v>0</v>
          </cell>
          <cell r="AI74">
            <v>0</v>
          </cell>
          <cell r="AJ74">
            <v>227.2</v>
          </cell>
          <cell r="AK74">
            <v>929.7</v>
          </cell>
          <cell r="AL74">
            <v>1293.4000000000001</v>
          </cell>
          <cell r="AM74">
            <v>177.7</v>
          </cell>
          <cell r="AN74">
            <v>0</v>
          </cell>
          <cell r="AO74">
            <v>0</v>
          </cell>
          <cell r="AR74">
            <v>0</v>
          </cell>
          <cell r="AS74">
            <v>203.97300000000001</v>
          </cell>
          <cell r="AT74">
            <v>0</v>
          </cell>
          <cell r="AU74">
            <v>2464</v>
          </cell>
          <cell r="AV74">
            <v>2667.973</v>
          </cell>
          <cell r="AW74">
            <v>0</v>
          </cell>
          <cell r="AX74">
            <v>0</v>
          </cell>
          <cell r="AY74">
            <v>0</v>
          </cell>
          <cell r="AZ74">
            <v>0</v>
          </cell>
          <cell r="BA74">
            <v>0</v>
          </cell>
          <cell r="BB74">
            <v>0</v>
          </cell>
          <cell r="BC74">
            <v>0</v>
          </cell>
          <cell r="BD74">
            <v>0</v>
          </cell>
          <cell r="BE74">
            <v>0</v>
          </cell>
        </row>
        <row r="75">
          <cell r="H75">
            <v>0</v>
          </cell>
          <cell r="I75">
            <v>0</v>
          </cell>
          <cell r="J75">
            <v>0</v>
          </cell>
          <cell r="K75">
            <v>0</v>
          </cell>
          <cell r="L75">
            <v>0</v>
          </cell>
          <cell r="M75">
            <v>0</v>
          </cell>
          <cell r="N75">
            <v>0</v>
          </cell>
          <cell r="O75">
            <v>0</v>
          </cell>
          <cell r="P75">
            <v>0</v>
          </cell>
          <cell r="Q75">
            <v>0</v>
          </cell>
          <cell r="R75">
            <v>0</v>
          </cell>
          <cell r="S75">
            <v>0</v>
          </cell>
          <cell r="T75">
            <v>0</v>
          </cell>
          <cell r="U75">
            <v>0</v>
          </cell>
          <cell r="W75">
            <v>0</v>
          </cell>
          <cell r="X75">
            <v>0</v>
          </cell>
          <cell r="Y75">
            <v>0</v>
          </cell>
          <cell r="Z75">
            <v>300</v>
          </cell>
          <cell r="AA75">
            <v>0</v>
          </cell>
          <cell r="AB75">
            <v>0</v>
          </cell>
          <cell r="AC75">
            <v>132</v>
          </cell>
          <cell r="AD75">
            <v>0</v>
          </cell>
          <cell r="AE75">
            <v>0</v>
          </cell>
          <cell r="AF75">
            <v>0</v>
          </cell>
          <cell r="AG75">
            <v>0</v>
          </cell>
          <cell r="AH75">
            <v>0</v>
          </cell>
          <cell r="AI75">
            <v>0</v>
          </cell>
          <cell r="AJ75">
            <v>0</v>
          </cell>
          <cell r="AK75">
            <v>0</v>
          </cell>
          <cell r="AL75">
            <v>196.1</v>
          </cell>
          <cell r="AM75">
            <v>0</v>
          </cell>
          <cell r="AN75">
            <v>0</v>
          </cell>
          <cell r="AO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row>
        <row r="76">
          <cell r="H76">
            <v>0</v>
          </cell>
          <cell r="I76">
            <v>0</v>
          </cell>
          <cell r="J76">
            <v>0</v>
          </cell>
          <cell r="K76">
            <v>0</v>
          </cell>
          <cell r="L76">
            <v>0</v>
          </cell>
          <cell r="M76">
            <v>0</v>
          </cell>
          <cell r="N76">
            <v>0</v>
          </cell>
          <cell r="O76">
            <v>0</v>
          </cell>
          <cell r="P76">
            <v>0</v>
          </cell>
          <cell r="Q76">
            <v>0</v>
          </cell>
          <cell r="R76">
            <v>0</v>
          </cell>
          <cell r="S76">
            <v>0</v>
          </cell>
          <cell r="T76">
            <v>0</v>
          </cell>
          <cell r="U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row>
        <row r="77">
          <cell r="H77">
            <v>0</v>
          </cell>
          <cell r="I77">
            <v>0</v>
          </cell>
          <cell r="J77">
            <v>0</v>
          </cell>
          <cell r="K77">
            <v>0</v>
          </cell>
          <cell r="L77">
            <v>0</v>
          </cell>
          <cell r="M77">
            <v>0</v>
          </cell>
          <cell r="N77">
            <v>0</v>
          </cell>
          <cell r="O77">
            <v>0</v>
          </cell>
          <cell r="P77">
            <v>0</v>
          </cell>
          <cell r="Q77">
            <v>0</v>
          </cell>
          <cell r="R77">
            <v>0</v>
          </cell>
          <cell r="S77">
            <v>0</v>
          </cell>
          <cell r="T77">
            <v>0</v>
          </cell>
          <cell r="U77">
            <v>0</v>
          </cell>
          <cell r="W77">
            <v>2.4550000000000001</v>
          </cell>
          <cell r="X77">
            <v>45.417000000000002</v>
          </cell>
          <cell r="Y77">
            <v>0</v>
          </cell>
          <cell r="Z77">
            <v>0</v>
          </cell>
          <cell r="AA77">
            <v>0</v>
          </cell>
          <cell r="AB77">
            <v>0</v>
          </cell>
          <cell r="AC77">
            <v>0</v>
          </cell>
          <cell r="AD77">
            <v>0</v>
          </cell>
          <cell r="AE77">
            <v>0</v>
          </cell>
          <cell r="AF77">
            <v>7.5389999999999997</v>
          </cell>
          <cell r="AG77">
            <v>0</v>
          </cell>
          <cell r="AH77">
            <v>0</v>
          </cell>
          <cell r="AI77">
            <v>0</v>
          </cell>
          <cell r="AJ77">
            <v>1.321</v>
          </cell>
          <cell r="AK77">
            <v>0</v>
          </cell>
          <cell r="AL77">
            <v>0</v>
          </cell>
          <cell r="AM77">
            <v>0</v>
          </cell>
          <cell r="AN77">
            <v>0</v>
          </cell>
          <cell r="AO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row>
        <row r="78">
          <cell r="H78">
            <v>0</v>
          </cell>
          <cell r="I78">
            <v>0</v>
          </cell>
          <cell r="J78">
            <v>0</v>
          </cell>
          <cell r="K78">
            <v>0</v>
          </cell>
          <cell r="L78">
            <v>0</v>
          </cell>
          <cell r="M78">
            <v>0</v>
          </cell>
          <cell r="N78">
            <v>0</v>
          </cell>
          <cell r="O78">
            <v>0</v>
          </cell>
          <cell r="P78">
            <v>0</v>
          </cell>
          <cell r="Q78">
            <v>0</v>
          </cell>
          <cell r="R78">
            <v>0</v>
          </cell>
          <cell r="S78">
            <v>0</v>
          </cell>
          <cell r="T78">
            <v>0</v>
          </cell>
          <cell r="U78">
            <v>91.567999999999998</v>
          </cell>
          <cell r="V78">
            <v>471.05399999999997</v>
          </cell>
          <cell r="W78">
            <v>1703.2080000000001</v>
          </cell>
          <cell r="X78">
            <v>375.39800000000002</v>
          </cell>
          <cell r="Y78">
            <v>271.21300000000002</v>
          </cell>
          <cell r="Z78">
            <v>809.50900000000001</v>
          </cell>
          <cell r="AA78">
            <v>402.92500000000001</v>
          </cell>
          <cell r="AB78">
            <v>3049.7260000000001</v>
          </cell>
          <cell r="AC78">
            <v>246.459</v>
          </cell>
          <cell r="AD78">
            <v>0</v>
          </cell>
          <cell r="AE78">
            <v>324.77800000000002</v>
          </cell>
          <cell r="AF78">
            <v>707.42499999999995</v>
          </cell>
          <cell r="AG78">
            <v>245.49199999999999</v>
          </cell>
          <cell r="AH78">
            <v>0</v>
          </cell>
          <cell r="AI78">
            <v>0</v>
          </cell>
          <cell r="AJ78">
            <v>404.96600000000001</v>
          </cell>
          <cell r="AK78">
            <v>45.4</v>
          </cell>
          <cell r="AL78">
            <v>3783.1</v>
          </cell>
          <cell r="AM78">
            <v>805.57983000000002</v>
          </cell>
          <cell r="AN78">
            <v>75.504999999999995</v>
          </cell>
          <cell r="AO78">
            <v>0</v>
          </cell>
          <cell r="AR78">
            <v>543.28300000000002</v>
          </cell>
          <cell r="AS78">
            <v>245.49199999999999</v>
          </cell>
          <cell r="AT78">
            <v>103.72</v>
          </cell>
          <cell r="AU78">
            <v>6209</v>
          </cell>
          <cell r="AV78">
            <v>6209</v>
          </cell>
          <cell r="AW78">
            <v>0</v>
          </cell>
          <cell r="AX78">
            <v>0</v>
          </cell>
          <cell r="AY78">
            <v>0</v>
          </cell>
          <cell r="AZ78">
            <v>0</v>
          </cell>
          <cell r="BA78">
            <v>0</v>
          </cell>
          <cell r="BB78">
            <v>0</v>
          </cell>
          <cell r="BC78">
            <v>0</v>
          </cell>
          <cell r="BD78">
            <v>0</v>
          </cell>
          <cell r="BE78">
            <v>0</v>
          </cell>
        </row>
        <row r="80">
          <cell r="Z80" t="str">
            <v>Purchase price</v>
          </cell>
          <cell r="AA80">
            <v>2427.7871613734401</v>
          </cell>
          <cell r="AK80">
            <v>1025.9000000000001</v>
          </cell>
        </row>
        <row r="81">
          <cell r="Z81" t="str">
            <v>Goodwill created</v>
          </cell>
          <cell r="AA81">
            <v>1618.2781613734401</v>
          </cell>
          <cell r="AQ81">
            <v>0.01</v>
          </cell>
        </row>
        <row r="83">
          <cell r="H83">
            <v>0</v>
          </cell>
          <cell r="I83">
            <v>0</v>
          </cell>
          <cell r="J83">
            <v>0</v>
          </cell>
          <cell r="K83">
            <v>0</v>
          </cell>
          <cell r="L83">
            <v>0</v>
          </cell>
          <cell r="M83">
            <v>0</v>
          </cell>
          <cell r="N83">
            <v>0</v>
          </cell>
          <cell r="O83">
            <v>0</v>
          </cell>
          <cell r="P83">
            <v>0</v>
          </cell>
          <cell r="Q83">
            <v>0</v>
          </cell>
          <cell r="R83">
            <v>0</v>
          </cell>
          <cell r="S83">
            <v>0</v>
          </cell>
          <cell r="T83">
            <v>0</v>
          </cell>
          <cell r="U83">
            <v>21.657</v>
          </cell>
          <cell r="V83">
            <v>248.679</v>
          </cell>
          <cell r="W83">
            <v>156.005</v>
          </cell>
          <cell r="X83">
            <v>157.667</v>
          </cell>
          <cell r="Y83">
            <v>266.45699999999999</v>
          </cell>
          <cell r="Z83">
            <v>5476.2640000000001</v>
          </cell>
          <cell r="AA83">
            <v>3518.8519999999999</v>
          </cell>
          <cell r="AB83">
            <v>9918.6090000000004</v>
          </cell>
          <cell r="AC83">
            <v>966.68299999999999</v>
          </cell>
          <cell r="AD83">
            <v>0</v>
          </cell>
          <cell r="AE83">
            <v>455.31200000000001</v>
          </cell>
          <cell r="AF83">
            <v>647.09299999999996</v>
          </cell>
          <cell r="AG83">
            <v>215.48400000000001</v>
          </cell>
          <cell r="AH83">
            <v>178.49700000000001</v>
          </cell>
          <cell r="AI83">
            <v>172.74</v>
          </cell>
          <cell r="AJ83">
            <v>351.23700000000002</v>
          </cell>
          <cell r="AK83">
            <v>809.9</v>
          </cell>
          <cell r="AL83">
            <v>9629</v>
          </cell>
          <cell r="AM83">
            <v>292.33499999999998</v>
          </cell>
          <cell r="AN83">
            <v>93.427999999999997</v>
          </cell>
          <cell r="AO83">
            <v>0</v>
          </cell>
          <cell r="AP83">
            <v>305.11900000000003</v>
          </cell>
          <cell r="AQ83">
            <v>37.41225</v>
          </cell>
          <cell r="AR83">
            <v>357.39400000000001</v>
          </cell>
          <cell r="AS83">
            <v>215.48400000000001</v>
          </cell>
          <cell r="AT83">
            <v>50.173999999999999</v>
          </cell>
          <cell r="AU83">
            <v>11541.3</v>
          </cell>
          <cell r="AV83">
            <v>11806.958000000001</v>
          </cell>
          <cell r="AW83">
            <v>0</v>
          </cell>
          <cell r="AX83">
            <v>0</v>
          </cell>
          <cell r="AY83">
            <v>0</v>
          </cell>
          <cell r="AZ83">
            <v>0</v>
          </cell>
          <cell r="BA83">
            <v>0</v>
          </cell>
          <cell r="BB83">
            <v>0</v>
          </cell>
          <cell r="BC83">
            <v>0</v>
          </cell>
          <cell r="BD83">
            <v>0</v>
          </cell>
          <cell r="BE83">
            <v>0</v>
          </cell>
        </row>
        <row r="84">
          <cell r="H84">
            <v>0</v>
          </cell>
          <cell r="I84">
            <v>0</v>
          </cell>
          <cell r="J84">
            <v>0</v>
          </cell>
          <cell r="K84">
            <v>0</v>
          </cell>
          <cell r="L84">
            <v>0</v>
          </cell>
          <cell r="M84">
            <v>0</v>
          </cell>
          <cell r="N84">
            <v>0</v>
          </cell>
          <cell r="O84">
            <v>0</v>
          </cell>
          <cell r="P84">
            <v>0</v>
          </cell>
          <cell r="Q84">
            <v>0</v>
          </cell>
          <cell r="R84">
            <v>0</v>
          </cell>
          <cell r="S84">
            <v>0</v>
          </cell>
          <cell r="T84">
            <v>0</v>
          </cell>
          <cell r="U84">
            <v>17.899000000000001</v>
          </cell>
          <cell r="V84">
            <v>225.50800000000001</v>
          </cell>
          <cell r="W84">
            <v>141.75</v>
          </cell>
          <cell r="X84">
            <v>148.267</v>
          </cell>
          <cell r="Y84">
            <v>168.346</v>
          </cell>
          <cell r="Z84">
            <v>4805.4430000000002</v>
          </cell>
          <cell r="AA84">
            <v>2921.424</v>
          </cell>
          <cell r="AB84">
            <v>8467.9760000000006</v>
          </cell>
          <cell r="AC84">
            <v>924.50800000000004</v>
          </cell>
          <cell r="AD84">
            <v>0</v>
          </cell>
          <cell r="AE84">
            <v>449.39400000000001</v>
          </cell>
          <cell r="AF84">
            <v>593.89499999999998</v>
          </cell>
          <cell r="AG84">
            <v>181.416</v>
          </cell>
          <cell r="AH84">
            <v>124.28</v>
          </cell>
          <cell r="AI84">
            <v>174.83175</v>
          </cell>
          <cell r="AJ84">
            <v>299.11175000000003</v>
          </cell>
          <cell r="AK84">
            <v>708.8</v>
          </cell>
          <cell r="AL84">
            <v>8002.7</v>
          </cell>
          <cell r="AM84">
            <v>262.61099999999999</v>
          </cell>
          <cell r="AN84">
            <v>62.843999999999994</v>
          </cell>
          <cell r="AO84">
            <v>0</v>
          </cell>
          <cell r="AP84">
            <v>270.04000000000002</v>
          </cell>
          <cell r="AQ84">
            <v>33.266723499999998</v>
          </cell>
          <cell r="AR84">
            <v>326.089</v>
          </cell>
          <cell r="AS84">
            <v>181.416</v>
          </cell>
          <cell r="AT84">
            <v>46.067</v>
          </cell>
          <cell r="AU84">
            <v>10334.200000000001</v>
          </cell>
          <cell r="AV84">
            <v>10561.682999999999</v>
          </cell>
          <cell r="AW84">
            <v>0</v>
          </cell>
          <cell r="AX84">
            <v>0</v>
          </cell>
          <cell r="AY84">
            <v>0</v>
          </cell>
          <cell r="AZ84">
            <v>0</v>
          </cell>
          <cell r="BA84">
            <v>0</v>
          </cell>
          <cell r="BB84">
            <v>0</v>
          </cell>
          <cell r="BC84">
            <v>0</v>
          </cell>
          <cell r="BD84">
            <v>0</v>
          </cell>
          <cell r="BE84">
            <v>0</v>
          </cell>
        </row>
        <row r="85">
          <cell r="H85">
            <v>0</v>
          </cell>
          <cell r="I85">
            <v>0</v>
          </cell>
          <cell r="J85">
            <v>0</v>
          </cell>
          <cell r="K85">
            <v>0</v>
          </cell>
          <cell r="L85">
            <v>0</v>
          </cell>
          <cell r="M85">
            <v>0</v>
          </cell>
          <cell r="N85">
            <v>0</v>
          </cell>
          <cell r="O85">
            <v>0</v>
          </cell>
          <cell r="P85">
            <v>0</v>
          </cell>
          <cell r="Q85">
            <v>0</v>
          </cell>
          <cell r="R85">
            <v>0</v>
          </cell>
          <cell r="S85">
            <v>0</v>
          </cell>
          <cell r="T85">
            <v>0</v>
          </cell>
          <cell r="U85">
            <v>1.7278360343183984E-2</v>
          </cell>
          <cell r="V85">
            <v>0.43128503980766286</v>
          </cell>
          <cell r="W85">
            <v>0.42099100438629095</v>
          </cell>
          <cell r="X85">
            <v>0.3300802249607146</v>
          </cell>
          <cell r="Y85">
            <v>0.21561950471758168</v>
          </cell>
          <cell r="Z85">
            <v>0.31872743830702677</v>
          </cell>
          <cell r="AA85">
            <v>0.29031699628740149</v>
          </cell>
          <cell r="AB85">
            <v>0.84</v>
          </cell>
          <cell r="AC85">
            <v>0.29162740478994892</v>
          </cell>
          <cell r="AD85">
            <v>0</v>
          </cell>
          <cell r="AE85">
            <v>6.0223542610213163E-2</v>
          </cell>
          <cell r="AF85">
            <v>0.44770700492409626</v>
          </cell>
          <cell r="AG85">
            <v>0.40808768517133026</v>
          </cell>
          <cell r="AH85">
            <v>0</v>
          </cell>
          <cell r="AI85">
            <v>0</v>
          </cell>
          <cell r="AJ85">
            <v>0.45888117014543139</v>
          </cell>
          <cell r="AK85">
            <v>0.4525043177892919</v>
          </cell>
          <cell r="AL85">
            <v>0.37332887700534761</v>
          </cell>
          <cell r="AM85">
            <v>0.45</v>
          </cell>
          <cell r="AN85">
            <v>7.0000000000000007E-2</v>
          </cell>
          <cell r="AO85">
            <v>0</v>
          </cell>
          <cell r="AP85">
            <v>0.30981640291161994</v>
          </cell>
          <cell r="AQ85">
            <v>0.15012607013017476</v>
          </cell>
          <cell r="AR85">
            <v>0.36397215097105173</v>
          </cell>
          <cell r="AS85">
            <v>10.909000000000001</v>
          </cell>
          <cell r="AT85">
            <v>1.883</v>
          </cell>
          <cell r="AU85">
            <v>0</v>
          </cell>
          <cell r="AV85">
            <v>0.71137334829321408</v>
          </cell>
          <cell r="AW85">
            <v>0</v>
          </cell>
          <cell r="AX85">
            <v>0</v>
          </cell>
          <cell r="AY85">
            <v>0</v>
          </cell>
          <cell r="AZ85">
            <v>0</v>
          </cell>
          <cell r="BA85">
            <v>0</v>
          </cell>
          <cell r="BB85">
            <v>0</v>
          </cell>
          <cell r="BC85">
            <v>0</v>
          </cell>
          <cell r="BD85">
            <v>0</v>
          </cell>
          <cell r="BE85">
            <v>0</v>
          </cell>
        </row>
        <row r="86">
          <cell r="H86">
            <v>0</v>
          </cell>
          <cell r="I86">
            <v>0</v>
          </cell>
          <cell r="J86">
            <v>0</v>
          </cell>
          <cell r="K86">
            <v>0</v>
          </cell>
          <cell r="L86">
            <v>0</v>
          </cell>
          <cell r="M86">
            <v>0</v>
          </cell>
          <cell r="N86">
            <v>0</v>
          </cell>
          <cell r="O86">
            <v>0</v>
          </cell>
          <cell r="P86">
            <v>0</v>
          </cell>
          <cell r="Q86">
            <v>0</v>
          </cell>
          <cell r="R86">
            <v>0</v>
          </cell>
          <cell r="S86">
            <v>0</v>
          </cell>
          <cell r="T86">
            <v>0</v>
          </cell>
          <cell r="U86">
            <v>-1.5869880152772291E-2</v>
          </cell>
          <cell r="V86">
            <v>0.37235744721740821</v>
          </cell>
          <cell r="W86">
            <v>0.38252283498449885</v>
          </cell>
          <cell r="X86">
            <v>0.32712136578769435</v>
          </cell>
          <cell r="Y86">
            <v>0.19861669236299087</v>
          </cell>
          <cell r="Z86">
            <v>0.19353407875648096</v>
          </cell>
          <cell r="AA86">
            <v>0.24000267823754298</v>
          </cell>
          <cell r="AB86">
            <v>0.86386163431927232</v>
          </cell>
          <cell r="AC86">
            <v>0.25331095131911907</v>
          </cell>
          <cell r="AD86">
            <v>0</v>
          </cell>
          <cell r="AE86">
            <v>-5.3598091495930367E-2</v>
          </cell>
          <cell r="AF86">
            <v>0.36981411950122839</v>
          </cell>
          <cell r="AG86">
            <v>0.41052728681598466</v>
          </cell>
          <cell r="AH86">
            <v>0</v>
          </cell>
          <cell r="AI86">
            <v>0</v>
          </cell>
          <cell r="AJ86">
            <v>0.27767711258448685</v>
          </cell>
          <cell r="AK86">
            <v>0.29782807151007989</v>
          </cell>
          <cell r="AL86">
            <v>0.2348356489325652</v>
          </cell>
          <cell r="AM86">
            <v>0.41</v>
          </cell>
          <cell r="AN86">
            <v>-0.04</v>
          </cell>
          <cell r="AO86">
            <v>0</v>
          </cell>
          <cell r="AP86">
            <v>0.26646511352184482</v>
          </cell>
          <cell r="AQ86">
            <v>0.1235437885176776</v>
          </cell>
          <cell r="AR86">
            <v>0.31</v>
          </cell>
          <cell r="AS86">
            <v>11.1257</v>
          </cell>
          <cell r="AT86">
            <v>1.389</v>
          </cell>
          <cell r="AU86">
            <v>0</v>
          </cell>
          <cell r="AV86">
            <v>0.59019103295155451</v>
          </cell>
          <cell r="AW86">
            <v>0</v>
          </cell>
          <cell r="AX86">
            <v>0</v>
          </cell>
          <cell r="AY86">
            <v>0</v>
          </cell>
          <cell r="AZ86">
            <v>0</v>
          </cell>
          <cell r="BA86">
            <v>0</v>
          </cell>
          <cell r="BB86">
            <v>0</v>
          </cell>
          <cell r="BC86">
            <v>0</v>
          </cell>
          <cell r="BD86">
            <v>0</v>
          </cell>
          <cell r="BE86">
            <v>0</v>
          </cell>
        </row>
        <row r="88">
          <cell r="AK88">
            <v>1000</v>
          </cell>
        </row>
        <row r="90">
          <cell r="H90">
            <v>0</v>
          </cell>
          <cell r="I90">
            <v>0</v>
          </cell>
          <cell r="J90">
            <v>0</v>
          </cell>
          <cell r="K90">
            <v>0</v>
          </cell>
          <cell r="L90">
            <v>0</v>
          </cell>
          <cell r="M90">
            <v>0</v>
          </cell>
          <cell r="N90">
            <v>0</v>
          </cell>
          <cell r="O90">
            <v>0</v>
          </cell>
          <cell r="P90">
            <v>0</v>
          </cell>
          <cell r="Q90">
            <v>0</v>
          </cell>
          <cell r="R90">
            <v>0</v>
          </cell>
          <cell r="S90">
            <v>0</v>
          </cell>
          <cell r="T90">
            <v>0</v>
          </cell>
          <cell r="U90">
            <v>62.274999999999999</v>
          </cell>
          <cell r="W90">
            <v>476.03399999999999</v>
          </cell>
          <cell r="X90">
            <v>488.137</v>
          </cell>
          <cell r="Y90">
            <v>266.45699999999999</v>
          </cell>
          <cell r="Z90">
            <v>15240.338</v>
          </cell>
          <cell r="AA90">
            <v>10306.288</v>
          </cell>
          <cell r="AB90">
            <v>19604.884999999998</v>
          </cell>
          <cell r="AC90">
            <v>966.68299999999999</v>
          </cell>
          <cell r="AD90">
            <v>0</v>
          </cell>
          <cell r="AE90">
            <v>1350.422</v>
          </cell>
          <cell r="AF90">
            <v>647.09299999999996</v>
          </cell>
          <cell r="AG90">
            <v>215.48400000000001</v>
          </cell>
          <cell r="AH90">
            <v>465.33100000000002</v>
          </cell>
          <cell r="AI90">
            <v>518.22</v>
          </cell>
          <cell r="AJ90">
            <v>983.55100000000004</v>
          </cell>
          <cell r="AK90">
            <v>1585.4</v>
          </cell>
          <cell r="AL90">
            <v>27094.2</v>
          </cell>
          <cell r="AM90">
            <v>0</v>
          </cell>
          <cell r="AN90">
            <v>93.427999999999997</v>
          </cell>
          <cell r="AO90">
            <v>0</v>
          </cell>
          <cell r="AP90">
            <v>0</v>
          </cell>
          <cell r="AQ90">
            <v>0</v>
          </cell>
          <cell r="AR90">
            <v>1049.2940000000001</v>
          </cell>
          <cell r="AS90">
            <v>621.09399999999994</v>
          </cell>
          <cell r="AT90">
            <v>161.69800000000001</v>
          </cell>
          <cell r="AU90">
            <v>32628.400000000001</v>
          </cell>
          <cell r="AV90">
            <v>33411.191999999995</v>
          </cell>
          <cell r="AW90">
            <v>0</v>
          </cell>
          <cell r="AX90">
            <v>0</v>
          </cell>
          <cell r="AY90">
            <v>0</v>
          </cell>
          <cell r="AZ90">
            <v>0</v>
          </cell>
          <cell r="BA90">
            <v>0</v>
          </cell>
          <cell r="BB90">
            <v>0</v>
          </cell>
          <cell r="BC90">
            <v>0</v>
          </cell>
          <cell r="BD90">
            <v>0</v>
          </cell>
          <cell r="BE90">
            <v>0</v>
          </cell>
        </row>
        <row r="91">
          <cell r="H91">
            <v>0</v>
          </cell>
          <cell r="I91">
            <v>0</v>
          </cell>
          <cell r="J91">
            <v>0</v>
          </cell>
          <cell r="K91">
            <v>0</v>
          </cell>
          <cell r="L91">
            <v>0</v>
          </cell>
          <cell r="M91">
            <v>0</v>
          </cell>
          <cell r="N91">
            <v>0</v>
          </cell>
          <cell r="O91">
            <v>0</v>
          </cell>
          <cell r="P91">
            <v>0</v>
          </cell>
          <cell r="Q91">
            <v>0</v>
          </cell>
          <cell r="R91">
            <v>0</v>
          </cell>
          <cell r="S91">
            <v>0</v>
          </cell>
          <cell r="T91">
            <v>0</v>
          </cell>
          <cell r="U91">
            <v>53.747999999999998</v>
          </cell>
          <cell r="W91">
            <v>425.25</v>
          </cell>
          <cell r="X91">
            <v>449.28500000000003</v>
          </cell>
          <cell r="Y91">
            <v>168.346</v>
          </cell>
          <cell r="Z91">
            <v>13888.268</v>
          </cell>
          <cell r="AA91">
            <v>8582.2189999999991</v>
          </cell>
          <cell r="AB91">
            <v>16551.510999999999</v>
          </cell>
          <cell r="AC91">
            <v>924.50800000000004</v>
          </cell>
          <cell r="AD91">
            <v>0</v>
          </cell>
          <cell r="AE91">
            <v>1367.192</v>
          </cell>
          <cell r="AF91">
            <v>593.89499999999998</v>
          </cell>
          <cell r="AG91">
            <v>181.416</v>
          </cell>
          <cell r="AH91">
            <v>337.72699999999998</v>
          </cell>
          <cell r="AI91">
            <v>524.49524999999994</v>
          </cell>
          <cell r="AJ91">
            <v>862.22224999999992</v>
          </cell>
          <cell r="AK91">
            <v>1395.8</v>
          </cell>
          <cell r="AL91">
            <v>22885.200000000001</v>
          </cell>
          <cell r="AM91">
            <v>0</v>
          </cell>
          <cell r="AN91">
            <v>62.844000000000001</v>
          </cell>
          <cell r="AO91">
            <v>0</v>
          </cell>
          <cell r="AP91">
            <v>270.04000000000002</v>
          </cell>
          <cell r="AQ91">
            <v>0</v>
          </cell>
          <cell r="AR91">
            <v>965.88300000000004</v>
          </cell>
          <cell r="AS91">
            <v>507.48599999999999</v>
          </cell>
          <cell r="AT91">
            <v>135.73500000000001</v>
          </cell>
          <cell r="AU91">
            <v>28405.8</v>
          </cell>
          <cell r="AV91">
            <v>29049.021000000001</v>
          </cell>
          <cell r="AW91">
            <v>0</v>
          </cell>
          <cell r="AX91">
            <v>0</v>
          </cell>
          <cell r="AY91">
            <v>0</v>
          </cell>
          <cell r="AZ91">
            <v>0</v>
          </cell>
          <cell r="BA91">
            <v>0</v>
          </cell>
          <cell r="BB91">
            <v>0</v>
          </cell>
          <cell r="BC91">
            <v>0</v>
          </cell>
          <cell r="BD91">
            <v>0</v>
          </cell>
          <cell r="BE91">
            <v>0</v>
          </cell>
        </row>
        <row r="92">
          <cell r="H92">
            <v>0</v>
          </cell>
          <cell r="I92">
            <v>0</v>
          </cell>
          <cell r="J92">
            <v>0</v>
          </cell>
          <cell r="K92">
            <v>0</v>
          </cell>
          <cell r="L92">
            <v>0</v>
          </cell>
          <cell r="M92">
            <v>0</v>
          </cell>
          <cell r="N92">
            <v>0</v>
          </cell>
          <cell r="O92">
            <v>0</v>
          </cell>
          <cell r="P92">
            <v>0</v>
          </cell>
          <cell r="Q92">
            <v>0</v>
          </cell>
          <cell r="R92">
            <v>0</v>
          </cell>
          <cell r="S92">
            <v>0</v>
          </cell>
          <cell r="T92">
            <v>0</v>
          </cell>
          <cell r="U92">
            <v>71.149000000000001</v>
          </cell>
          <cell r="V92">
            <v>859.20799999999997</v>
          </cell>
          <cell r="W92">
            <v>567</v>
          </cell>
          <cell r="X92">
            <v>598.23099999999999</v>
          </cell>
          <cell r="Y92">
            <v>805.12</v>
          </cell>
          <cell r="Z92">
            <v>18725.611000000001</v>
          </cell>
          <cell r="AA92">
            <v>11609.995000000001</v>
          </cell>
          <cell r="AB92">
            <v>34599.31</v>
          </cell>
          <cell r="AC92">
            <v>3814.9940000000001</v>
          </cell>
          <cell r="AD92">
            <v>0</v>
          </cell>
          <cell r="AE92">
            <v>1794.932</v>
          </cell>
          <cell r="AF92">
            <v>2558.2429999999999</v>
          </cell>
          <cell r="AG92">
            <v>774.71799999999996</v>
          </cell>
          <cell r="AH92">
            <v>0</v>
          </cell>
          <cell r="AI92">
            <v>0</v>
          </cell>
          <cell r="AJ92">
            <v>1192.922</v>
          </cell>
          <cell r="AK92">
            <v>2880</v>
          </cell>
          <cell r="AL92">
            <v>31280.2</v>
          </cell>
          <cell r="AM92">
            <v>1179.4469999999999</v>
          </cell>
          <cell r="AN92">
            <v>297.92500000000001</v>
          </cell>
          <cell r="AO92">
            <v>0</v>
          </cell>
          <cell r="AP92">
            <v>1156.4549999999999</v>
          </cell>
          <cell r="AQ92">
            <v>149.649</v>
          </cell>
          <cell r="AR92">
            <v>1306.1039999999998</v>
          </cell>
          <cell r="AS92">
            <v>695.178</v>
          </cell>
          <cell r="AT92">
            <v>189.06200000000001</v>
          </cell>
          <cell r="AU92">
            <v>38660.1</v>
          </cell>
          <cell r="AV92">
            <v>39544.339999999997</v>
          </cell>
          <cell r="AW92">
            <v>0</v>
          </cell>
          <cell r="AX92">
            <v>0</v>
          </cell>
          <cell r="AY92">
            <v>0</v>
          </cell>
          <cell r="AZ92">
            <v>0</v>
          </cell>
          <cell r="BA92">
            <v>0</v>
          </cell>
          <cell r="BB92">
            <v>0</v>
          </cell>
          <cell r="BC92">
            <v>0</v>
          </cell>
          <cell r="BD92">
            <v>0</v>
          </cell>
          <cell r="BE92">
            <v>0</v>
          </cell>
        </row>
        <row r="93">
          <cell r="Z93">
            <v>20077.681</v>
          </cell>
          <cell r="AA93">
            <v>13334.064000000004</v>
          </cell>
        </row>
        <row r="94">
          <cell r="AA94" t="str">
            <v>Gross profit margin</v>
          </cell>
          <cell r="AB94">
            <v>0.94488973862334935</v>
          </cell>
          <cell r="AP94" t="str">
            <v>Webster 2 mos. 2002 rev Stub</v>
          </cell>
          <cell r="AR94">
            <v>33.628000000000043</v>
          </cell>
        </row>
        <row r="95">
          <cell r="AP95" t="str">
            <v>Webster 9 mos. 2001 rev Stub</v>
          </cell>
          <cell r="AR95">
            <v>114.54700000000003</v>
          </cell>
        </row>
        <row r="97">
          <cell r="H97">
            <v>0</v>
          </cell>
          <cell r="I97">
            <v>0</v>
          </cell>
          <cell r="J97">
            <v>0</v>
          </cell>
          <cell r="K97">
            <v>0</v>
          </cell>
          <cell r="L97">
            <v>0</v>
          </cell>
          <cell r="M97">
            <v>0</v>
          </cell>
          <cell r="N97">
            <v>0</v>
          </cell>
          <cell r="O97">
            <v>0</v>
          </cell>
          <cell r="P97">
            <v>0</v>
          </cell>
          <cell r="Q97">
            <v>0</v>
          </cell>
          <cell r="R97">
            <v>0</v>
          </cell>
          <cell r="S97">
            <v>0</v>
          </cell>
          <cell r="T97">
            <v>0</v>
          </cell>
          <cell r="U97">
            <v>19.698</v>
          </cell>
          <cell r="W97">
            <v>216.41900000000001</v>
          </cell>
          <cell r="X97">
            <v>216.59299999999999</v>
          </cell>
          <cell r="Y97">
            <v>236.62700000000001</v>
          </cell>
          <cell r="Z97">
            <v>14275.785999999998</v>
          </cell>
          <cell r="AA97">
            <v>9872.7469999999994</v>
          </cell>
          <cell r="AB97">
            <v>18618.958999999999</v>
          </cell>
          <cell r="AC97">
            <v>863.65200000000004</v>
          </cell>
          <cell r="AD97">
            <v>0</v>
          </cell>
          <cell r="AE97">
            <v>1038.3720000000001</v>
          </cell>
          <cell r="AF97">
            <v>468.70299999999997</v>
          </cell>
          <cell r="AG97">
            <v>133.029</v>
          </cell>
          <cell r="AH97">
            <v>391.76600000000002</v>
          </cell>
          <cell r="AI97">
            <v>360.16800000000001</v>
          </cell>
          <cell r="AJ97">
            <v>751.93399999999997</v>
          </cell>
          <cell r="AK97">
            <v>1166.8</v>
          </cell>
          <cell r="AL97">
            <v>25081.3</v>
          </cell>
          <cell r="AM97">
            <v>0</v>
          </cell>
          <cell r="AN97">
            <v>81.884</v>
          </cell>
          <cell r="AO97">
            <v>0</v>
          </cell>
          <cell r="AR97">
            <v>686.7298876000001</v>
          </cell>
          <cell r="AS97">
            <v>384.524</v>
          </cell>
          <cell r="AT97">
            <v>112.71599999999999</v>
          </cell>
          <cell r="AU97">
            <v>29644.7</v>
          </cell>
          <cell r="AV97">
            <v>30141.94</v>
          </cell>
          <cell r="AW97">
            <v>0</v>
          </cell>
          <cell r="AX97">
            <v>0</v>
          </cell>
          <cell r="AY97">
            <v>0</v>
          </cell>
          <cell r="AZ97">
            <v>0</v>
          </cell>
          <cell r="BA97">
            <v>0</v>
          </cell>
          <cell r="BB97">
            <v>0</v>
          </cell>
          <cell r="BC97">
            <v>0</v>
          </cell>
          <cell r="BD97">
            <v>0</v>
          </cell>
          <cell r="BE97">
            <v>0</v>
          </cell>
        </row>
        <row r="98">
          <cell r="H98">
            <v>0</v>
          </cell>
          <cell r="I98">
            <v>0</v>
          </cell>
          <cell r="J98">
            <v>0</v>
          </cell>
          <cell r="K98">
            <v>0</v>
          </cell>
          <cell r="L98">
            <v>0</v>
          </cell>
          <cell r="M98">
            <v>0</v>
          </cell>
          <cell r="N98">
            <v>0</v>
          </cell>
          <cell r="O98">
            <v>0</v>
          </cell>
          <cell r="P98">
            <v>0</v>
          </cell>
          <cell r="Q98">
            <v>0</v>
          </cell>
          <cell r="R98">
            <v>0</v>
          </cell>
          <cell r="S98">
            <v>0</v>
          </cell>
          <cell r="T98">
            <v>0</v>
          </cell>
          <cell r="U98">
            <v>18.738</v>
          </cell>
          <cell r="W98">
            <v>181.52725172831819</v>
          </cell>
          <cell r="X98">
            <v>198.11799999999999</v>
          </cell>
          <cell r="Y98">
            <v>146.73599999999999</v>
          </cell>
          <cell r="Z98">
            <v>12953.74</v>
          </cell>
          <cell r="AA98">
            <v>8201.2559999999994</v>
          </cell>
          <cell r="AB98">
            <v>15629.226999999999</v>
          </cell>
          <cell r="AC98">
            <v>825.625</v>
          </cell>
          <cell r="AD98">
            <v>0</v>
          </cell>
          <cell r="AE98">
            <v>1046.492</v>
          </cell>
          <cell r="AF98">
            <v>434.53800000000001</v>
          </cell>
          <cell r="AG98">
            <v>112.727</v>
          </cell>
          <cell r="AH98">
            <v>289.32</v>
          </cell>
          <cell r="AI98">
            <v>365.86500000000001</v>
          </cell>
          <cell r="AJ98">
            <v>655.18499999999995</v>
          </cell>
          <cell r="AK98">
            <v>1040.5999999999999</v>
          </cell>
          <cell r="AL98">
            <v>21145.200000000001</v>
          </cell>
          <cell r="AM98">
            <v>0</v>
          </cell>
          <cell r="AN98">
            <v>54.695999999999998</v>
          </cell>
          <cell r="AO98">
            <v>0</v>
          </cell>
          <cell r="AP98">
            <v>176.94499999999999</v>
          </cell>
          <cell r="AQ98">
            <v>0</v>
          </cell>
          <cell r="AR98">
            <v>636.44850990000009</v>
          </cell>
          <cell r="AS98">
            <v>320.38800000000003</v>
          </cell>
          <cell r="AT98">
            <v>96.327999999999989</v>
          </cell>
          <cell r="AU98">
            <v>25771.1</v>
          </cell>
          <cell r="AV98">
            <v>26187.815999999999</v>
          </cell>
          <cell r="AW98">
            <v>0</v>
          </cell>
          <cell r="AX98">
            <v>0</v>
          </cell>
          <cell r="AY98">
            <v>0</v>
          </cell>
          <cell r="AZ98">
            <v>0</v>
          </cell>
          <cell r="BA98">
            <v>0</v>
          </cell>
          <cell r="BB98">
            <v>0</v>
          </cell>
          <cell r="BC98">
            <v>0</v>
          </cell>
          <cell r="BD98">
            <v>0</v>
          </cell>
          <cell r="BE98">
            <v>0</v>
          </cell>
        </row>
        <row r="99">
          <cell r="H99">
            <v>0</v>
          </cell>
          <cell r="I99">
            <v>0</v>
          </cell>
          <cell r="J99">
            <v>0</v>
          </cell>
          <cell r="K99">
            <v>0</v>
          </cell>
          <cell r="L99">
            <v>0</v>
          </cell>
          <cell r="M99">
            <v>0</v>
          </cell>
          <cell r="N99">
            <v>0</v>
          </cell>
          <cell r="O99">
            <v>0</v>
          </cell>
          <cell r="P99">
            <v>0</v>
          </cell>
          <cell r="Q99">
            <v>0</v>
          </cell>
          <cell r="R99">
            <v>0</v>
          </cell>
          <cell r="S99">
            <v>0</v>
          </cell>
          <cell r="T99">
            <v>0</v>
          </cell>
          <cell r="U99">
            <v>24.577000000000002</v>
          </cell>
          <cell r="V99">
            <v>311.23200000000003</v>
          </cell>
          <cell r="W99">
            <v>242.03633563775759</v>
          </cell>
          <cell r="X99">
            <v>265.58699999999999</v>
          </cell>
          <cell r="Y99">
            <v>712.971</v>
          </cell>
          <cell r="Z99">
            <v>17486.464</v>
          </cell>
          <cell r="AA99">
            <v>11090.414000000001</v>
          </cell>
          <cell r="AB99">
            <v>32718.568999999996</v>
          </cell>
          <cell r="AC99">
            <v>3406.7579999999998</v>
          </cell>
          <cell r="AD99">
            <v>0</v>
          </cell>
          <cell r="AE99">
            <v>1384.3860000000002</v>
          </cell>
          <cell r="AF99">
            <v>1858.9190000000001</v>
          </cell>
          <cell r="AG99">
            <v>479.73500000000001</v>
          </cell>
          <cell r="AH99">
            <v>0</v>
          </cell>
          <cell r="AI99">
            <v>0</v>
          </cell>
          <cell r="AJ99">
            <v>914.89700000000005</v>
          </cell>
          <cell r="AK99">
            <v>2142.8000000000002</v>
          </cell>
          <cell r="AL99">
            <v>28849.200000000001</v>
          </cell>
          <cell r="AM99">
            <v>613.04200000000003</v>
          </cell>
          <cell r="AN99">
            <v>262.23200000000003</v>
          </cell>
          <cell r="AO99">
            <v>0</v>
          </cell>
          <cell r="AP99">
            <v>747.30100000000004</v>
          </cell>
          <cell r="AQ99">
            <v>110.994</v>
          </cell>
          <cell r="AR99">
            <v>858.29499999999996</v>
          </cell>
          <cell r="AS99">
            <v>435.90100000000001</v>
          </cell>
          <cell r="AT99">
            <v>133.524</v>
          </cell>
          <cell r="AU99">
            <v>35050.199999999997</v>
          </cell>
          <cell r="AV99">
            <v>35619.624999999993</v>
          </cell>
          <cell r="AW99">
            <v>0</v>
          </cell>
          <cell r="AX99">
            <v>0</v>
          </cell>
          <cell r="AY99">
            <v>0</v>
          </cell>
          <cell r="AZ99">
            <v>0</v>
          </cell>
          <cell r="BA99">
            <v>0</v>
          </cell>
          <cell r="BB99">
            <v>0</v>
          </cell>
          <cell r="BC99">
            <v>0</v>
          </cell>
          <cell r="BD99">
            <v>0</v>
          </cell>
          <cell r="BE99">
            <v>0</v>
          </cell>
        </row>
        <row r="100">
          <cell r="Z100">
            <v>18808.509999999998</v>
          </cell>
          <cell r="AA100">
            <v>12761.905000000001</v>
          </cell>
        </row>
        <row r="101">
          <cell r="AA101" t="str">
            <v>SG&amp;A margin</v>
          </cell>
          <cell r="AB101">
            <v>3.5396086017057772E-2</v>
          </cell>
        </row>
        <row r="104">
          <cell r="H104">
            <v>0</v>
          </cell>
          <cell r="I104">
            <v>0</v>
          </cell>
          <cell r="J104">
            <v>0</v>
          </cell>
          <cell r="K104">
            <v>0</v>
          </cell>
          <cell r="L104">
            <v>0</v>
          </cell>
          <cell r="M104">
            <v>0</v>
          </cell>
          <cell r="N104">
            <v>0</v>
          </cell>
          <cell r="O104">
            <v>0</v>
          </cell>
          <cell r="P104">
            <v>0</v>
          </cell>
          <cell r="Q104">
            <v>0</v>
          </cell>
          <cell r="R104">
            <v>0</v>
          </cell>
          <cell r="S104">
            <v>0</v>
          </cell>
          <cell r="T104">
            <v>0</v>
          </cell>
          <cell r="U104">
            <v>31.42</v>
          </cell>
          <cell r="W104">
            <v>132.999</v>
          </cell>
          <cell r="X104">
            <v>150.18799999999999</v>
          </cell>
          <cell r="Y104">
            <v>14.661</v>
          </cell>
          <cell r="Z104">
            <v>700.26400000000001</v>
          </cell>
          <cell r="AA104">
            <v>241.745</v>
          </cell>
          <cell r="AB104">
            <v>602.16800000000001</v>
          </cell>
          <cell r="AC104">
            <v>75.724000000000004</v>
          </cell>
          <cell r="AD104">
            <v>0</v>
          </cell>
          <cell r="AE104">
            <v>290.37700000000001</v>
          </cell>
          <cell r="AF104">
            <v>143.19200000000001</v>
          </cell>
          <cell r="AG104">
            <v>51.006999999999998</v>
          </cell>
          <cell r="AH104">
            <v>31.154</v>
          </cell>
          <cell r="AI104">
            <v>102.20399999999999</v>
          </cell>
          <cell r="AJ104">
            <v>133.358</v>
          </cell>
          <cell r="AK104">
            <v>303.60000000000002</v>
          </cell>
          <cell r="AL104">
            <v>1518.1</v>
          </cell>
          <cell r="AM104">
            <v>0</v>
          </cell>
          <cell r="AN104">
            <v>10.985999999999999</v>
          </cell>
          <cell r="AO104">
            <v>0</v>
          </cell>
          <cell r="AR104">
            <v>256.42146035999997</v>
          </cell>
          <cell r="AS104">
            <v>150.73399999999998</v>
          </cell>
          <cell r="AT104">
            <v>39.524999999999999</v>
          </cell>
          <cell r="AU104">
            <v>1552.4</v>
          </cell>
          <cell r="AV104">
            <v>1742.6590000000001</v>
          </cell>
          <cell r="AW104">
            <v>0</v>
          </cell>
          <cell r="AX104">
            <v>0</v>
          </cell>
          <cell r="AY104">
            <v>0</v>
          </cell>
          <cell r="AZ104">
            <v>0</v>
          </cell>
          <cell r="BA104">
            <v>0</v>
          </cell>
          <cell r="BB104">
            <v>0</v>
          </cell>
          <cell r="BC104">
            <v>0</v>
          </cell>
          <cell r="BD104">
            <v>0</v>
          </cell>
          <cell r="BE104">
            <v>0</v>
          </cell>
        </row>
        <row r="105">
          <cell r="H105">
            <v>0</v>
          </cell>
          <cell r="I105">
            <v>0</v>
          </cell>
          <cell r="J105">
            <v>0</v>
          </cell>
          <cell r="K105">
            <v>0</v>
          </cell>
          <cell r="L105">
            <v>0</v>
          </cell>
          <cell r="M105">
            <v>0</v>
          </cell>
          <cell r="N105">
            <v>0</v>
          </cell>
          <cell r="O105">
            <v>0</v>
          </cell>
          <cell r="P105">
            <v>0</v>
          </cell>
          <cell r="Q105">
            <v>0</v>
          </cell>
          <cell r="R105">
            <v>0</v>
          </cell>
          <cell r="S105">
            <v>0</v>
          </cell>
          <cell r="T105">
            <v>0</v>
          </cell>
          <cell r="U105">
            <v>27.006000000000004</v>
          </cell>
          <cell r="W105">
            <v>156.1768782149995</v>
          </cell>
          <cell r="X105">
            <v>144.71100000000001</v>
          </cell>
          <cell r="Y105">
            <v>8.9809999999999999</v>
          </cell>
          <cell r="Z105">
            <v>717.07899999999995</v>
          </cell>
          <cell r="AA105">
            <v>224.512</v>
          </cell>
          <cell r="AB105">
            <v>597.33799999999997</v>
          </cell>
          <cell r="AC105">
            <v>72.700999999999993</v>
          </cell>
          <cell r="AD105">
            <v>0</v>
          </cell>
          <cell r="AE105">
            <v>325.358</v>
          </cell>
          <cell r="AF105">
            <v>129.94999999999999</v>
          </cell>
          <cell r="AG105">
            <v>39.011000000000003</v>
          </cell>
          <cell r="AH105">
            <v>21.861000000000001</v>
          </cell>
          <cell r="AI105">
            <v>112.542</v>
          </cell>
          <cell r="AJ105">
            <v>134.40299999999999</v>
          </cell>
          <cell r="AK105">
            <v>258.39999999999998</v>
          </cell>
          <cell r="AL105">
            <v>1369.4</v>
          </cell>
          <cell r="AM105">
            <v>0</v>
          </cell>
          <cell r="AN105">
            <v>8.2260000000000009</v>
          </cell>
          <cell r="AO105">
            <v>0</v>
          </cell>
          <cell r="AP105">
            <v>68.897000000000006</v>
          </cell>
          <cell r="AQ105">
            <v>0</v>
          </cell>
          <cell r="AR105">
            <v>238.47122689000003</v>
          </cell>
          <cell r="AS105">
            <v>116.28100000000001</v>
          </cell>
          <cell r="AT105">
            <v>33.345999999999997</v>
          </cell>
          <cell r="AU105">
            <v>1431.9</v>
          </cell>
          <cell r="AV105">
            <v>1581.527</v>
          </cell>
          <cell r="AW105">
            <v>0</v>
          </cell>
          <cell r="AX105">
            <v>0</v>
          </cell>
          <cell r="AY105">
            <v>0</v>
          </cell>
          <cell r="AZ105">
            <v>0</v>
          </cell>
          <cell r="BA105">
            <v>0</v>
          </cell>
          <cell r="BB105">
            <v>0</v>
          </cell>
          <cell r="BC105">
            <v>0</v>
          </cell>
          <cell r="BD105">
            <v>0</v>
          </cell>
          <cell r="BE105">
            <v>0</v>
          </cell>
        </row>
        <row r="106">
          <cell r="H106">
            <v>0</v>
          </cell>
          <cell r="I106">
            <v>0</v>
          </cell>
          <cell r="J106">
            <v>0</v>
          </cell>
          <cell r="K106">
            <v>0</v>
          </cell>
          <cell r="L106">
            <v>0</v>
          </cell>
          <cell r="M106">
            <v>0</v>
          </cell>
          <cell r="N106">
            <v>0</v>
          </cell>
          <cell r="O106">
            <v>0</v>
          </cell>
          <cell r="P106">
            <v>0</v>
          </cell>
          <cell r="Q106">
            <v>0</v>
          </cell>
          <cell r="R106">
            <v>0</v>
          </cell>
          <cell r="S106">
            <v>0</v>
          </cell>
          <cell r="T106">
            <v>0</v>
          </cell>
          <cell r="U106">
            <v>33.099999999999994</v>
          </cell>
          <cell r="V106">
            <v>269.70600000000002</v>
          </cell>
          <cell r="W106">
            <v>208.23583761999933</v>
          </cell>
          <cell r="X106">
            <v>181.56799999999998</v>
          </cell>
          <cell r="Y106">
            <v>48.348999999999997</v>
          </cell>
          <cell r="Z106">
            <v>879.18899999999996</v>
          </cell>
          <cell r="AA106">
            <v>303.03800000000001</v>
          </cell>
          <cell r="AB106">
            <v>1197.5029999999999</v>
          </cell>
          <cell r="AC106">
            <v>296.80700000000002</v>
          </cell>
          <cell r="AD106">
            <v>0</v>
          </cell>
          <cell r="AE106">
            <v>384.77600000000001</v>
          </cell>
          <cell r="AF106">
            <v>544.27799999999991</v>
          </cell>
          <cell r="AG106">
            <v>180.54499999999999</v>
          </cell>
          <cell r="AH106">
            <v>0</v>
          </cell>
          <cell r="AI106">
            <v>0</v>
          </cell>
          <cell r="AJ106">
            <v>172.601</v>
          </cell>
          <cell r="AK106">
            <v>0</v>
          </cell>
          <cell r="AL106">
            <v>2075.5</v>
          </cell>
          <cell r="AM106">
            <v>347.03</v>
          </cell>
          <cell r="AN106">
            <v>34.326999999999998</v>
          </cell>
          <cell r="AO106">
            <v>0</v>
          </cell>
          <cell r="AP106">
            <v>294.03899999999999</v>
          </cell>
          <cell r="AQ106">
            <v>28.146000000000001</v>
          </cell>
          <cell r="AR106">
            <v>322.185</v>
          </cell>
          <cell r="AS106">
            <v>158.08800000000002</v>
          </cell>
          <cell r="AT106">
            <v>46.335999999999999</v>
          </cell>
          <cell r="AU106">
            <v>1999.6</v>
          </cell>
          <cell r="AV106">
            <v>2204.0239999999999</v>
          </cell>
          <cell r="AW106">
            <v>0</v>
          </cell>
          <cell r="AX106">
            <v>0</v>
          </cell>
          <cell r="AY106">
            <v>0</v>
          </cell>
          <cell r="AZ106">
            <v>0</v>
          </cell>
          <cell r="BA106">
            <v>0</v>
          </cell>
          <cell r="BB106">
            <v>0</v>
          </cell>
          <cell r="BC106">
            <v>0</v>
          </cell>
          <cell r="BD106">
            <v>0</v>
          </cell>
          <cell r="BE106">
            <v>0</v>
          </cell>
        </row>
        <row r="107">
          <cell r="Z107">
            <v>862.37400000000002</v>
          </cell>
          <cell r="AA107">
            <v>320.27100000000002</v>
          </cell>
        </row>
        <row r="108">
          <cell r="AB108">
            <v>683.23800000000188</v>
          </cell>
        </row>
        <row r="111">
          <cell r="H111">
            <v>0</v>
          </cell>
          <cell r="I111">
            <v>0</v>
          </cell>
          <cell r="J111">
            <v>0</v>
          </cell>
          <cell r="K111">
            <v>0</v>
          </cell>
          <cell r="L111">
            <v>0</v>
          </cell>
          <cell r="M111">
            <v>0</v>
          </cell>
          <cell r="N111">
            <v>0</v>
          </cell>
          <cell r="O111">
            <v>0</v>
          </cell>
          <cell r="P111">
            <v>0</v>
          </cell>
          <cell r="Q111">
            <v>0</v>
          </cell>
          <cell r="R111">
            <v>0</v>
          </cell>
          <cell r="S111">
            <v>0</v>
          </cell>
          <cell r="T111">
            <v>0</v>
          </cell>
          <cell r="U111">
            <v>11.292999999999999</v>
          </cell>
          <cell r="W111">
            <v>29.094999999999999</v>
          </cell>
          <cell r="X111">
            <v>33.395000000000003</v>
          </cell>
          <cell r="Y111">
            <v>0</v>
          </cell>
          <cell r="Z111">
            <v>0</v>
          </cell>
          <cell r="AA111">
            <v>0</v>
          </cell>
          <cell r="AB111">
            <v>0</v>
          </cell>
          <cell r="AC111">
            <v>0</v>
          </cell>
          <cell r="AD111">
            <v>0</v>
          </cell>
          <cell r="AE111">
            <v>0</v>
          </cell>
          <cell r="AF111">
            <v>0</v>
          </cell>
          <cell r="AG111">
            <v>0</v>
          </cell>
          <cell r="AH111">
            <v>0</v>
          </cell>
          <cell r="AI111">
            <v>0</v>
          </cell>
          <cell r="AJ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row>
        <row r="112">
          <cell r="H112">
            <v>0</v>
          </cell>
          <cell r="I112">
            <v>0</v>
          </cell>
          <cell r="J112">
            <v>0</v>
          </cell>
          <cell r="K112">
            <v>0</v>
          </cell>
          <cell r="L112">
            <v>0</v>
          </cell>
          <cell r="M112">
            <v>0</v>
          </cell>
          <cell r="N112">
            <v>0</v>
          </cell>
          <cell r="O112">
            <v>0</v>
          </cell>
          <cell r="P112">
            <v>0</v>
          </cell>
          <cell r="Q112">
            <v>0</v>
          </cell>
          <cell r="R112">
            <v>0</v>
          </cell>
          <cell r="S112">
            <v>0</v>
          </cell>
          <cell r="T112">
            <v>0</v>
          </cell>
          <cell r="U112">
            <v>8.11</v>
          </cell>
          <cell r="W112">
            <v>31.519609449231673</v>
          </cell>
          <cell r="X112">
            <v>30.375</v>
          </cell>
          <cell r="Y112">
            <v>0</v>
          </cell>
          <cell r="Z112">
            <v>0</v>
          </cell>
          <cell r="AA112">
            <v>0</v>
          </cell>
          <cell r="AB112">
            <v>0</v>
          </cell>
          <cell r="AC112">
            <v>0</v>
          </cell>
          <cell r="AD112">
            <v>0</v>
          </cell>
          <cell r="AE112">
            <v>0</v>
          </cell>
          <cell r="AF112">
            <v>0</v>
          </cell>
          <cell r="AG112">
            <v>0</v>
          </cell>
          <cell r="AH112">
            <v>0</v>
          </cell>
          <cell r="AI112">
            <v>0</v>
          </cell>
          <cell r="AJ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row>
        <row r="113">
          <cell r="H113">
            <v>0</v>
          </cell>
          <cell r="I113">
            <v>0</v>
          </cell>
          <cell r="J113">
            <v>0</v>
          </cell>
          <cell r="K113">
            <v>0</v>
          </cell>
          <cell r="L113">
            <v>0</v>
          </cell>
          <cell r="M113">
            <v>0</v>
          </cell>
          <cell r="N113">
            <v>0</v>
          </cell>
          <cell r="O113">
            <v>0</v>
          </cell>
          <cell r="P113">
            <v>0</v>
          </cell>
          <cell r="Q113">
            <v>0</v>
          </cell>
          <cell r="R113">
            <v>0</v>
          </cell>
          <cell r="S113">
            <v>0</v>
          </cell>
          <cell r="T113">
            <v>0</v>
          </cell>
          <cell r="U113">
            <v>11.116</v>
          </cell>
          <cell r="V113">
            <v>46.601999999999997</v>
          </cell>
          <cell r="W113">
            <v>42.0261459323089</v>
          </cell>
          <cell r="X113">
            <v>39.486000000000004</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147.5</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row>
        <row r="116">
          <cell r="AF116">
            <v>29.406999999999982</v>
          </cell>
        </row>
        <row r="117">
          <cell r="AF117">
            <v>155.04599999999994</v>
          </cell>
        </row>
        <row r="119">
          <cell r="H119">
            <v>0</v>
          </cell>
          <cell r="I119">
            <v>0</v>
          </cell>
          <cell r="J119">
            <v>0</v>
          </cell>
          <cell r="K119">
            <v>0</v>
          </cell>
          <cell r="L119">
            <v>0</v>
          </cell>
          <cell r="M119">
            <v>0</v>
          </cell>
          <cell r="N119">
            <v>0</v>
          </cell>
          <cell r="O119">
            <v>0</v>
          </cell>
          <cell r="P119">
            <v>0</v>
          </cell>
          <cell r="Q119">
            <v>0</v>
          </cell>
          <cell r="R119">
            <v>0</v>
          </cell>
          <cell r="S119">
            <v>0</v>
          </cell>
          <cell r="T119">
            <v>0</v>
          </cell>
          <cell r="U119">
            <v>-0.1359999999999999</v>
          </cell>
          <cell r="W119">
            <v>97.520999999999987</v>
          </cell>
          <cell r="X119">
            <v>87.960999999999999</v>
          </cell>
          <cell r="Y119">
            <v>14.523</v>
          </cell>
          <cell r="Z119">
            <v>264.28800000000001</v>
          </cell>
          <cell r="AA119">
            <v>179.416</v>
          </cell>
          <cell r="AB119">
            <v>354.30900000000003</v>
          </cell>
          <cell r="AC119">
            <v>23.326000000000001</v>
          </cell>
          <cell r="AD119">
            <v>0</v>
          </cell>
          <cell r="AE119">
            <v>25.34</v>
          </cell>
          <cell r="AF119">
            <v>35.198</v>
          </cell>
          <cell r="AG119">
            <v>21.308</v>
          </cell>
          <cell r="AH119">
            <v>36.216000000000001</v>
          </cell>
          <cell r="AI119">
            <v>28.707000000000001</v>
          </cell>
          <cell r="AJ119">
            <v>64.923000000000002</v>
          </cell>
          <cell r="AK119">
            <v>115</v>
          </cell>
          <cell r="AL119">
            <v>552.70000000000005</v>
          </cell>
          <cell r="AM119">
            <v>0</v>
          </cell>
          <cell r="AN119">
            <v>11.609</v>
          </cell>
          <cell r="AO119">
            <v>0</v>
          </cell>
          <cell r="AR119">
            <v>110.62633092</v>
          </cell>
          <cell r="AS119">
            <v>53.835000000000001</v>
          </cell>
          <cell r="AT119">
            <v>9.4570000000000007</v>
          </cell>
          <cell r="AU119">
            <v>1431.3</v>
          </cell>
          <cell r="AV119">
            <v>1494.5920000000001</v>
          </cell>
          <cell r="AW119">
            <v>0</v>
          </cell>
          <cell r="AX119">
            <v>0</v>
          </cell>
          <cell r="AY119">
            <v>0</v>
          </cell>
          <cell r="AZ119">
            <v>0</v>
          </cell>
          <cell r="BA119">
            <v>0</v>
          </cell>
          <cell r="BB119">
            <v>0</v>
          </cell>
          <cell r="BC119">
            <v>0</v>
          </cell>
          <cell r="BD119">
            <v>0</v>
          </cell>
          <cell r="BE119">
            <v>0</v>
          </cell>
        </row>
        <row r="120">
          <cell r="H120">
            <v>0</v>
          </cell>
          <cell r="I120">
            <v>0</v>
          </cell>
          <cell r="J120">
            <v>0</v>
          </cell>
          <cell r="K120">
            <v>0</v>
          </cell>
          <cell r="L120">
            <v>0</v>
          </cell>
          <cell r="M120">
            <v>0</v>
          </cell>
          <cell r="N120">
            <v>0</v>
          </cell>
          <cell r="O120">
            <v>0</v>
          </cell>
          <cell r="P120">
            <v>0</v>
          </cell>
          <cell r="Q120">
            <v>0</v>
          </cell>
          <cell r="R120">
            <v>0</v>
          </cell>
          <cell r="S120">
            <v>0</v>
          </cell>
          <cell r="T120">
            <v>0</v>
          </cell>
          <cell r="U120">
            <v>-0.10600000000000165</v>
          </cell>
          <cell r="W120">
            <v>53.954883522820339</v>
          </cell>
          <cell r="X120">
            <v>76.080999999999989</v>
          </cell>
          <cell r="Y120">
            <v>12.225</v>
          </cell>
          <cell r="Z120">
            <v>217.44900000000001</v>
          </cell>
          <cell r="AA120">
            <v>144.625</v>
          </cell>
          <cell r="AB120">
            <v>294.02499999999998</v>
          </cell>
          <cell r="AC120">
            <v>20.574999999999999</v>
          </cell>
          <cell r="AD120">
            <v>0</v>
          </cell>
          <cell r="AE120">
            <v>34.225999999999999</v>
          </cell>
          <cell r="AF120">
            <v>29.407</v>
          </cell>
          <cell r="AG120">
            <v>21.936999999999998</v>
          </cell>
          <cell r="AH120">
            <v>19.831</v>
          </cell>
          <cell r="AI120">
            <v>26.346000000000004</v>
          </cell>
          <cell r="AJ120">
            <v>46.177000000000007</v>
          </cell>
          <cell r="AK120">
            <v>96.8</v>
          </cell>
          <cell r="AL120">
            <v>410.5</v>
          </cell>
          <cell r="AM120">
            <v>0</v>
          </cell>
          <cell r="AN120">
            <v>9.3010000000000002</v>
          </cell>
          <cell r="AO120">
            <v>0</v>
          </cell>
          <cell r="AP120">
            <v>24.198</v>
          </cell>
          <cell r="AQ120">
            <v>0</v>
          </cell>
          <cell r="AR120">
            <v>96.873057330000009</v>
          </cell>
          <cell r="AS120">
            <v>48.537999999999997</v>
          </cell>
          <cell r="AT120">
            <v>6.46</v>
          </cell>
          <cell r="AU120">
            <v>1203.8</v>
          </cell>
          <cell r="AV120">
            <v>1258.7979999999998</v>
          </cell>
          <cell r="AW120">
            <v>0</v>
          </cell>
          <cell r="AX120">
            <v>0</v>
          </cell>
          <cell r="AY120">
            <v>0</v>
          </cell>
          <cell r="AZ120">
            <v>0</v>
          </cell>
          <cell r="BA120">
            <v>0</v>
          </cell>
          <cell r="BB120">
            <v>0</v>
          </cell>
          <cell r="BC120">
            <v>0</v>
          </cell>
          <cell r="BD120">
            <v>0</v>
          </cell>
          <cell r="BE120">
            <v>0</v>
          </cell>
        </row>
        <row r="121">
          <cell r="H121">
            <v>0</v>
          </cell>
          <cell r="I121">
            <v>0</v>
          </cell>
          <cell r="J121">
            <v>0</v>
          </cell>
          <cell r="K121">
            <v>0</v>
          </cell>
          <cell r="L121">
            <v>0</v>
          </cell>
          <cell r="M121">
            <v>0</v>
          </cell>
          <cell r="N121">
            <v>0</v>
          </cell>
          <cell r="O121">
            <v>0</v>
          </cell>
          <cell r="P121">
            <v>0</v>
          </cell>
          <cell r="Q121">
            <v>0</v>
          </cell>
          <cell r="R121">
            <v>0</v>
          </cell>
          <cell r="S121">
            <v>0</v>
          </cell>
          <cell r="T121">
            <v>0</v>
          </cell>
          <cell r="U121">
            <v>0.8819999999999979</v>
          </cell>
          <cell r="V121">
            <v>231.66800000000001</v>
          </cell>
          <cell r="W121">
            <v>71.93984469709379</v>
          </cell>
          <cell r="X121">
            <v>111.59</v>
          </cell>
          <cell r="Y121">
            <v>45.207000000000001</v>
          </cell>
          <cell r="Z121">
            <v>283.30200000000002</v>
          </cell>
          <cell r="AA121">
            <v>200.434</v>
          </cell>
          <cell r="AB121">
            <v>620.68299999999999</v>
          </cell>
          <cell r="AC121">
            <v>88.96</v>
          </cell>
          <cell r="AD121">
            <v>0</v>
          </cell>
          <cell r="AE121">
            <v>25.77</v>
          </cell>
          <cell r="AF121">
            <v>155.04599999999999</v>
          </cell>
          <cell r="AG121">
            <v>74.876999999999995</v>
          </cell>
          <cell r="AH121">
            <v>0</v>
          </cell>
          <cell r="AI121">
            <v>0</v>
          </cell>
          <cell r="AJ121">
            <v>56.185000000000002</v>
          </cell>
          <cell r="AK121">
            <v>209</v>
          </cell>
          <cell r="AL121">
            <v>576.79999999999995</v>
          </cell>
          <cell r="AM121">
            <v>219.375</v>
          </cell>
          <cell r="AN121">
            <v>-5.774</v>
          </cell>
          <cell r="AO121">
            <v>0</v>
          </cell>
          <cell r="AP121">
            <v>115.11499999999999</v>
          </cell>
          <cell r="AQ121">
            <v>10.509</v>
          </cell>
          <cell r="AR121">
            <v>122.532</v>
          </cell>
          <cell r="AS121">
            <v>68.950999999999993</v>
          </cell>
          <cell r="AT121">
            <v>9.202</v>
          </cell>
          <cell r="AU121">
            <v>1612</v>
          </cell>
          <cell r="AV121">
            <v>1690.153</v>
          </cell>
          <cell r="AW121">
            <v>0</v>
          </cell>
          <cell r="AX121">
            <v>0</v>
          </cell>
          <cell r="AY121">
            <v>0</v>
          </cell>
          <cell r="AZ121">
            <v>0</v>
          </cell>
          <cell r="BA121">
            <v>0</v>
          </cell>
          <cell r="BB121">
            <v>0</v>
          </cell>
          <cell r="BC121">
            <v>0</v>
          </cell>
          <cell r="BD121">
            <v>0</v>
          </cell>
          <cell r="BE121">
            <v>0</v>
          </cell>
        </row>
        <row r="122">
          <cell r="Z122">
            <v>330.14100000000002</v>
          </cell>
          <cell r="AA122">
            <v>235.22499999999999</v>
          </cell>
        </row>
        <row r="123">
          <cell r="AA123" t="str">
            <v>EBIT margin</v>
          </cell>
          <cell r="AB123">
            <v>1.6921175472876377E-2</v>
          </cell>
        </row>
        <row r="126">
          <cell r="H126">
            <v>0</v>
          </cell>
          <cell r="I126">
            <v>0</v>
          </cell>
          <cell r="J126">
            <v>0</v>
          </cell>
          <cell r="K126">
            <v>0</v>
          </cell>
          <cell r="L126">
            <v>0</v>
          </cell>
          <cell r="M126">
            <v>0</v>
          </cell>
          <cell r="N126">
            <v>0</v>
          </cell>
          <cell r="O126">
            <v>0</v>
          </cell>
          <cell r="P126">
            <v>0</v>
          </cell>
          <cell r="Q126">
            <v>0</v>
          </cell>
          <cell r="R126">
            <v>0</v>
          </cell>
          <cell r="S126">
            <v>0</v>
          </cell>
          <cell r="T126">
            <v>0</v>
          </cell>
          <cell r="U126">
            <v>-0.76</v>
          </cell>
          <cell r="W126">
            <v>7.9530000000000003</v>
          </cell>
          <cell r="X126">
            <v>19.346</v>
          </cell>
          <cell r="Y126">
            <v>0</v>
          </cell>
          <cell r="Z126">
            <v>112.25200000000001</v>
          </cell>
          <cell r="AA126">
            <v>20.698333333333334</v>
          </cell>
          <cell r="AB126">
            <v>75.745000000000005</v>
          </cell>
          <cell r="AC126">
            <v>3.367</v>
          </cell>
          <cell r="AD126">
            <v>0</v>
          </cell>
          <cell r="AE126">
            <v>9.7590000000000003</v>
          </cell>
          <cell r="AF126">
            <v>4.8280000000000003</v>
          </cell>
          <cell r="AG126">
            <v>0</v>
          </cell>
          <cell r="AH126">
            <v>0</v>
          </cell>
          <cell r="AI126">
            <v>0.11</v>
          </cell>
          <cell r="AJ126">
            <v>7.6979999999999995</v>
          </cell>
          <cell r="AK126">
            <v>47.4</v>
          </cell>
          <cell r="AL126">
            <v>81.2</v>
          </cell>
          <cell r="AM126">
            <v>0</v>
          </cell>
          <cell r="AN126">
            <v>8.6999999999999994E-2</v>
          </cell>
          <cell r="AO126">
            <v>0</v>
          </cell>
          <cell r="AP126">
            <v>0</v>
          </cell>
          <cell r="AQ126">
            <v>0</v>
          </cell>
          <cell r="AR126">
            <v>8.3000000000000004E-2</v>
          </cell>
          <cell r="AS126">
            <v>5.7580000000000009</v>
          </cell>
          <cell r="AT126">
            <v>0</v>
          </cell>
          <cell r="AU126">
            <v>107</v>
          </cell>
          <cell r="AV126">
            <v>112.758</v>
          </cell>
          <cell r="AW126">
            <v>0</v>
          </cell>
          <cell r="AX126">
            <v>0</v>
          </cell>
          <cell r="AY126">
            <v>0</v>
          </cell>
          <cell r="AZ126">
            <v>0</v>
          </cell>
          <cell r="BA126">
            <v>0</v>
          </cell>
          <cell r="BB126">
            <v>0</v>
          </cell>
          <cell r="BC126">
            <v>0</v>
          </cell>
          <cell r="BD126">
            <v>0</v>
          </cell>
          <cell r="BE126">
            <v>0</v>
          </cell>
        </row>
        <row r="127">
          <cell r="H127">
            <v>0</v>
          </cell>
          <cell r="I127">
            <v>0</v>
          </cell>
          <cell r="J127">
            <v>0</v>
          </cell>
          <cell r="K127">
            <v>0</v>
          </cell>
          <cell r="L127">
            <v>0</v>
          </cell>
          <cell r="M127">
            <v>0</v>
          </cell>
          <cell r="N127">
            <v>0</v>
          </cell>
          <cell r="O127">
            <v>0</v>
          </cell>
          <cell r="P127">
            <v>0</v>
          </cell>
          <cell r="Q127">
            <v>0</v>
          </cell>
          <cell r="R127">
            <v>0</v>
          </cell>
          <cell r="S127">
            <v>0</v>
          </cell>
          <cell r="T127">
            <v>0</v>
          </cell>
          <cell r="U127">
            <v>-0.91200000000000003</v>
          </cell>
          <cell r="W127">
            <v>10.056750000000001</v>
          </cell>
          <cell r="X127">
            <v>20.728999999999999</v>
          </cell>
          <cell r="Y127">
            <v>0</v>
          </cell>
          <cell r="Z127">
            <v>91.204999999999998</v>
          </cell>
          <cell r="AA127">
            <v>31.202999999999999</v>
          </cell>
          <cell r="AB127">
            <v>91.802999999999997</v>
          </cell>
          <cell r="AC127">
            <v>5.032</v>
          </cell>
          <cell r="AD127">
            <v>0</v>
          </cell>
          <cell r="AE127">
            <v>14.395</v>
          </cell>
          <cell r="AF127">
            <v>5.3680000000000003</v>
          </cell>
          <cell r="AG127">
            <v>0</v>
          </cell>
          <cell r="AH127">
            <v>0</v>
          </cell>
          <cell r="AI127">
            <v>5.109</v>
          </cell>
          <cell r="AJ127">
            <v>7.6979999999999995</v>
          </cell>
          <cell r="AK127">
            <v>52.5</v>
          </cell>
          <cell r="AL127">
            <v>84.4</v>
          </cell>
          <cell r="AM127">
            <v>0</v>
          </cell>
          <cell r="AN127">
            <v>4.8000000000000001E-2</v>
          </cell>
          <cell r="AO127">
            <v>0</v>
          </cell>
          <cell r="AP127">
            <v>0</v>
          </cell>
          <cell r="AQ127">
            <v>0</v>
          </cell>
          <cell r="AR127">
            <v>9.8000000000000004E-2</v>
          </cell>
          <cell r="AS127">
            <v>8.14</v>
          </cell>
          <cell r="AT127">
            <v>0</v>
          </cell>
          <cell r="AU127">
            <v>116.9</v>
          </cell>
          <cell r="AV127">
            <v>125.04</v>
          </cell>
          <cell r="AW127">
            <v>0</v>
          </cell>
          <cell r="AX127">
            <v>0</v>
          </cell>
          <cell r="AY127">
            <v>0</v>
          </cell>
          <cell r="AZ127">
            <v>0</v>
          </cell>
          <cell r="BA127">
            <v>0</v>
          </cell>
          <cell r="BB127">
            <v>0</v>
          </cell>
          <cell r="BC127">
            <v>0</v>
          </cell>
          <cell r="BD127">
            <v>0</v>
          </cell>
          <cell r="BE127">
            <v>0</v>
          </cell>
        </row>
        <row r="128">
          <cell r="H128">
            <v>0</v>
          </cell>
          <cell r="I128">
            <v>0</v>
          </cell>
          <cell r="J128">
            <v>0</v>
          </cell>
          <cell r="K128">
            <v>0</v>
          </cell>
          <cell r="L128">
            <v>0</v>
          </cell>
          <cell r="M128">
            <v>0</v>
          </cell>
          <cell r="N128">
            <v>0</v>
          </cell>
          <cell r="O128">
            <v>0</v>
          </cell>
          <cell r="P128">
            <v>0</v>
          </cell>
          <cell r="Q128">
            <v>0</v>
          </cell>
          <cell r="R128">
            <v>0</v>
          </cell>
          <cell r="S128">
            <v>0</v>
          </cell>
          <cell r="T128">
            <v>0</v>
          </cell>
          <cell r="U128">
            <v>-1.3460000000000001</v>
          </cell>
          <cell r="V128">
            <v>1.258</v>
          </cell>
          <cell r="W128">
            <v>13.409000000000002</v>
          </cell>
          <cell r="X128">
            <v>26.922000000000001</v>
          </cell>
          <cell r="Y128">
            <v>0</v>
          </cell>
          <cell r="Z128">
            <v>159.06666666666669</v>
          </cell>
          <cell r="AA128">
            <v>41.856999999999999</v>
          </cell>
          <cell r="AB128">
            <v>200.92366666666669</v>
          </cell>
          <cell r="AC128">
            <v>17.692999999999998</v>
          </cell>
          <cell r="AD128">
            <v>0</v>
          </cell>
          <cell r="AE128">
            <v>19.670000000000002</v>
          </cell>
          <cell r="AF128">
            <v>17.324000000000002</v>
          </cell>
          <cell r="AG128">
            <v>13.374000000000001</v>
          </cell>
          <cell r="AH128">
            <v>0</v>
          </cell>
          <cell r="AI128">
            <v>0</v>
          </cell>
          <cell r="AJ128">
            <v>8.6509999999999998</v>
          </cell>
          <cell r="AK128">
            <v>100.8</v>
          </cell>
          <cell r="AL128">
            <v>111.6</v>
          </cell>
          <cell r="AM128">
            <v>16.542000000000002</v>
          </cell>
          <cell r="AN128">
            <v>0</v>
          </cell>
          <cell r="AO128">
            <v>0</v>
          </cell>
          <cell r="AP128">
            <v>7.0810000000000004</v>
          </cell>
          <cell r="AQ128">
            <v>0.13100000000000001</v>
          </cell>
          <cell r="AR128">
            <v>4.6910000000000007</v>
          </cell>
          <cell r="AS128">
            <v>15.755999999999998</v>
          </cell>
          <cell r="AT128">
            <v>0</v>
          </cell>
          <cell r="AU128">
            <v>154.9</v>
          </cell>
          <cell r="AV128">
            <v>170.65600000000001</v>
          </cell>
          <cell r="AW128">
            <v>0</v>
          </cell>
          <cell r="AX128">
            <v>0</v>
          </cell>
          <cell r="AY128">
            <v>0</v>
          </cell>
          <cell r="AZ128">
            <v>0</v>
          </cell>
          <cell r="BA128">
            <v>0</v>
          </cell>
          <cell r="BB128">
            <v>0</v>
          </cell>
          <cell r="BC128">
            <v>0</v>
          </cell>
          <cell r="BD128">
            <v>0</v>
          </cell>
          <cell r="BE128">
            <v>0</v>
          </cell>
        </row>
        <row r="133">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W133">
            <v>16.024000000000001</v>
          </cell>
          <cell r="X133">
            <v>2.1579999999999999</v>
          </cell>
          <cell r="Y133">
            <v>0.86699999999999999</v>
          </cell>
          <cell r="Z133">
            <v>0</v>
          </cell>
          <cell r="AA133">
            <v>0</v>
          </cell>
          <cell r="AB133">
            <v>0</v>
          </cell>
          <cell r="AC133">
            <v>0</v>
          </cell>
          <cell r="AD133">
            <v>0</v>
          </cell>
          <cell r="AE133">
            <v>0.32600000000000001</v>
          </cell>
          <cell r="AF133">
            <v>2.4390000000000001</v>
          </cell>
          <cell r="AG133">
            <v>0</v>
          </cell>
          <cell r="AH133">
            <v>0.83799999999999997</v>
          </cell>
          <cell r="AI133">
            <v>0</v>
          </cell>
          <cell r="AJ133">
            <v>0.83799999999999997</v>
          </cell>
          <cell r="AL133">
            <v>0</v>
          </cell>
          <cell r="AM133">
            <v>0</v>
          </cell>
          <cell r="AN133">
            <v>0.112</v>
          </cell>
          <cell r="AO133">
            <v>0</v>
          </cell>
          <cell r="AP133">
            <v>0</v>
          </cell>
          <cell r="AQ133">
            <v>0</v>
          </cell>
          <cell r="AR133">
            <v>0</v>
          </cell>
          <cell r="AS133">
            <v>2.2650000000000001</v>
          </cell>
          <cell r="AT133">
            <v>0.22300000000000003</v>
          </cell>
          <cell r="AU133">
            <v>0</v>
          </cell>
          <cell r="AV133">
            <v>2.488</v>
          </cell>
          <cell r="AW133">
            <v>0</v>
          </cell>
          <cell r="AX133">
            <v>0</v>
          </cell>
          <cell r="AY133">
            <v>0</v>
          </cell>
          <cell r="AZ133">
            <v>0</v>
          </cell>
          <cell r="BA133">
            <v>0</v>
          </cell>
          <cell r="BB133">
            <v>0</v>
          </cell>
          <cell r="BC133">
            <v>0</v>
          </cell>
          <cell r="BD133">
            <v>0</v>
          </cell>
          <cell r="BE133">
            <v>0</v>
          </cell>
        </row>
        <row r="134">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W134">
            <v>11.177</v>
          </cell>
          <cell r="X134">
            <v>2.5390000000000001</v>
          </cell>
          <cell r="Y134">
            <v>1.873</v>
          </cell>
          <cell r="Z134">
            <v>0</v>
          </cell>
          <cell r="AA134">
            <v>0</v>
          </cell>
          <cell r="AB134">
            <v>0</v>
          </cell>
          <cell r="AC134">
            <v>0</v>
          </cell>
          <cell r="AD134">
            <v>0</v>
          </cell>
          <cell r="AE134">
            <v>1.8080000000000001</v>
          </cell>
          <cell r="AF134">
            <v>1.2410000000000001</v>
          </cell>
          <cell r="AG134">
            <v>0</v>
          </cell>
          <cell r="AH134">
            <v>2.1259999999999999</v>
          </cell>
          <cell r="AI134">
            <v>0</v>
          </cell>
          <cell r="AJ134">
            <v>2.1259999999999999</v>
          </cell>
          <cell r="AL134">
            <v>0</v>
          </cell>
          <cell r="AM134">
            <v>0</v>
          </cell>
          <cell r="AN134">
            <v>0.05</v>
          </cell>
          <cell r="AO134">
            <v>0</v>
          </cell>
          <cell r="AP134">
            <v>0</v>
          </cell>
          <cell r="AQ134">
            <v>0</v>
          </cell>
          <cell r="AR134">
            <v>0</v>
          </cell>
          <cell r="AS134">
            <v>2.298</v>
          </cell>
          <cell r="AT134">
            <v>1.3530000000000002</v>
          </cell>
          <cell r="AU134">
            <v>0</v>
          </cell>
          <cell r="AV134">
            <v>3.6510000000000002</v>
          </cell>
          <cell r="AW134">
            <v>0</v>
          </cell>
          <cell r="AX134">
            <v>0</v>
          </cell>
          <cell r="AY134">
            <v>0</v>
          </cell>
          <cell r="AZ134">
            <v>0</v>
          </cell>
          <cell r="BA134">
            <v>0</v>
          </cell>
          <cell r="BB134">
            <v>0</v>
          </cell>
          <cell r="BC134">
            <v>0</v>
          </cell>
          <cell r="BD134">
            <v>0</v>
          </cell>
          <cell r="BE134">
            <v>0</v>
          </cell>
        </row>
        <row r="135">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6.2229999999999999</v>
          </cell>
          <cell r="W135">
            <v>14.902666666666667</v>
          </cell>
          <cell r="X135">
            <v>3.4860000000000002</v>
          </cell>
          <cell r="Y135">
            <v>5.9720000000000004</v>
          </cell>
          <cell r="Z135">
            <v>0</v>
          </cell>
          <cell r="AA135">
            <v>0</v>
          </cell>
          <cell r="AB135">
            <v>0</v>
          </cell>
          <cell r="AC135">
            <v>0</v>
          </cell>
          <cell r="AD135">
            <v>0</v>
          </cell>
          <cell r="AE135">
            <v>2.706</v>
          </cell>
          <cell r="AF135">
            <v>10.077999999999999</v>
          </cell>
          <cell r="AG135">
            <v>2.2650000000000001</v>
          </cell>
          <cell r="AH135">
            <v>0</v>
          </cell>
          <cell r="AI135">
            <v>0</v>
          </cell>
          <cell r="AJ135">
            <v>0</v>
          </cell>
          <cell r="AK135">
            <v>0</v>
          </cell>
          <cell r="AL135">
            <v>0</v>
          </cell>
          <cell r="AM135">
            <v>0</v>
          </cell>
          <cell r="AN135">
            <v>0.56799999999999995</v>
          </cell>
          <cell r="AO135">
            <v>0</v>
          </cell>
          <cell r="AP135">
            <v>0</v>
          </cell>
          <cell r="AQ135">
            <v>0</v>
          </cell>
          <cell r="AR135">
            <v>0</v>
          </cell>
          <cell r="AS135">
            <v>2.298</v>
          </cell>
          <cell r="AT135">
            <v>1.542</v>
          </cell>
          <cell r="AU135">
            <v>0</v>
          </cell>
          <cell r="AV135">
            <v>3.84</v>
          </cell>
          <cell r="AW135">
            <v>0</v>
          </cell>
          <cell r="AX135">
            <v>0</v>
          </cell>
          <cell r="AY135">
            <v>0</v>
          </cell>
          <cell r="AZ135">
            <v>0</v>
          </cell>
          <cell r="BA135">
            <v>0</v>
          </cell>
          <cell r="BB135">
            <v>0</v>
          </cell>
          <cell r="BC135">
            <v>0</v>
          </cell>
          <cell r="BD135">
            <v>0</v>
          </cell>
          <cell r="BE135">
            <v>0</v>
          </cell>
        </row>
        <row r="141">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W141">
            <v>0.98</v>
          </cell>
          <cell r="X141">
            <v>0</v>
          </cell>
          <cell r="Y141">
            <v>0</v>
          </cell>
          <cell r="Z141">
            <v>0</v>
          </cell>
          <cell r="AA141">
            <v>0</v>
          </cell>
          <cell r="AB141">
            <v>0</v>
          </cell>
          <cell r="AC141">
            <v>0</v>
          </cell>
          <cell r="AD141">
            <v>0</v>
          </cell>
          <cell r="AE141">
            <v>0</v>
          </cell>
          <cell r="AF141">
            <v>0.56899999999999995</v>
          </cell>
          <cell r="AG141">
            <v>0</v>
          </cell>
          <cell r="AH141">
            <v>0.5796</v>
          </cell>
          <cell r="AI141">
            <v>0</v>
          </cell>
          <cell r="AJ141">
            <v>0.5796</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row>
        <row r="142">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W142">
            <v>0.06</v>
          </cell>
          <cell r="X142">
            <v>0</v>
          </cell>
          <cell r="Y142">
            <v>0</v>
          </cell>
          <cell r="Z142">
            <v>0</v>
          </cell>
          <cell r="AA142">
            <v>0</v>
          </cell>
          <cell r="AB142">
            <v>0</v>
          </cell>
          <cell r="AC142">
            <v>0</v>
          </cell>
          <cell r="AD142">
            <v>0</v>
          </cell>
          <cell r="AE142">
            <v>0</v>
          </cell>
          <cell r="AF142">
            <v>0.53100000000000003</v>
          </cell>
          <cell r="AG142">
            <v>0</v>
          </cell>
          <cell r="AH142">
            <v>0.28559999999999997</v>
          </cell>
          <cell r="AI142">
            <v>0</v>
          </cell>
          <cell r="AJ142">
            <v>0.28559999999999997</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row>
        <row r="143">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1.462</v>
          </cell>
          <cell r="AG143">
            <v>0</v>
          </cell>
          <cell r="AH143">
            <v>0</v>
          </cell>
          <cell r="AI143">
            <v>0</v>
          </cell>
          <cell r="AJ143">
            <v>0.41519999999999996</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row>
        <row r="149">
          <cell r="H149">
            <v>0</v>
          </cell>
          <cell r="I149">
            <v>0</v>
          </cell>
          <cell r="J149">
            <v>0</v>
          </cell>
          <cell r="K149">
            <v>0</v>
          </cell>
          <cell r="L149">
            <v>0</v>
          </cell>
          <cell r="M149">
            <v>0</v>
          </cell>
          <cell r="N149">
            <v>0</v>
          </cell>
          <cell r="O149">
            <v>0</v>
          </cell>
          <cell r="P149">
            <v>0</v>
          </cell>
          <cell r="Q149">
            <v>0</v>
          </cell>
          <cell r="R149">
            <v>0</v>
          </cell>
          <cell r="S149">
            <v>0</v>
          </cell>
          <cell r="T149">
            <v>0</v>
          </cell>
          <cell r="U149">
            <v>-0.82199999999999995</v>
          </cell>
          <cell r="W149">
            <v>72.207999999999998</v>
          </cell>
          <cell r="X149">
            <v>54.305199999999999</v>
          </cell>
          <cell r="Y149">
            <v>9.6189999999999998</v>
          </cell>
          <cell r="Z149">
            <v>0</v>
          </cell>
          <cell r="AA149">
            <v>0</v>
          </cell>
          <cell r="AB149">
            <v>167.09980000000002</v>
          </cell>
          <cell r="AC149">
            <v>11.884399999999999</v>
          </cell>
          <cell r="AD149">
            <v>0</v>
          </cell>
          <cell r="AE149">
            <v>11.396800000000001</v>
          </cell>
          <cell r="AF149">
            <v>19.73</v>
          </cell>
          <cell r="AG149">
            <v>10.909000000000001</v>
          </cell>
          <cell r="AH149">
            <v>22.082000000000001</v>
          </cell>
          <cell r="AI149">
            <v>17.373000000000001</v>
          </cell>
          <cell r="AJ149">
            <v>39.454999999999998</v>
          </cell>
          <cell r="AK149">
            <v>46</v>
          </cell>
          <cell r="AL149">
            <v>301.89999999999998</v>
          </cell>
          <cell r="AM149">
            <v>0</v>
          </cell>
          <cell r="AN149">
            <v>0.85399999999999998</v>
          </cell>
          <cell r="AO149">
            <v>0</v>
          </cell>
          <cell r="AP149">
            <v>0</v>
          </cell>
          <cell r="AQ149">
            <v>0</v>
          </cell>
          <cell r="AS149">
            <v>27.588999999999999</v>
          </cell>
          <cell r="AT149">
            <v>5.6859999999999999</v>
          </cell>
          <cell r="AU149">
            <v>872.6</v>
          </cell>
          <cell r="AV149">
            <v>905.875</v>
          </cell>
          <cell r="AW149">
            <v>0</v>
          </cell>
          <cell r="AX149">
            <v>0</v>
          </cell>
          <cell r="AY149">
            <v>0</v>
          </cell>
          <cell r="AZ149">
            <v>0</v>
          </cell>
          <cell r="BA149">
            <v>0</v>
          </cell>
          <cell r="BB149">
            <v>0</v>
          </cell>
          <cell r="BC149">
            <v>0</v>
          </cell>
          <cell r="BD149">
            <v>0</v>
          </cell>
          <cell r="BE149">
            <v>0</v>
          </cell>
        </row>
        <row r="150">
          <cell r="H150">
            <v>0</v>
          </cell>
          <cell r="I150">
            <v>0</v>
          </cell>
          <cell r="J150">
            <v>0</v>
          </cell>
          <cell r="K150">
            <v>0</v>
          </cell>
          <cell r="L150">
            <v>0</v>
          </cell>
          <cell r="M150">
            <v>0</v>
          </cell>
          <cell r="N150">
            <v>0</v>
          </cell>
          <cell r="O150">
            <v>0</v>
          </cell>
          <cell r="P150">
            <v>0</v>
          </cell>
          <cell r="Q150">
            <v>0</v>
          </cell>
          <cell r="R150">
            <v>0</v>
          </cell>
          <cell r="S150">
            <v>0</v>
          </cell>
          <cell r="T150">
            <v>0</v>
          </cell>
          <cell r="U150">
            <v>-9.4015999999999984</v>
          </cell>
          <cell r="W150">
            <v>15.532500000000001</v>
          </cell>
          <cell r="X150">
            <v>45.239400000000003</v>
          </cell>
          <cell r="Y150">
            <v>8.8580000000000005</v>
          </cell>
          <cell r="Z150">
            <v>0</v>
          </cell>
          <cell r="AA150">
            <v>0</v>
          </cell>
          <cell r="AB150">
            <v>115.86057699999999</v>
          </cell>
          <cell r="AC150">
            <v>10.110399999999998</v>
          </cell>
          <cell r="AD150">
            <v>0</v>
          </cell>
          <cell r="AE150">
            <v>5.8875999999999991</v>
          </cell>
          <cell r="AF150">
            <v>15.956</v>
          </cell>
          <cell r="AG150">
            <v>11.125</v>
          </cell>
          <cell r="AH150">
            <v>13.395</v>
          </cell>
          <cell r="AI150">
            <v>12.120750000000001</v>
          </cell>
          <cell r="AJ150">
            <v>25.515750000000001</v>
          </cell>
          <cell r="AK150">
            <v>28.086200000000002</v>
          </cell>
          <cell r="AL150">
            <v>198.9</v>
          </cell>
          <cell r="AM150">
            <v>0</v>
          </cell>
          <cell r="AN150">
            <v>-0.53300000000000003</v>
          </cell>
          <cell r="AO150">
            <v>0</v>
          </cell>
          <cell r="AP150">
            <v>9.6159999999999997</v>
          </cell>
          <cell r="AQ150">
            <v>2.5602499999999999</v>
          </cell>
          <cell r="AS150">
            <v>24.225000000000001</v>
          </cell>
          <cell r="AT150">
            <v>4.8570000000000002</v>
          </cell>
          <cell r="AU150">
            <v>518.79999999999995</v>
          </cell>
          <cell r="AV150">
            <v>547.88199999999995</v>
          </cell>
          <cell r="AW150">
            <v>0</v>
          </cell>
          <cell r="AX150">
            <v>0</v>
          </cell>
          <cell r="AY150">
            <v>0</v>
          </cell>
          <cell r="AZ150">
            <v>0</v>
          </cell>
          <cell r="BA150">
            <v>0</v>
          </cell>
          <cell r="BB150">
            <v>0</v>
          </cell>
          <cell r="BC150">
            <v>0</v>
          </cell>
          <cell r="BD150">
            <v>0</v>
          </cell>
          <cell r="BE150">
            <v>0</v>
          </cell>
        </row>
        <row r="151">
          <cell r="H151">
            <v>0</v>
          </cell>
          <cell r="I151">
            <v>0</v>
          </cell>
          <cell r="J151">
            <v>0</v>
          </cell>
          <cell r="K151">
            <v>0</v>
          </cell>
          <cell r="L151">
            <v>0</v>
          </cell>
          <cell r="M151">
            <v>0</v>
          </cell>
          <cell r="N151">
            <v>0</v>
          </cell>
          <cell r="O151">
            <v>0</v>
          </cell>
          <cell r="P151">
            <v>0</v>
          </cell>
          <cell r="Q151">
            <v>0</v>
          </cell>
          <cell r="R151">
            <v>0</v>
          </cell>
          <cell r="S151">
            <v>0</v>
          </cell>
          <cell r="T151">
            <v>0</v>
          </cell>
          <cell r="U151">
            <v>-8.9296000000000042</v>
          </cell>
          <cell r="V151">
            <v>177.45399930934306</v>
          </cell>
          <cell r="W151">
            <v>20.71</v>
          </cell>
          <cell r="X151">
            <v>84.511600000000001</v>
          </cell>
          <cell r="Y151">
            <v>31.986000000000001</v>
          </cell>
          <cell r="Z151">
            <v>80.3</v>
          </cell>
          <cell r="AA151">
            <v>98.340199999999996</v>
          </cell>
          <cell r="AB151">
            <v>251.047</v>
          </cell>
          <cell r="AC151">
            <v>34.117000000000004</v>
          </cell>
          <cell r="AD151">
            <v>0</v>
          </cell>
          <cell r="AE151">
            <v>5.2836000000000007</v>
          </cell>
          <cell r="AF151">
            <v>94.669000000000011</v>
          </cell>
          <cell r="AG151">
            <v>37.869</v>
          </cell>
          <cell r="AH151">
            <v>0</v>
          </cell>
          <cell r="AI151">
            <v>0</v>
          </cell>
          <cell r="AJ151">
            <v>28.309000000000001</v>
          </cell>
          <cell r="AK151">
            <v>69.412600000000012</v>
          </cell>
          <cell r="AL151">
            <v>289.2</v>
          </cell>
          <cell r="AM151">
            <v>141.5</v>
          </cell>
          <cell r="AN151">
            <v>-4.4580000000000002</v>
          </cell>
          <cell r="AO151">
            <v>0</v>
          </cell>
          <cell r="AP151">
            <v>76.474999999999994</v>
          </cell>
          <cell r="AQ151">
            <v>10.241</v>
          </cell>
          <cell r="AR151">
            <v>79.626999999999995</v>
          </cell>
          <cell r="AS151">
            <v>34.289000000000001</v>
          </cell>
          <cell r="AT151">
            <v>6.4554</v>
          </cell>
          <cell r="AU151">
            <v>942.7</v>
          </cell>
          <cell r="AV151">
            <v>983.44439999999997</v>
          </cell>
          <cell r="AW151">
            <v>0</v>
          </cell>
          <cell r="AX151">
            <v>0</v>
          </cell>
          <cell r="AY151">
            <v>0</v>
          </cell>
          <cell r="AZ151">
            <v>0</v>
          </cell>
          <cell r="BA151">
            <v>0</v>
          </cell>
          <cell r="BB151">
            <v>0</v>
          </cell>
          <cell r="BC151">
            <v>0</v>
          </cell>
          <cell r="BD151">
            <v>0</v>
          </cell>
          <cell r="BE151">
            <v>0</v>
          </cell>
        </row>
        <row r="152">
          <cell r="Z152">
            <v>80.3</v>
          </cell>
          <cell r="AA152">
            <v>98.340199999999996</v>
          </cell>
        </row>
        <row r="157">
          <cell r="AU157" t="str">
            <v>CAH stand alone</v>
          </cell>
          <cell r="AV157" t="str">
            <v>Pro forma</v>
          </cell>
        </row>
        <row r="158">
          <cell r="H158">
            <v>0</v>
          </cell>
          <cell r="I158">
            <v>0</v>
          </cell>
          <cell r="J158">
            <v>0</v>
          </cell>
          <cell r="K158">
            <v>0</v>
          </cell>
          <cell r="L158">
            <v>0</v>
          </cell>
          <cell r="M158">
            <v>0</v>
          </cell>
          <cell r="N158">
            <v>0</v>
          </cell>
          <cell r="O158">
            <v>0</v>
          </cell>
          <cell r="P158">
            <v>0</v>
          </cell>
          <cell r="Q158">
            <v>0</v>
          </cell>
          <cell r="R158">
            <v>0</v>
          </cell>
          <cell r="S158">
            <v>0</v>
          </cell>
          <cell r="T158">
            <v>0</v>
          </cell>
          <cell r="U158">
            <v>-5.1920161697827177E-2</v>
          </cell>
          <cell r="W158">
            <v>1.3420563526875324</v>
          </cell>
          <cell r="X158">
            <v>1.1336729155358858</v>
          </cell>
          <cell r="Y158">
            <v>0.21561950471758168</v>
          </cell>
          <cell r="Z158">
            <v>0</v>
          </cell>
          <cell r="AA158">
            <v>0</v>
          </cell>
          <cell r="AB158">
            <v>1.4994194341501936</v>
          </cell>
          <cell r="AC158">
            <v>0.29162740478994892</v>
          </cell>
          <cell r="AD158">
            <v>0</v>
          </cell>
          <cell r="AE158">
            <v>0.15865688471872261</v>
          </cell>
          <cell r="AF158">
            <v>0.44770700492409626</v>
          </cell>
          <cell r="AG158">
            <v>0.40808768517133026</v>
          </cell>
          <cell r="AH158">
            <v>0</v>
          </cell>
          <cell r="AI158">
            <v>0</v>
          </cell>
          <cell r="AJ158">
            <v>1.2316604187202145</v>
          </cell>
          <cell r="AK158">
            <v>0.7962543177892919</v>
          </cell>
          <cell r="AL158">
            <v>1.0096989966555185</v>
          </cell>
          <cell r="AM158">
            <v>0</v>
          </cell>
          <cell r="AN158">
            <v>7.0000000000000007E-2</v>
          </cell>
          <cell r="AO158">
            <v>0</v>
          </cell>
          <cell r="AS158">
            <v>0</v>
          </cell>
          <cell r="AT158">
            <v>0</v>
          </cell>
          <cell r="AU158">
            <v>1.8977816441931274</v>
          </cell>
          <cell r="AV158">
            <v>1.9049200553432737</v>
          </cell>
          <cell r="AW158">
            <v>0</v>
          </cell>
          <cell r="AX158">
            <v>0</v>
          </cell>
          <cell r="AY158">
            <v>0</v>
          </cell>
          <cell r="AZ158">
            <v>0</v>
          </cell>
          <cell r="BA158">
            <v>0</v>
          </cell>
          <cell r="BB158">
            <v>0</v>
          </cell>
          <cell r="BC158">
            <v>0</v>
          </cell>
          <cell r="BD158">
            <v>0</v>
          </cell>
          <cell r="BE158">
            <v>0</v>
          </cell>
        </row>
        <row r="159">
          <cell r="H159">
            <v>0</v>
          </cell>
          <cell r="I159">
            <v>0</v>
          </cell>
          <cell r="J159">
            <v>0</v>
          </cell>
          <cell r="K159">
            <v>0</v>
          </cell>
          <cell r="L159">
            <v>0</v>
          </cell>
          <cell r="M159">
            <v>0</v>
          </cell>
          <cell r="N159">
            <v>0</v>
          </cell>
          <cell r="O159">
            <v>0</v>
          </cell>
          <cell r="P159">
            <v>0</v>
          </cell>
          <cell r="Q159">
            <v>0</v>
          </cell>
          <cell r="R159">
            <v>0</v>
          </cell>
          <cell r="S159">
            <v>0</v>
          </cell>
          <cell r="T159">
            <v>0</v>
          </cell>
          <cell r="U159">
            <v>-0.64575863726904315</v>
          </cell>
          <cell r="W159">
            <v>0.28868671474239832</v>
          </cell>
          <cell r="X159">
            <v>0.9604764230058811</v>
          </cell>
          <cell r="Y159">
            <v>0.19861669236299087</v>
          </cell>
          <cell r="Z159">
            <v>0</v>
          </cell>
          <cell r="AA159">
            <v>0</v>
          </cell>
          <cell r="AB159">
            <v>1.1103661353240726</v>
          </cell>
          <cell r="AC159">
            <v>0.25331095131911907</v>
          </cell>
          <cell r="AD159">
            <v>0</v>
          </cell>
          <cell r="AE159">
            <v>8.2608634648033544E-2</v>
          </cell>
          <cell r="AF159">
            <v>0.36981411950122839</v>
          </cell>
          <cell r="AG159">
            <v>0.41050145751079298</v>
          </cell>
          <cell r="AH159">
            <v>0</v>
          </cell>
          <cell r="AI159">
            <v>0</v>
          </cell>
          <cell r="AJ159">
            <v>0.82418229323443903</v>
          </cell>
          <cell r="AK159">
            <v>0.58024625332826174</v>
          </cell>
          <cell r="AL159">
            <v>0.6804652754019842</v>
          </cell>
          <cell r="AM159">
            <v>0</v>
          </cell>
          <cell r="AN159">
            <v>-0.04</v>
          </cell>
          <cell r="AO159">
            <v>0</v>
          </cell>
          <cell r="AP159">
            <v>0.14214968882581636</v>
          </cell>
          <cell r="AQ159">
            <v>0</v>
          </cell>
          <cell r="AS159">
            <v>0</v>
          </cell>
          <cell r="AT159">
            <v>0</v>
          </cell>
          <cell r="AU159">
            <v>1.1429830359109936</v>
          </cell>
          <cell r="AV159">
            <v>1.1665877997386225</v>
          </cell>
          <cell r="AW159">
            <v>0</v>
          </cell>
          <cell r="AX159">
            <v>0</v>
          </cell>
          <cell r="AY159">
            <v>0</v>
          </cell>
          <cell r="AZ159">
            <v>0</v>
          </cell>
          <cell r="BA159">
            <v>0</v>
          </cell>
          <cell r="BB159">
            <v>0</v>
          </cell>
          <cell r="BC159">
            <v>0</v>
          </cell>
          <cell r="BD159">
            <v>0</v>
          </cell>
          <cell r="BE159">
            <v>0</v>
          </cell>
        </row>
        <row r="160">
          <cell r="H160">
            <v>0</v>
          </cell>
          <cell r="I160">
            <v>0</v>
          </cell>
          <cell r="J160">
            <v>0</v>
          </cell>
          <cell r="K160">
            <v>0</v>
          </cell>
          <cell r="L160">
            <v>0</v>
          </cell>
          <cell r="M160">
            <v>0</v>
          </cell>
          <cell r="N160">
            <v>0</v>
          </cell>
          <cell r="O160">
            <v>0</v>
          </cell>
          <cell r="P160">
            <v>0</v>
          </cell>
          <cell r="Q160">
            <v>0</v>
          </cell>
          <cell r="R160">
            <v>0</v>
          </cell>
          <cell r="S160">
            <v>0</v>
          </cell>
          <cell r="T160">
            <v>0</v>
          </cell>
          <cell r="U160">
            <v>-0.60457684495599218</v>
          </cell>
          <cell r="V160">
            <v>1.2918271786108628</v>
          </cell>
          <cell r="W160">
            <v>0.38491561965653109</v>
          </cell>
          <cell r="X160">
            <v>1.7966283296838792</v>
          </cell>
          <cell r="Y160">
            <v>0.71788978378603308</v>
          </cell>
          <cell r="Z160">
            <v>0.78890634591155917</v>
          </cell>
          <cell r="AA160">
            <v>0.96614206523302504</v>
          </cell>
          <cell r="AB160">
            <v>2.37</v>
          </cell>
          <cell r="AC160">
            <v>0.84475202416619222</v>
          </cell>
          <cell r="AD160">
            <v>0</v>
          </cell>
          <cell r="AE160">
            <v>7.409443408265437E-2</v>
          </cell>
          <cell r="AF160">
            <v>2.1740498335055691</v>
          </cell>
          <cell r="AG160">
            <v>1.4010507232971994</v>
          </cell>
          <cell r="AH160">
            <v>0</v>
          </cell>
          <cell r="AI160">
            <v>0</v>
          </cell>
          <cell r="AJ160">
            <v>0.90773236693242798</v>
          </cell>
          <cell r="AK160">
            <v>1.3104134415707005</v>
          </cell>
          <cell r="AL160">
            <v>0.98736770228747017</v>
          </cell>
          <cell r="AM160">
            <v>2.0301291248206601</v>
          </cell>
          <cell r="AN160">
            <v>-0.36523021464853356</v>
          </cell>
          <cell r="AO160">
            <v>0</v>
          </cell>
          <cell r="AP160">
            <v>1.1322249200521142</v>
          </cell>
          <cell r="AQ160">
            <v>0</v>
          </cell>
          <cell r="AR160">
            <v>1.1690426203514748</v>
          </cell>
          <cell r="AS160">
            <v>0</v>
          </cell>
          <cell r="AT160">
            <v>0</v>
          </cell>
          <cell r="AU160">
            <v>2.0695938529088913</v>
          </cell>
          <cell r="AV160">
            <v>2.0869072935790371</v>
          </cell>
          <cell r="AW160">
            <v>0</v>
          </cell>
          <cell r="AX160">
            <v>0</v>
          </cell>
          <cell r="AY160">
            <v>0</v>
          </cell>
          <cell r="AZ160">
            <v>0</v>
          </cell>
          <cell r="BA160">
            <v>0</v>
          </cell>
          <cell r="BB160">
            <v>0</v>
          </cell>
          <cell r="BC160">
            <v>0</v>
          </cell>
          <cell r="BD160">
            <v>0</v>
          </cell>
          <cell r="BE160">
            <v>0</v>
          </cell>
        </row>
        <row r="163">
          <cell r="AK163">
            <v>1000</v>
          </cell>
        </row>
        <row r="166">
          <cell r="H166">
            <v>0</v>
          </cell>
          <cell r="I166">
            <v>0</v>
          </cell>
          <cell r="J166">
            <v>0</v>
          </cell>
          <cell r="K166">
            <v>0</v>
          </cell>
          <cell r="L166">
            <v>0</v>
          </cell>
          <cell r="M166">
            <v>0</v>
          </cell>
          <cell r="N166">
            <v>0</v>
          </cell>
          <cell r="O166">
            <v>0</v>
          </cell>
          <cell r="P166">
            <v>0</v>
          </cell>
          <cell r="Q166">
            <v>0</v>
          </cell>
          <cell r="R166">
            <v>0</v>
          </cell>
          <cell r="S166">
            <v>0</v>
          </cell>
          <cell r="T166">
            <v>0</v>
          </cell>
          <cell r="U166">
            <v>5.0110000000000001</v>
          </cell>
          <cell r="W166">
            <v>15.741</v>
          </cell>
          <cell r="X166">
            <v>23.265000000000001</v>
          </cell>
          <cell r="Y166">
            <v>0.64600000000000002</v>
          </cell>
          <cell r="Z166">
            <v>0</v>
          </cell>
          <cell r="AA166">
            <v>0</v>
          </cell>
          <cell r="AB166">
            <v>32.15</v>
          </cell>
          <cell r="AC166">
            <v>3.9809999999999999</v>
          </cell>
          <cell r="AD166">
            <v>0</v>
          </cell>
          <cell r="AE166">
            <v>13.801</v>
          </cell>
          <cell r="AF166">
            <v>5.798</v>
          </cell>
          <cell r="AG166">
            <v>10.14</v>
          </cell>
          <cell r="AH166">
            <v>2.3690000000000002</v>
          </cell>
          <cell r="AI166">
            <v>5.5410000000000004</v>
          </cell>
          <cell r="AJ166">
            <v>7.91</v>
          </cell>
          <cell r="AK166">
            <v>37.6</v>
          </cell>
          <cell r="AL166">
            <v>153.5</v>
          </cell>
          <cell r="AM166">
            <v>0</v>
          </cell>
          <cell r="AN166">
            <v>0.73099999999999998</v>
          </cell>
          <cell r="AO166">
            <v>0</v>
          </cell>
          <cell r="AS166">
            <v>32.001000000000005</v>
          </cell>
          <cell r="AT166">
            <v>4.2259999999999991</v>
          </cell>
          <cell r="AU166">
            <v>181.5</v>
          </cell>
          <cell r="AV166">
            <v>217.727</v>
          </cell>
          <cell r="AW166">
            <v>0</v>
          </cell>
          <cell r="AX166">
            <v>0</v>
          </cell>
          <cell r="AY166">
            <v>0</v>
          </cell>
          <cell r="AZ166">
            <v>0</v>
          </cell>
          <cell r="BA166">
            <v>0</v>
          </cell>
          <cell r="BB166">
            <v>0</v>
          </cell>
          <cell r="BC166">
            <v>0</v>
          </cell>
          <cell r="BD166">
            <v>0</v>
          </cell>
          <cell r="BE166">
            <v>0</v>
          </cell>
        </row>
        <row r="167">
          <cell r="H167">
            <v>0</v>
          </cell>
          <cell r="I167">
            <v>0</v>
          </cell>
          <cell r="J167">
            <v>0</v>
          </cell>
          <cell r="K167">
            <v>0</v>
          </cell>
          <cell r="L167">
            <v>0</v>
          </cell>
          <cell r="M167">
            <v>0</v>
          </cell>
          <cell r="N167">
            <v>0</v>
          </cell>
          <cell r="O167">
            <v>0</v>
          </cell>
          <cell r="P167">
            <v>0</v>
          </cell>
          <cell r="Q167">
            <v>0</v>
          </cell>
          <cell r="R167">
            <v>0</v>
          </cell>
          <cell r="S167">
            <v>0</v>
          </cell>
          <cell r="T167">
            <v>0</v>
          </cell>
          <cell r="U167">
            <v>4.0979999999999999</v>
          </cell>
          <cell r="W167">
            <v>18.335250000000002</v>
          </cell>
          <cell r="X167">
            <v>22.844000000000001</v>
          </cell>
          <cell r="Y167">
            <v>0.40400000000000003</v>
          </cell>
          <cell r="Z167">
            <v>0</v>
          </cell>
          <cell r="AA167">
            <v>0</v>
          </cell>
          <cell r="AB167">
            <v>30.920999999999999</v>
          </cell>
          <cell r="AC167">
            <v>4.2720000000000002</v>
          </cell>
          <cell r="AD167">
            <v>0</v>
          </cell>
          <cell r="AE167">
            <v>17.189</v>
          </cell>
          <cell r="AF167">
            <v>7.6419999999999995</v>
          </cell>
          <cell r="AG167">
            <v>7.7410000000000005</v>
          </cell>
          <cell r="AH167">
            <v>1.986</v>
          </cell>
          <cell r="AI167">
            <v>7.2164999999999999</v>
          </cell>
          <cell r="AJ167">
            <v>9.2025000000000006</v>
          </cell>
          <cell r="AK167">
            <v>39</v>
          </cell>
          <cell r="AL167">
            <v>177.8</v>
          </cell>
          <cell r="AM167">
            <v>0</v>
          </cell>
          <cell r="AN167">
            <v>0.7</v>
          </cell>
          <cell r="AO167">
            <v>0</v>
          </cell>
          <cell r="AP167">
            <v>2.7509999999999999</v>
          </cell>
          <cell r="AQ167">
            <v>0.1998675</v>
          </cell>
          <cell r="AS167">
            <v>22.279</v>
          </cell>
          <cell r="AT167">
            <v>3.6370000000000005</v>
          </cell>
          <cell r="AU167">
            <v>175.2</v>
          </cell>
          <cell r="AV167">
            <v>201.11599999999999</v>
          </cell>
          <cell r="AW167">
            <v>0</v>
          </cell>
          <cell r="AX167">
            <v>0</v>
          </cell>
          <cell r="AY167">
            <v>0</v>
          </cell>
          <cell r="AZ167">
            <v>0</v>
          </cell>
          <cell r="BA167">
            <v>0</v>
          </cell>
          <cell r="BB167">
            <v>0</v>
          </cell>
          <cell r="BC167">
            <v>0</v>
          </cell>
          <cell r="BD167">
            <v>0</v>
          </cell>
          <cell r="BE167">
            <v>0</v>
          </cell>
        </row>
        <row r="168">
          <cell r="H168">
            <v>0</v>
          </cell>
          <cell r="I168">
            <v>0</v>
          </cell>
          <cell r="J168">
            <v>0</v>
          </cell>
          <cell r="K168">
            <v>0</v>
          </cell>
          <cell r="L168">
            <v>0</v>
          </cell>
          <cell r="M168">
            <v>0</v>
          </cell>
          <cell r="N168">
            <v>0</v>
          </cell>
          <cell r="O168">
            <v>0</v>
          </cell>
          <cell r="P168">
            <v>0</v>
          </cell>
          <cell r="Q168">
            <v>0</v>
          </cell>
          <cell r="R168">
            <v>0</v>
          </cell>
          <cell r="S168">
            <v>0</v>
          </cell>
          <cell r="T168">
            <v>0</v>
          </cell>
          <cell r="U168">
            <v>5.4969999999999999</v>
          </cell>
          <cell r="V168">
            <v>30.077000000000002</v>
          </cell>
          <cell r="W168">
            <v>24.447000000000003</v>
          </cell>
          <cell r="X168">
            <v>32.134</v>
          </cell>
          <cell r="Y168">
            <v>3.4</v>
          </cell>
          <cell r="Z168">
            <v>82.698000000000008</v>
          </cell>
          <cell r="AA168">
            <v>17.420000000000002</v>
          </cell>
          <cell r="AB168">
            <v>62.555</v>
          </cell>
          <cell r="AC168">
            <v>22.469000000000001</v>
          </cell>
          <cell r="AD168">
            <v>0</v>
          </cell>
          <cell r="AE168">
            <v>24.97</v>
          </cell>
          <cell r="AF168">
            <v>28.346000000000004</v>
          </cell>
          <cell r="AG168">
            <v>39.561</v>
          </cell>
          <cell r="AH168">
            <v>0</v>
          </cell>
          <cell r="AI168">
            <v>0</v>
          </cell>
          <cell r="AJ168">
            <v>16.257000000000001</v>
          </cell>
          <cell r="AK168">
            <v>82</v>
          </cell>
          <cell r="AL168">
            <v>246.1</v>
          </cell>
          <cell r="AM168">
            <v>71.373000000000005</v>
          </cell>
          <cell r="AN168">
            <v>4.056</v>
          </cell>
          <cell r="AO168">
            <v>0</v>
          </cell>
          <cell r="AP168">
            <v>10.19</v>
          </cell>
          <cell r="AQ168">
            <v>0.79947000000000001</v>
          </cell>
          <cell r="AR168">
            <v>10.989469999999999</v>
          </cell>
          <cell r="AS168">
            <v>32.238</v>
          </cell>
          <cell r="AT168">
            <v>5.5010000000000003</v>
          </cell>
          <cell r="AU168">
            <v>280.60000000000002</v>
          </cell>
          <cell r="AV168">
            <v>318.339</v>
          </cell>
          <cell r="AW168">
            <v>0</v>
          </cell>
          <cell r="AX168">
            <v>0</v>
          </cell>
          <cell r="AY168">
            <v>0</v>
          </cell>
          <cell r="AZ168">
            <v>0</v>
          </cell>
          <cell r="BA168">
            <v>0</v>
          </cell>
          <cell r="BB168">
            <v>0</v>
          </cell>
          <cell r="BC168">
            <v>0</v>
          </cell>
          <cell r="BD168">
            <v>0</v>
          </cell>
          <cell r="BE168">
            <v>0</v>
          </cell>
        </row>
        <row r="174">
          <cell r="H174">
            <v>0</v>
          </cell>
          <cell r="I174">
            <v>0</v>
          </cell>
          <cell r="J174">
            <v>0</v>
          </cell>
          <cell r="K174">
            <v>0</v>
          </cell>
          <cell r="L174">
            <v>0</v>
          </cell>
          <cell r="M174">
            <v>0</v>
          </cell>
          <cell r="N174">
            <v>0</v>
          </cell>
          <cell r="O174">
            <v>0</v>
          </cell>
          <cell r="P174">
            <v>0</v>
          </cell>
          <cell r="Q174">
            <v>0</v>
          </cell>
          <cell r="R174">
            <v>0</v>
          </cell>
          <cell r="S174">
            <v>0</v>
          </cell>
          <cell r="T174">
            <v>0</v>
          </cell>
          <cell r="U174">
            <v>18.178999999999998</v>
          </cell>
          <cell r="W174">
            <v>25.146999999999998</v>
          </cell>
          <cell r="X174">
            <v>49.847000000000001</v>
          </cell>
          <cell r="Y174">
            <v>1.849</v>
          </cell>
          <cell r="Z174">
            <v>0</v>
          </cell>
          <cell r="AA174">
            <v>0</v>
          </cell>
          <cell r="AB174">
            <v>20.998999999999999</v>
          </cell>
          <cell r="AC174">
            <v>1.3320000000000001</v>
          </cell>
          <cell r="AD174">
            <v>0</v>
          </cell>
          <cell r="AE174">
            <v>16.545999999999999</v>
          </cell>
          <cell r="AF174">
            <v>17.59</v>
          </cell>
          <cell r="AG174">
            <v>8.9949999999999992</v>
          </cell>
          <cell r="AH174">
            <v>4.4660000000000002</v>
          </cell>
          <cell r="AI174">
            <v>2.999333333333333</v>
          </cell>
          <cell r="AJ174">
            <v>7.4653333333333336</v>
          </cell>
          <cell r="AK174">
            <v>15.9</v>
          </cell>
          <cell r="AL174">
            <v>74.8</v>
          </cell>
          <cell r="AM174">
            <v>0</v>
          </cell>
          <cell r="AN174">
            <v>0.46</v>
          </cell>
          <cell r="AO174">
            <v>0</v>
          </cell>
          <cell r="AS174">
            <v>46.41</v>
          </cell>
          <cell r="AT174">
            <v>2.23</v>
          </cell>
          <cell r="AU174">
            <v>186.1</v>
          </cell>
          <cell r="AV174">
            <v>234.74</v>
          </cell>
          <cell r="AW174">
            <v>0</v>
          </cell>
          <cell r="AX174">
            <v>0</v>
          </cell>
          <cell r="AY174">
            <v>0</v>
          </cell>
          <cell r="AZ174">
            <v>0</v>
          </cell>
          <cell r="BA174">
            <v>0</v>
          </cell>
          <cell r="BB174">
            <v>0</v>
          </cell>
          <cell r="BC174">
            <v>0</v>
          </cell>
          <cell r="BD174">
            <v>0</v>
          </cell>
          <cell r="BE174">
            <v>0</v>
          </cell>
        </row>
        <row r="175">
          <cell r="H175">
            <v>0</v>
          </cell>
          <cell r="I175">
            <v>0</v>
          </cell>
          <cell r="J175">
            <v>0</v>
          </cell>
          <cell r="K175">
            <v>0</v>
          </cell>
          <cell r="L175">
            <v>0</v>
          </cell>
          <cell r="M175">
            <v>0</v>
          </cell>
          <cell r="N175">
            <v>0</v>
          </cell>
          <cell r="O175">
            <v>0</v>
          </cell>
          <cell r="P175">
            <v>0</v>
          </cell>
          <cell r="Q175">
            <v>0</v>
          </cell>
          <cell r="R175">
            <v>0</v>
          </cell>
          <cell r="S175">
            <v>0</v>
          </cell>
          <cell r="T175">
            <v>0</v>
          </cell>
          <cell r="U175">
            <v>10.798</v>
          </cell>
          <cell r="W175">
            <v>26.192250000000001</v>
          </cell>
          <cell r="X175">
            <v>17.690000000000001</v>
          </cell>
          <cell r="Y175">
            <v>0.121</v>
          </cell>
          <cell r="Z175">
            <v>0</v>
          </cell>
          <cell r="AA175">
            <v>0</v>
          </cell>
          <cell r="AB175">
            <v>26.433</v>
          </cell>
          <cell r="AC175">
            <v>5.0129999999999999</v>
          </cell>
          <cell r="AD175">
            <v>0</v>
          </cell>
          <cell r="AE175">
            <v>16.494</v>
          </cell>
          <cell r="AF175">
            <v>6.157</v>
          </cell>
          <cell r="AG175">
            <v>10.218999999999999</v>
          </cell>
          <cell r="AH175">
            <v>1.419</v>
          </cell>
          <cell r="AI175">
            <v>2.8485</v>
          </cell>
          <cell r="AJ175">
            <v>4.2675000000000001</v>
          </cell>
          <cell r="AK175">
            <v>14</v>
          </cell>
          <cell r="AL175">
            <v>96</v>
          </cell>
          <cell r="AM175">
            <v>0</v>
          </cell>
          <cell r="AN175">
            <v>0.56599999999999995</v>
          </cell>
          <cell r="AO175">
            <v>0</v>
          </cell>
          <cell r="AP175">
            <v>2.3980000000000001</v>
          </cell>
          <cell r="AQ175">
            <v>0.12210275</v>
          </cell>
          <cell r="AS175">
            <v>28.722999999999999</v>
          </cell>
          <cell r="AT175">
            <v>4.9450000000000003</v>
          </cell>
          <cell r="AU175">
            <v>234.8</v>
          </cell>
          <cell r="AV175">
            <v>268.46800000000002</v>
          </cell>
          <cell r="AW175">
            <v>0</v>
          </cell>
          <cell r="AX175">
            <v>0</v>
          </cell>
          <cell r="AY175">
            <v>0</v>
          </cell>
          <cell r="AZ175">
            <v>0</v>
          </cell>
          <cell r="BA175">
            <v>0</v>
          </cell>
          <cell r="BB175">
            <v>0</v>
          </cell>
          <cell r="BC175">
            <v>0</v>
          </cell>
          <cell r="BD175">
            <v>0</v>
          </cell>
          <cell r="BE175">
            <v>0</v>
          </cell>
        </row>
        <row r="176">
          <cell r="H176">
            <v>0</v>
          </cell>
          <cell r="I176">
            <v>0</v>
          </cell>
          <cell r="J176">
            <v>0</v>
          </cell>
          <cell r="K176">
            <v>0</v>
          </cell>
          <cell r="L176">
            <v>0</v>
          </cell>
          <cell r="M176">
            <v>0</v>
          </cell>
          <cell r="N176">
            <v>0</v>
          </cell>
          <cell r="O176">
            <v>0</v>
          </cell>
          <cell r="P176">
            <v>0</v>
          </cell>
          <cell r="Q176">
            <v>0</v>
          </cell>
          <cell r="R176">
            <v>0</v>
          </cell>
          <cell r="S176">
            <v>0</v>
          </cell>
          <cell r="T176">
            <v>0</v>
          </cell>
          <cell r="U176">
            <v>15.15</v>
          </cell>
          <cell r="V176">
            <v>37.673000000000002</v>
          </cell>
          <cell r="W176">
            <v>34.923000000000002</v>
          </cell>
          <cell r="X176">
            <v>40.412000000000006</v>
          </cell>
          <cell r="Y176">
            <v>7.4459999999999997</v>
          </cell>
          <cell r="Z176">
            <v>69.308999999999997</v>
          </cell>
          <cell r="AA176">
            <v>16.619</v>
          </cell>
          <cell r="AB176">
            <v>55.454999999999998</v>
          </cell>
          <cell r="AC176">
            <v>10.147</v>
          </cell>
          <cell r="AD176">
            <v>0</v>
          </cell>
          <cell r="AE176">
            <v>22.856999999999999</v>
          </cell>
          <cell r="AF176">
            <v>46.127000000000002</v>
          </cell>
          <cell r="AG176">
            <v>64.891999999999996</v>
          </cell>
          <cell r="AH176">
            <v>2.6349999999999998</v>
          </cell>
          <cell r="AI176">
            <v>3.798</v>
          </cell>
          <cell r="AJ176">
            <v>6.4329999999999998</v>
          </cell>
          <cell r="AK176">
            <v>40.1</v>
          </cell>
          <cell r="AL176">
            <v>158.9</v>
          </cell>
          <cell r="AM176">
            <v>109.76300000000001</v>
          </cell>
          <cell r="AN176">
            <v>2.85</v>
          </cell>
          <cell r="AO176">
            <v>0</v>
          </cell>
          <cell r="AP176">
            <v>15.372999999999999</v>
          </cell>
          <cell r="AQ176">
            <v>0.48841099999999998</v>
          </cell>
          <cell r="AR176">
            <v>15.861410999999999</v>
          </cell>
          <cell r="AS176">
            <v>45.980999999999995</v>
          </cell>
          <cell r="AT176">
            <v>6.8949999999999996</v>
          </cell>
          <cell r="AU176">
            <v>341.2</v>
          </cell>
          <cell r="AV176">
            <v>394.07599999999996</v>
          </cell>
          <cell r="AW176">
            <v>0</v>
          </cell>
          <cell r="AX176">
            <v>0</v>
          </cell>
          <cell r="AY176">
            <v>0</v>
          </cell>
          <cell r="AZ176">
            <v>0</v>
          </cell>
          <cell r="BA176">
            <v>0</v>
          </cell>
          <cell r="BB176">
            <v>0</v>
          </cell>
          <cell r="BC176">
            <v>0</v>
          </cell>
          <cell r="BD176">
            <v>0</v>
          </cell>
          <cell r="BE176">
            <v>0</v>
          </cell>
        </row>
        <row r="180">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row>
        <row r="181">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row>
        <row r="184">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row>
        <row r="185">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row>
        <row r="186">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row>
        <row r="190">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row>
        <row r="191">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row>
        <row r="192">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row>
        <row r="193">
          <cell r="Z193" t="str">
            <v>B</v>
          </cell>
        </row>
        <row r="196">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row>
        <row r="197">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row>
        <row r="198">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row>
        <row r="204">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row>
        <row r="205">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row>
        <row r="206">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row>
        <row r="207">
          <cell r="Y207">
            <v>0</v>
          </cell>
          <cell r="Z207">
            <v>0</v>
          </cell>
        </row>
        <row r="212">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254.59899999999999</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row>
        <row r="213">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22.143000000000001</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row>
        <row r="214">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2.4900000000000002</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row>
        <row r="215">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row>
        <row r="216">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14.489000000000001</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row>
        <row r="217">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0.42934186742525265</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row>
        <row r="221">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row>
        <row r="222">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row>
        <row r="223">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row>
        <row r="224">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row>
        <row r="229">
          <cell r="H229" t="str">
            <v>Spare</v>
          </cell>
          <cell r="I229" t="str">
            <v>Spare</v>
          </cell>
          <cell r="J229" t="str">
            <v>Spare</v>
          </cell>
          <cell r="K229" t="str">
            <v>Spare</v>
          </cell>
          <cell r="L229" t="str">
            <v>Spare</v>
          </cell>
          <cell r="M229" t="str">
            <v>Spare</v>
          </cell>
          <cell r="N229" t="str">
            <v>Spare</v>
          </cell>
          <cell r="O229" t="str">
            <v>Spare</v>
          </cell>
          <cell r="P229" t="str">
            <v>Spare</v>
          </cell>
          <cell r="Q229" t="str">
            <v>Spare</v>
          </cell>
          <cell r="R229" t="str">
            <v>Spare</v>
          </cell>
          <cell r="S229" t="str">
            <v>Spare</v>
          </cell>
          <cell r="T229" t="str">
            <v>Spare</v>
          </cell>
          <cell r="U229" t="str">
            <v>Spare</v>
          </cell>
          <cell r="V229" t="str">
            <v>Spare</v>
          </cell>
          <cell r="W229" t="str">
            <v>Spare</v>
          </cell>
          <cell r="X229" t="str">
            <v>Spare</v>
          </cell>
          <cell r="Y229" t="str">
            <v>Spare</v>
          </cell>
          <cell r="Z229" t="str">
            <v>Spare</v>
          </cell>
          <cell r="AA229" t="str">
            <v>Spare</v>
          </cell>
          <cell r="AB229" t="str">
            <v>Spare</v>
          </cell>
          <cell r="AC229" t="str">
            <v>Spare</v>
          </cell>
          <cell r="AD229" t="str">
            <v>Spare</v>
          </cell>
          <cell r="AE229" t="str">
            <v>Spare</v>
          </cell>
          <cell r="AF229" t="str">
            <v>Spare</v>
          </cell>
          <cell r="AG229" t="str">
            <v>Spare</v>
          </cell>
          <cell r="AH229">
            <v>0.13140653897996923</v>
          </cell>
          <cell r="AI229" t="str">
            <v>Spare</v>
          </cell>
          <cell r="AJ229" t="str">
            <v>Spare</v>
          </cell>
          <cell r="AK229" t="str">
            <v>Spare</v>
          </cell>
          <cell r="AL229" t="str">
            <v>Spare</v>
          </cell>
          <cell r="AM229" t="str">
            <v>Spare</v>
          </cell>
          <cell r="AN229" t="str">
            <v>Spare</v>
          </cell>
          <cell r="AO229" t="str">
            <v>Spare</v>
          </cell>
          <cell r="AP229" t="str">
            <v>Spare</v>
          </cell>
          <cell r="AQ229" t="str">
            <v>Spare</v>
          </cell>
          <cell r="AR229" t="str">
            <v>Spare</v>
          </cell>
          <cell r="AS229" t="str">
            <v>Spare</v>
          </cell>
          <cell r="AT229" t="str">
            <v>Spare</v>
          </cell>
          <cell r="AU229" t="str">
            <v>Spare</v>
          </cell>
          <cell r="AV229" t="str">
            <v>Spare</v>
          </cell>
          <cell r="AW229" t="str">
            <v>Spare</v>
          </cell>
          <cell r="AX229" t="str">
            <v>Spare</v>
          </cell>
          <cell r="AY229" t="str">
            <v>Spare</v>
          </cell>
          <cell r="AZ229" t="str">
            <v>Spare</v>
          </cell>
          <cell r="BA229" t="str">
            <v>Spare</v>
          </cell>
          <cell r="BB229" t="str">
            <v>Spare</v>
          </cell>
          <cell r="BC229" t="str">
            <v>Spare</v>
          </cell>
          <cell r="BD229" t="str">
            <v>Spare</v>
          </cell>
          <cell r="BE229" t="str">
            <v>Spare</v>
          </cell>
        </row>
        <row r="230">
          <cell r="H230" t="str">
            <v>Spare</v>
          </cell>
          <cell r="I230" t="str">
            <v>Spare</v>
          </cell>
          <cell r="J230" t="str">
            <v>Spare</v>
          </cell>
          <cell r="K230" t="str">
            <v>Spare</v>
          </cell>
          <cell r="L230" t="str">
            <v>Spare</v>
          </cell>
          <cell r="M230" t="str">
            <v>Spare</v>
          </cell>
          <cell r="N230" t="str">
            <v>Spare</v>
          </cell>
          <cell r="O230" t="str">
            <v>Spare</v>
          </cell>
          <cell r="P230" t="str">
            <v>Spare</v>
          </cell>
          <cell r="Q230" t="str">
            <v>Spare</v>
          </cell>
          <cell r="R230" t="str">
            <v>Spare</v>
          </cell>
          <cell r="S230" t="str">
            <v>Spare</v>
          </cell>
          <cell r="T230" t="str">
            <v>Spare</v>
          </cell>
          <cell r="U230" t="str">
            <v>Spare</v>
          </cell>
          <cell r="V230" t="str">
            <v>Spare</v>
          </cell>
          <cell r="W230" t="str">
            <v>Spare</v>
          </cell>
          <cell r="X230" t="str">
            <v>Spare</v>
          </cell>
          <cell r="Y230" t="str">
            <v>Spare</v>
          </cell>
          <cell r="Z230" t="str">
            <v>Spare</v>
          </cell>
          <cell r="AA230" t="str">
            <v>Spare</v>
          </cell>
          <cell r="AB230" t="str">
            <v>Spare</v>
          </cell>
          <cell r="AC230" t="str">
            <v>Spare</v>
          </cell>
          <cell r="AD230" t="str">
            <v>Spare</v>
          </cell>
          <cell r="AE230" t="str">
            <v>Spare</v>
          </cell>
          <cell r="AF230" t="str">
            <v>Spare</v>
          </cell>
          <cell r="AG230" t="str">
            <v>Spare</v>
          </cell>
          <cell r="AH230" t="str">
            <v>Spare</v>
          </cell>
          <cell r="AI230" t="str">
            <v>Spare</v>
          </cell>
          <cell r="AJ230" t="str">
            <v>Spare</v>
          </cell>
          <cell r="AK230" t="str">
            <v>Spare</v>
          </cell>
          <cell r="AL230" t="str">
            <v>Spare</v>
          </cell>
          <cell r="AM230" t="str">
            <v>Spare</v>
          </cell>
          <cell r="AN230" t="str">
            <v>Spare</v>
          </cell>
          <cell r="AO230" t="str">
            <v>Spare</v>
          </cell>
          <cell r="AP230" t="str">
            <v>Spare</v>
          </cell>
          <cell r="AQ230" t="str">
            <v>Spare</v>
          </cell>
          <cell r="AR230" t="str">
            <v>Spare</v>
          </cell>
          <cell r="AS230" t="str">
            <v>Spare</v>
          </cell>
          <cell r="AT230" t="str">
            <v>Spare</v>
          </cell>
          <cell r="AU230" t="str">
            <v>Spare</v>
          </cell>
          <cell r="AV230" t="str">
            <v>Spare</v>
          </cell>
          <cell r="AW230" t="str">
            <v>Spare</v>
          </cell>
          <cell r="AX230" t="str">
            <v>Spare</v>
          </cell>
          <cell r="AY230" t="str">
            <v>Spare</v>
          </cell>
          <cell r="AZ230" t="str">
            <v>Spare</v>
          </cell>
          <cell r="BA230" t="str">
            <v>Spare</v>
          </cell>
          <cell r="BB230" t="str">
            <v>Spare</v>
          </cell>
          <cell r="BC230" t="str">
            <v>Spare</v>
          </cell>
          <cell r="BD230" t="str">
            <v>Spare</v>
          </cell>
          <cell r="BE230" t="str">
            <v>Spare</v>
          </cell>
        </row>
        <row r="231">
          <cell r="H231" t="str">
            <v>Spare</v>
          </cell>
          <cell r="I231" t="str">
            <v>Spare</v>
          </cell>
          <cell r="J231" t="str">
            <v>Spare</v>
          </cell>
          <cell r="K231" t="str">
            <v>Spare</v>
          </cell>
          <cell r="L231" t="str">
            <v>Spare</v>
          </cell>
          <cell r="M231" t="str">
            <v>Spare</v>
          </cell>
          <cell r="N231" t="str">
            <v>Spare</v>
          </cell>
          <cell r="O231" t="str">
            <v>Spare</v>
          </cell>
          <cell r="P231" t="str">
            <v>Spare</v>
          </cell>
          <cell r="Q231" t="str">
            <v>Spare</v>
          </cell>
          <cell r="R231" t="str">
            <v>Spare</v>
          </cell>
          <cell r="S231" t="str">
            <v>Spare</v>
          </cell>
          <cell r="T231" t="str">
            <v>Spare</v>
          </cell>
          <cell r="U231" t="str">
            <v>Spare</v>
          </cell>
          <cell r="V231" t="str">
            <v>Spare</v>
          </cell>
          <cell r="W231" t="str">
            <v>Spare</v>
          </cell>
          <cell r="X231" t="str">
            <v>Spare</v>
          </cell>
          <cell r="Y231" t="str">
            <v>Spare</v>
          </cell>
          <cell r="Z231" t="str">
            <v>Spare</v>
          </cell>
          <cell r="AA231" t="str">
            <v>Spare</v>
          </cell>
          <cell r="AB231" t="str">
            <v>Spare</v>
          </cell>
          <cell r="AC231" t="str">
            <v>Spare</v>
          </cell>
          <cell r="AD231" t="str">
            <v>Spare</v>
          </cell>
          <cell r="AE231" t="str">
            <v>Spare</v>
          </cell>
          <cell r="AF231" t="str">
            <v>Spare</v>
          </cell>
          <cell r="AG231" t="str">
            <v>Spare</v>
          </cell>
          <cell r="AH231" t="str">
            <v>Spare</v>
          </cell>
          <cell r="AI231" t="str">
            <v>Spare</v>
          </cell>
          <cell r="AJ231" t="str">
            <v>Spare</v>
          </cell>
          <cell r="AK231" t="str">
            <v>Spare</v>
          </cell>
          <cell r="AL231" t="str">
            <v>Spare</v>
          </cell>
          <cell r="AM231" t="str">
            <v>Spare</v>
          </cell>
          <cell r="AN231" t="str">
            <v>Spare</v>
          </cell>
          <cell r="AO231" t="str">
            <v>Spare</v>
          </cell>
          <cell r="AP231" t="str">
            <v>Spare</v>
          </cell>
          <cell r="AQ231" t="str">
            <v>Spare</v>
          </cell>
          <cell r="AR231" t="str">
            <v>Spare</v>
          </cell>
          <cell r="AS231" t="str">
            <v>Spare</v>
          </cell>
          <cell r="AT231" t="str">
            <v>Spare</v>
          </cell>
          <cell r="AU231" t="str">
            <v>Spare</v>
          </cell>
          <cell r="AV231" t="str">
            <v>Spare</v>
          </cell>
          <cell r="AW231" t="str">
            <v>Spare</v>
          </cell>
          <cell r="AX231" t="str">
            <v>Spare</v>
          </cell>
          <cell r="AY231" t="str">
            <v>Spare</v>
          </cell>
          <cell r="AZ231" t="str">
            <v>Spare</v>
          </cell>
          <cell r="BA231" t="str">
            <v>Spare</v>
          </cell>
          <cell r="BB231" t="str">
            <v>Spare</v>
          </cell>
          <cell r="BC231" t="str">
            <v>Spare</v>
          </cell>
          <cell r="BD231" t="str">
            <v>Spare</v>
          </cell>
          <cell r="BE231" t="str">
            <v>Spare</v>
          </cell>
        </row>
        <row r="232">
          <cell r="H232" t="str">
            <v>Spare</v>
          </cell>
          <cell r="I232" t="str">
            <v>Spare</v>
          </cell>
          <cell r="J232" t="str">
            <v>Spare</v>
          </cell>
          <cell r="K232" t="str">
            <v>Spare</v>
          </cell>
          <cell r="L232" t="str">
            <v>Spare</v>
          </cell>
          <cell r="M232" t="str">
            <v>Spare</v>
          </cell>
          <cell r="N232" t="str">
            <v>Spare</v>
          </cell>
          <cell r="O232" t="str">
            <v>Spare</v>
          </cell>
          <cell r="P232" t="str">
            <v>Spare</v>
          </cell>
          <cell r="Q232" t="str">
            <v>Spare</v>
          </cell>
          <cell r="R232" t="str">
            <v>Spare</v>
          </cell>
          <cell r="S232" t="str">
            <v>Spare</v>
          </cell>
          <cell r="T232" t="str">
            <v>Spare</v>
          </cell>
          <cell r="U232" t="str">
            <v>Spare</v>
          </cell>
          <cell r="V232" t="str">
            <v>Spare</v>
          </cell>
          <cell r="W232" t="str">
            <v>Spare</v>
          </cell>
          <cell r="X232" t="str">
            <v>Spare</v>
          </cell>
          <cell r="Y232" t="str">
            <v>Spare</v>
          </cell>
          <cell r="Z232" t="str">
            <v>Spare</v>
          </cell>
          <cell r="AA232" t="str">
            <v>Spare</v>
          </cell>
          <cell r="AB232" t="str">
            <v>Spare</v>
          </cell>
          <cell r="AC232" t="str">
            <v>Spare</v>
          </cell>
          <cell r="AD232" t="str">
            <v>Spare</v>
          </cell>
          <cell r="AE232" t="str">
            <v>Spare</v>
          </cell>
          <cell r="AF232" t="str">
            <v>Spare</v>
          </cell>
          <cell r="AG232" t="str">
            <v>Spare</v>
          </cell>
          <cell r="AH232" t="str">
            <v>Spare</v>
          </cell>
          <cell r="AI232" t="str">
            <v>Spare</v>
          </cell>
          <cell r="AJ232" t="str">
            <v>Spare</v>
          </cell>
          <cell r="AK232" t="str">
            <v>Spare</v>
          </cell>
          <cell r="AL232" t="str">
            <v>Spare</v>
          </cell>
          <cell r="AM232" t="str">
            <v>Spare</v>
          </cell>
          <cell r="AN232" t="str">
            <v>Spare</v>
          </cell>
          <cell r="AO232" t="str">
            <v>Spare</v>
          </cell>
          <cell r="AP232" t="str">
            <v>Spare</v>
          </cell>
          <cell r="AQ232" t="str">
            <v>Spare</v>
          </cell>
          <cell r="AR232" t="str">
            <v>Spare</v>
          </cell>
          <cell r="AS232" t="str">
            <v>Spare</v>
          </cell>
          <cell r="AT232" t="str">
            <v>Spare</v>
          </cell>
          <cell r="AU232" t="str">
            <v>Spare</v>
          </cell>
          <cell r="AV232" t="str">
            <v>Spare</v>
          </cell>
          <cell r="AW232" t="str">
            <v>Spare</v>
          </cell>
          <cell r="AX232" t="str">
            <v>Spare</v>
          </cell>
          <cell r="AY232" t="str">
            <v>Spare</v>
          </cell>
          <cell r="AZ232" t="str">
            <v>Spare</v>
          </cell>
          <cell r="BA232" t="str">
            <v>Spare</v>
          </cell>
          <cell r="BB232" t="str">
            <v>Spare</v>
          </cell>
          <cell r="BC232" t="str">
            <v>Spare</v>
          </cell>
          <cell r="BD232" t="str">
            <v>Spare</v>
          </cell>
          <cell r="BE232" t="str">
            <v>Spare</v>
          </cell>
        </row>
        <row r="233">
          <cell r="H233" t="str">
            <v>Spare</v>
          </cell>
          <cell r="I233" t="str">
            <v>Spare</v>
          </cell>
          <cell r="J233" t="str">
            <v>Spare</v>
          </cell>
          <cell r="K233" t="str">
            <v>Spare</v>
          </cell>
          <cell r="L233" t="str">
            <v>Spare</v>
          </cell>
          <cell r="M233" t="str">
            <v>Spare</v>
          </cell>
          <cell r="N233" t="str">
            <v>Spare</v>
          </cell>
          <cell r="O233" t="str">
            <v>Spare</v>
          </cell>
          <cell r="P233" t="str">
            <v>Spare</v>
          </cell>
          <cell r="Q233" t="str">
            <v>Spare</v>
          </cell>
          <cell r="R233" t="str">
            <v>Spare</v>
          </cell>
          <cell r="S233" t="str">
            <v>Spare</v>
          </cell>
          <cell r="T233" t="str">
            <v>Spare</v>
          </cell>
          <cell r="U233" t="str">
            <v>Spare</v>
          </cell>
          <cell r="V233" t="str">
            <v>Spare</v>
          </cell>
          <cell r="W233" t="str">
            <v>Spare</v>
          </cell>
          <cell r="X233" t="str">
            <v>Spare</v>
          </cell>
          <cell r="Y233" t="str">
            <v>Spare</v>
          </cell>
          <cell r="Z233" t="str">
            <v>Spare</v>
          </cell>
          <cell r="AA233" t="str">
            <v>Spare</v>
          </cell>
          <cell r="AB233" t="str">
            <v>Spare</v>
          </cell>
          <cell r="AC233" t="str">
            <v>Spare</v>
          </cell>
          <cell r="AD233" t="str">
            <v>Spare</v>
          </cell>
          <cell r="AE233" t="str">
            <v>Spare</v>
          </cell>
          <cell r="AF233" t="str">
            <v>Spare</v>
          </cell>
          <cell r="AG233" t="str">
            <v>Spare</v>
          </cell>
          <cell r="AH233" t="str">
            <v>Spare</v>
          </cell>
          <cell r="AI233" t="str">
            <v>Spare</v>
          </cell>
          <cell r="AJ233" t="str">
            <v>Spare</v>
          </cell>
          <cell r="AK233" t="str">
            <v>Spare</v>
          </cell>
          <cell r="AL233" t="str">
            <v>Spare</v>
          </cell>
          <cell r="AM233" t="str">
            <v>Spare</v>
          </cell>
          <cell r="AN233" t="str">
            <v>Spare</v>
          </cell>
          <cell r="AO233" t="str">
            <v>Spare</v>
          </cell>
          <cell r="AP233" t="str">
            <v>Spare</v>
          </cell>
          <cell r="AQ233" t="str">
            <v>Spare</v>
          </cell>
          <cell r="AR233" t="str">
            <v>Spare</v>
          </cell>
          <cell r="AS233" t="str">
            <v>Spare</v>
          </cell>
          <cell r="AT233" t="str">
            <v>Spare</v>
          </cell>
          <cell r="AU233" t="str">
            <v>Spare</v>
          </cell>
          <cell r="AV233" t="str">
            <v>Spare</v>
          </cell>
          <cell r="AW233" t="str">
            <v>Spare</v>
          </cell>
          <cell r="AX233" t="str">
            <v>Spare</v>
          </cell>
          <cell r="AY233" t="str">
            <v>Spare</v>
          </cell>
          <cell r="AZ233" t="str">
            <v>Spare</v>
          </cell>
          <cell r="BA233" t="str">
            <v>Spare</v>
          </cell>
          <cell r="BB233" t="str">
            <v>Spare</v>
          </cell>
          <cell r="BC233" t="str">
            <v>Spare</v>
          </cell>
          <cell r="BD233" t="str">
            <v>Spare</v>
          </cell>
          <cell r="BE233" t="str">
            <v>Spare</v>
          </cell>
        </row>
        <row r="238">
          <cell r="H238">
            <v>34.51</v>
          </cell>
          <cell r="I238">
            <v>5.66</v>
          </cell>
          <cell r="J238">
            <v>29.09</v>
          </cell>
          <cell r="K238">
            <v>44.25</v>
          </cell>
          <cell r="L238">
            <v>18.05</v>
          </cell>
          <cell r="M238">
            <v>19</v>
          </cell>
          <cell r="N238">
            <v>30.01</v>
          </cell>
          <cell r="O238">
            <v>12.27</v>
          </cell>
          <cell r="P238">
            <v>5.52</v>
          </cell>
          <cell r="Q238">
            <v>17.329999999999998</v>
          </cell>
          <cell r="R238">
            <v>33.479999999999997</v>
          </cell>
          <cell r="S238">
            <v>24.02</v>
          </cell>
          <cell r="T238" t="e">
            <v>#VALUE!</v>
          </cell>
          <cell r="U238">
            <v>21.26</v>
          </cell>
          <cell r="V238">
            <v>52.05</v>
          </cell>
          <cell r="W238">
            <v>34.51</v>
          </cell>
          <cell r="X238">
            <v>34.64</v>
          </cell>
          <cell r="Y238">
            <v>24.38</v>
          </cell>
          <cell r="Z238" t="e">
            <v>#N/A</v>
          </cell>
          <cell r="AA238">
            <v>72.7</v>
          </cell>
          <cell r="AB238">
            <v>72.7</v>
          </cell>
          <cell r="AC238">
            <v>14.75</v>
          </cell>
          <cell r="AD238" t="e">
            <v>#N/A</v>
          </cell>
          <cell r="AE238">
            <v>7.84</v>
          </cell>
          <cell r="AF238">
            <v>53.25</v>
          </cell>
          <cell r="AG238">
            <v>33.58</v>
          </cell>
          <cell r="AH238">
            <v>52.05</v>
          </cell>
          <cell r="AI238">
            <v>8.26</v>
          </cell>
          <cell r="AJ238" t="e">
            <v>#VALUE!</v>
          </cell>
          <cell r="AK238">
            <v>28.9</v>
          </cell>
          <cell r="AL238">
            <v>31.81</v>
          </cell>
          <cell r="AM238">
            <v>50.35</v>
          </cell>
          <cell r="AN238">
            <v>4.99</v>
          </cell>
          <cell r="AO238" t="e">
            <v>#N/A</v>
          </cell>
          <cell r="AP238">
            <v>47.72</v>
          </cell>
          <cell r="AQ238" t="e">
            <v>#VALUE!</v>
          </cell>
          <cell r="AR238">
            <v>47.72</v>
          </cell>
          <cell r="AS238">
            <v>33.58</v>
          </cell>
          <cell r="AT238" t="e">
            <v>#N/A</v>
          </cell>
          <cell r="AU238">
            <v>64.69</v>
          </cell>
          <cell r="AV238">
            <v>64.69</v>
          </cell>
          <cell r="AW238" t="e">
            <v>#VALUE!</v>
          </cell>
          <cell r="AX238" t="e">
            <v>#VALUE!</v>
          </cell>
          <cell r="AY238" t="e">
            <v>#VALUE!</v>
          </cell>
          <cell r="AZ238" t="e">
            <v>#VALUE!</v>
          </cell>
          <cell r="BA238" t="e">
            <v>#VALUE!</v>
          </cell>
          <cell r="BB238" t="e">
            <v>#VALUE!</v>
          </cell>
          <cell r="BC238" t="e">
            <v>#VALUE!</v>
          </cell>
          <cell r="BD238" t="e">
            <v>#VALUE!</v>
          </cell>
          <cell r="BE238" t="e">
            <v>#VALUE!</v>
          </cell>
        </row>
        <row r="239">
          <cell r="H239">
            <v>69.5</v>
          </cell>
          <cell r="I239">
            <v>18.05</v>
          </cell>
          <cell r="J239">
            <v>29.95</v>
          </cell>
          <cell r="K239">
            <v>27.125</v>
          </cell>
          <cell r="L239">
            <v>19.95</v>
          </cell>
          <cell r="M239">
            <v>24.14</v>
          </cell>
          <cell r="N239">
            <v>46</v>
          </cell>
          <cell r="O239">
            <v>23.66</v>
          </cell>
          <cell r="P239">
            <v>30.43</v>
          </cell>
          <cell r="Q239">
            <v>21.14</v>
          </cell>
          <cell r="R239">
            <v>28.14</v>
          </cell>
          <cell r="S239">
            <v>35.51</v>
          </cell>
          <cell r="T239" t="e">
            <v>#VALUE!</v>
          </cell>
          <cell r="U239">
            <v>26.86</v>
          </cell>
          <cell r="V239">
            <v>34.4</v>
          </cell>
          <cell r="W239">
            <v>69.5</v>
          </cell>
          <cell r="X239">
            <v>58.88</v>
          </cell>
          <cell r="Y239">
            <v>26.65</v>
          </cell>
          <cell r="Z239" t="e">
            <v>#N/A</v>
          </cell>
          <cell r="AA239">
            <v>66.709999999999994</v>
          </cell>
          <cell r="AB239">
            <v>66.709999999999994</v>
          </cell>
          <cell r="AC239">
            <v>20.3</v>
          </cell>
          <cell r="AD239" t="e">
            <v>#N/A</v>
          </cell>
          <cell r="AE239">
            <v>8.2100000000000009</v>
          </cell>
          <cell r="AF239">
            <v>35.46</v>
          </cell>
          <cell r="AG239">
            <v>34.25</v>
          </cell>
          <cell r="AH239">
            <v>34.4</v>
          </cell>
          <cell r="AI239">
            <v>19.5</v>
          </cell>
          <cell r="AJ239" t="e">
            <v>#VALUE!</v>
          </cell>
          <cell r="AK239">
            <v>25.25</v>
          </cell>
          <cell r="AL239">
            <v>40.130000000000003</v>
          </cell>
          <cell r="AM239">
            <v>45.96</v>
          </cell>
          <cell r="AN239">
            <v>4.66</v>
          </cell>
          <cell r="AO239" t="e">
            <v>#N/A</v>
          </cell>
          <cell r="AP239">
            <v>35.25</v>
          </cell>
          <cell r="AQ239" t="e">
            <v>#VALUE!</v>
          </cell>
          <cell r="AR239">
            <v>35.25</v>
          </cell>
          <cell r="AS239">
            <v>34.25</v>
          </cell>
          <cell r="AT239" t="e">
            <v>#N/A</v>
          </cell>
          <cell r="AU239">
            <v>73.319999999999993</v>
          </cell>
          <cell r="AV239">
            <v>73.319999999999993</v>
          </cell>
          <cell r="AW239" t="e">
            <v>#VALUE!</v>
          </cell>
          <cell r="AX239" t="e">
            <v>#VALUE!</v>
          </cell>
          <cell r="AY239" t="e">
            <v>#VALUE!</v>
          </cell>
          <cell r="AZ239" t="e">
            <v>#VALUE!</v>
          </cell>
          <cell r="BA239" t="e">
            <v>#VALUE!</v>
          </cell>
          <cell r="BB239" t="e">
            <v>#VALUE!</v>
          </cell>
          <cell r="BC239" t="e">
            <v>#VALUE!</v>
          </cell>
          <cell r="BD239" t="e">
            <v>#VALUE!</v>
          </cell>
          <cell r="BE239" t="e">
            <v>#VALUE!</v>
          </cell>
        </row>
        <row r="240">
          <cell r="H240">
            <v>34.5</v>
          </cell>
          <cell r="I240">
            <v>6.9</v>
          </cell>
          <cell r="J240">
            <v>26.74</v>
          </cell>
          <cell r="K240">
            <v>40.51</v>
          </cell>
          <cell r="L240">
            <v>16.59</v>
          </cell>
          <cell r="M240">
            <v>17.079999999999998</v>
          </cell>
          <cell r="N240">
            <v>27.38</v>
          </cell>
          <cell r="O240">
            <v>13.84</v>
          </cell>
          <cell r="P240">
            <v>7.31</v>
          </cell>
          <cell r="Q240">
            <v>16.579999999999998</v>
          </cell>
          <cell r="R240">
            <v>32.35</v>
          </cell>
          <cell r="S240">
            <v>21.6</v>
          </cell>
          <cell r="T240" t="e">
            <v>#VALUE!</v>
          </cell>
          <cell r="U240">
            <v>22</v>
          </cell>
          <cell r="V240">
            <v>44.89</v>
          </cell>
          <cell r="W240">
            <v>34.5</v>
          </cell>
          <cell r="X240">
            <v>32.450000000000003</v>
          </cell>
          <cell r="Y240">
            <v>20.95</v>
          </cell>
          <cell r="Z240" t="e">
            <v>#N/A</v>
          </cell>
          <cell r="AA240">
            <v>63.64</v>
          </cell>
          <cell r="AB240">
            <v>63.64</v>
          </cell>
          <cell r="AC240">
            <v>14.5</v>
          </cell>
          <cell r="AD240" t="e">
            <v>#N/A</v>
          </cell>
          <cell r="AE240">
            <v>7.17</v>
          </cell>
          <cell r="AF240">
            <v>42.92</v>
          </cell>
          <cell r="AG240">
            <v>28.85</v>
          </cell>
          <cell r="AH240">
            <v>44.89</v>
          </cell>
          <cell r="AI240">
            <v>8.26</v>
          </cell>
          <cell r="AJ240" t="e">
            <v>#VALUE!</v>
          </cell>
          <cell r="AK240">
            <v>26.75</v>
          </cell>
          <cell r="AL240">
            <v>31.14</v>
          </cell>
          <cell r="AM240">
            <v>48.32</v>
          </cell>
          <cell r="AN240">
            <v>4.6500000000000004</v>
          </cell>
          <cell r="AO240" t="e">
            <v>#N/A</v>
          </cell>
          <cell r="AP240">
            <v>45.19</v>
          </cell>
          <cell r="AQ240" t="e">
            <v>#VALUE!</v>
          </cell>
          <cell r="AR240">
            <v>45.19</v>
          </cell>
          <cell r="AS240">
            <v>28.85</v>
          </cell>
          <cell r="AT240" t="e">
            <v>#N/A</v>
          </cell>
          <cell r="AU240">
            <v>55.71</v>
          </cell>
          <cell r="AV240">
            <v>55.71</v>
          </cell>
          <cell r="AW240" t="e">
            <v>#VALUE!</v>
          </cell>
          <cell r="AX240" t="e">
            <v>#VALUE!</v>
          </cell>
          <cell r="AY240" t="e">
            <v>#VALUE!</v>
          </cell>
          <cell r="AZ240" t="e">
            <v>#VALUE!</v>
          </cell>
          <cell r="BA240" t="e">
            <v>#VALUE!</v>
          </cell>
          <cell r="BB240" t="e">
            <v>#VALUE!</v>
          </cell>
          <cell r="BC240" t="e">
            <v>#VALUE!</v>
          </cell>
          <cell r="BD240" t="e">
            <v>#VALUE!</v>
          </cell>
          <cell r="BE240" t="e">
            <v>#VALUE!</v>
          </cell>
        </row>
        <row r="241">
          <cell r="H241">
            <v>32.119999999999997</v>
          </cell>
          <cell r="I241">
            <v>13.81</v>
          </cell>
          <cell r="J241">
            <v>29</v>
          </cell>
          <cell r="K241">
            <v>40.159999999999997</v>
          </cell>
          <cell r="L241">
            <v>22.86</v>
          </cell>
          <cell r="M241">
            <v>18.36</v>
          </cell>
          <cell r="N241">
            <v>38.94</v>
          </cell>
          <cell r="O241">
            <v>18.78</v>
          </cell>
          <cell r="P241">
            <v>13.35</v>
          </cell>
          <cell r="Q241">
            <v>17.7</v>
          </cell>
          <cell r="R241">
            <v>31.84</v>
          </cell>
          <cell r="S241">
            <v>24.29</v>
          </cell>
          <cell r="T241" t="e">
            <v>#VALUE!</v>
          </cell>
          <cell r="U241">
            <v>20.350000000000001</v>
          </cell>
          <cell r="V241">
            <v>49.47</v>
          </cell>
          <cell r="W241">
            <v>32.119999999999997</v>
          </cell>
          <cell r="X241">
            <v>37.880000000000003</v>
          </cell>
          <cell r="Y241">
            <v>24.17</v>
          </cell>
          <cell r="Z241" t="e">
            <v>#N/A</v>
          </cell>
          <cell r="AA241">
            <v>76.25</v>
          </cell>
          <cell r="AB241">
            <v>76.25</v>
          </cell>
          <cell r="AC241">
            <v>18.23</v>
          </cell>
          <cell r="AD241" t="e">
            <v>#N/A</v>
          </cell>
          <cell r="AE241">
            <v>7.92</v>
          </cell>
          <cell r="AF241">
            <v>47.86</v>
          </cell>
          <cell r="AG241">
            <v>30.01</v>
          </cell>
          <cell r="AH241">
            <v>49.47</v>
          </cell>
          <cell r="AI241">
            <v>24.56</v>
          </cell>
          <cell r="AJ241" t="e">
            <v>#VALUE!</v>
          </cell>
          <cell r="AK241">
            <v>29.4</v>
          </cell>
          <cell r="AL241">
            <v>36.29</v>
          </cell>
          <cell r="AM241">
            <v>47.98</v>
          </cell>
          <cell r="AN241">
            <v>4.8</v>
          </cell>
          <cell r="AO241" t="e">
            <v>#N/A</v>
          </cell>
          <cell r="AP241">
            <v>49.25</v>
          </cell>
          <cell r="AQ241" t="e">
            <v>#VALUE!</v>
          </cell>
          <cell r="AR241">
            <v>49.25</v>
          </cell>
          <cell r="AS241">
            <v>30.01</v>
          </cell>
          <cell r="AT241" t="e">
            <v>#N/A</v>
          </cell>
          <cell r="AU241">
            <v>63.03</v>
          </cell>
          <cell r="AV241">
            <v>63.03</v>
          </cell>
          <cell r="AW241" t="e">
            <v>#VALUE!</v>
          </cell>
          <cell r="AX241" t="e">
            <v>#VALUE!</v>
          </cell>
          <cell r="AY241" t="e">
            <v>#VALUE!</v>
          </cell>
          <cell r="AZ241" t="e">
            <v>#VALUE!</v>
          </cell>
          <cell r="BA241" t="e">
            <v>#VALUE!</v>
          </cell>
          <cell r="BB241" t="e">
            <v>#VALUE!</v>
          </cell>
          <cell r="BC241" t="e">
            <v>#VALUE!</v>
          </cell>
          <cell r="BD241" t="e">
            <v>#VALUE!</v>
          </cell>
          <cell r="BE241" t="e">
            <v>#VALUE!</v>
          </cell>
        </row>
        <row r="242">
          <cell r="H242">
            <v>37</v>
          </cell>
          <cell r="I242">
            <v>15.6</v>
          </cell>
          <cell r="J242">
            <v>27.42</v>
          </cell>
          <cell r="K242">
            <v>33.5</v>
          </cell>
          <cell r="L242">
            <v>26.99</v>
          </cell>
          <cell r="M242">
            <v>23.94</v>
          </cell>
          <cell r="N242">
            <v>45.24</v>
          </cell>
          <cell r="O242">
            <v>20.14</v>
          </cell>
          <cell r="P242">
            <v>17</v>
          </cell>
          <cell r="Q242">
            <v>20.88</v>
          </cell>
          <cell r="R242">
            <v>32.049999999999997</v>
          </cell>
          <cell r="S242">
            <v>30.4</v>
          </cell>
          <cell r="T242" t="e">
            <v>#VALUE!</v>
          </cell>
          <cell r="U242">
            <v>18.3</v>
          </cell>
          <cell r="V242">
            <v>53.69</v>
          </cell>
          <cell r="W242">
            <v>37</v>
          </cell>
          <cell r="X242">
            <v>47</v>
          </cell>
          <cell r="Y242">
            <v>24.6</v>
          </cell>
          <cell r="Z242" t="e">
            <v>#N/A</v>
          </cell>
          <cell r="AA242">
            <v>66.260000000000005</v>
          </cell>
          <cell r="AB242">
            <v>66.260000000000005</v>
          </cell>
          <cell r="AC242">
            <v>19.13</v>
          </cell>
          <cell r="AD242" t="e">
            <v>#N/A</v>
          </cell>
          <cell r="AE242">
            <v>9.33</v>
          </cell>
          <cell r="AF242">
            <v>42.92</v>
          </cell>
          <cell r="AG242">
            <v>27.22</v>
          </cell>
          <cell r="AH242">
            <v>53.69</v>
          </cell>
          <cell r="AI242">
            <v>24.25</v>
          </cell>
          <cell r="AJ242" t="e">
            <v>#VALUE!</v>
          </cell>
          <cell r="AK242">
            <v>27.2</v>
          </cell>
          <cell r="AL242">
            <v>32.07</v>
          </cell>
          <cell r="AM242">
            <v>46.62</v>
          </cell>
          <cell r="AN242">
            <v>6.7</v>
          </cell>
          <cell r="AO242" t="e">
            <v>#N/A</v>
          </cell>
          <cell r="AP242">
            <v>39.909999999999997</v>
          </cell>
          <cell r="AQ242" t="e">
            <v>#VALUE!</v>
          </cell>
          <cell r="AR242">
            <v>39.909999999999997</v>
          </cell>
          <cell r="AS242">
            <v>27.22</v>
          </cell>
          <cell r="AT242" t="e">
            <v>#N/A</v>
          </cell>
          <cell r="AU242">
            <v>65.650000000000006</v>
          </cell>
          <cell r="AV242">
            <v>65.650000000000006</v>
          </cell>
          <cell r="AW242" t="e">
            <v>#VALUE!</v>
          </cell>
          <cell r="AX242" t="e">
            <v>#VALUE!</v>
          </cell>
          <cell r="AY242" t="e">
            <v>#VALUE!</v>
          </cell>
          <cell r="AZ242" t="e">
            <v>#VALUE!</v>
          </cell>
          <cell r="BA242" t="e">
            <v>#VALUE!</v>
          </cell>
          <cell r="BB242" t="e">
            <v>#VALUE!</v>
          </cell>
          <cell r="BC242" t="e">
            <v>#VALUE!</v>
          </cell>
          <cell r="BD242" t="e">
            <v>#VALUE!</v>
          </cell>
          <cell r="BE242" t="e">
            <v>#VALUE!</v>
          </cell>
        </row>
        <row r="243">
          <cell r="H243">
            <v>1.72</v>
          </cell>
          <cell r="I243">
            <v>0.25</v>
          </cell>
          <cell r="J243">
            <v>0.96</v>
          </cell>
          <cell r="K243">
            <v>2.1800000000000002</v>
          </cell>
          <cell r="L243">
            <v>-0.2</v>
          </cell>
          <cell r="M243">
            <v>0.91</v>
          </cell>
          <cell r="N243">
            <v>2.02</v>
          </cell>
          <cell r="O243">
            <v>0.45</v>
          </cell>
          <cell r="P243">
            <v>1.0900000000000001</v>
          </cell>
          <cell r="Q243">
            <v>0.91</v>
          </cell>
          <cell r="R243">
            <v>1.4475</v>
          </cell>
          <cell r="S243">
            <v>1.27</v>
          </cell>
          <cell r="T243" t="e">
            <v>#VALUE!</v>
          </cell>
          <cell r="U243">
            <v>0.09</v>
          </cell>
          <cell r="V243">
            <v>0.88</v>
          </cell>
          <cell r="W243">
            <v>1.72</v>
          </cell>
          <cell r="X243">
            <v>1.56</v>
          </cell>
          <cell r="Y243">
            <v>0.72</v>
          </cell>
          <cell r="Z243" t="e">
            <v>#N/A</v>
          </cell>
          <cell r="AA243">
            <v>2.5150000000000001</v>
          </cell>
          <cell r="AB243">
            <v>2.5150000000000001</v>
          </cell>
          <cell r="AC243">
            <v>1.03</v>
          </cell>
          <cell r="AD243" t="e">
            <v>#N/A</v>
          </cell>
          <cell r="AE243">
            <v>0.40749999999999997</v>
          </cell>
          <cell r="AF243">
            <v>2.0099999999999998</v>
          </cell>
          <cell r="AG243">
            <v>1.4</v>
          </cell>
          <cell r="AH243">
            <v>1.0900000000000001</v>
          </cell>
          <cell r="AI243">
            <v>0.89</v>
          </cell>
          <cell r="AJ243" t="e">
            <v>#VALUE!</v>
          </cell>
          <cell r="AK243">
            <v>1.31</v>
          </cell>
          <cell r="AL243">
            <v>1.3674999999999999</v>
          </cell>
          <cell r="AM243">
            <v>1.88</v>
          </cell>
          <cell r="AN243">
            <v>0.64500000000000002</v>
          </cell>
          <cell r="AO243" t="e">
            <v>#N/A</v>
          </cell>
          <cell r="AP243">
            <v>1.2666666666666666</v>
          </cell>
          <cell r="AQ243" t="e">
            <v>#VALUE!</v>
          </cell>
          <cell r="AR243">
            <v>1.2666666666666666</v>
          </cell>
          <cell r="AS243">
            <v>1.4</v>
          </cell>
          <cell r="AT243" t="e">
            <v>#N/A</v>
          </cell>
          <cell r="AU243">
            <v>1.82</v>
          </cell>
          <cell r="AV243">
            <v>1.82</v>
          </cell>
          <cell r="AW243" t="e">
            <v>#VALUE!</v>
          </cell>
          <cell r="AX243" t="e">
            <v>#VALUE!</v>
          </cell>
          <cell r="AY243" t="e">
            <v>#VALUE!</v>
          </cell>
          <cell r="AZ243" t="e">
            <v>#VALUE!</v>
          </cell>
          <cell r="BA243" t="e">
            <v>#VALUE!</v>
          </cell>
          <cell r="BB243" t="e">
            <v>#VALUE!</v>
          </cell>
          <cell r="BC243" t="e">
            <v>#VALUE!</v>
          </cell>
          <cell r="BD243" t="e">
            <v>#VALUE!</v>
          </cell>
          <cell r="BE243" t="e">
            <v>#VALUE!</v>
          </cell>
        </row>
        <row r="244">
          <cell r="H244">
            <v>1.9</v>
          </cell>
          <cell r="I244">
            <v>0.23</v>
          </cell>
          <cell r="J244">
            <v>1.05</v>
          </cell>
          <cell r="K244">
            <v>2.77</v>
          </cell>
          <cell r="L244">
            <v>0.1</v>
          </cell>
          <cell r="M244">
            <v>0.83</v>
          </cell>
          <cell r="N244">
            <v>2.16</v>
          </cell>
          <cell r="O244">
            <v>0.51</v>
          </cell>
          <cell r="P244">
            <v>0.33</v>
          </cell>
          <cell r="Q244">
            <v>0.95</v>
          </cell>
          <cell r="R244">
            <v>1.53</v>
          </cell>
          <cell r="S244">
            <v>1.34</v>
          </cell>
          <cell r="T244">
            <v>1.76</v>
          </cell>
          <cell r="U244">
            <v>0.32</v>
          </cell>
          <cell r="V244">
            <v>1.54</v>
          </cell>
          <cell r="W244">
            <v>1.88</v>
          </cell>
          <cell r="X244">
            <v>1.78</v>
          </cell>
          <cell r="Y244">
            <v>1.01</v>
          </cell>
          <cell r="Z244" t="e">
            <v>#N/A</v>
          </cell>
          <cell r="AA244">
            <v>3.41</v>
          </cell>
          <cell r="AB244">
            <v>3.41</v>
          </cell>
          <cell r="AC244">
            <v>1.28</v>
          </cell>
          <cell r="AD244" t="e">
            <v>#N/A</v>
          </cell>
          <cell r="AE244">
            <v>0.26250000000000001</v>
          </cell>
          <cell r="AF244">
            <v>2.56</v>
          </cell>
          <cell r="AG244">
            <v>1.82</v>
          </cell>
          <cell r="AH244">
            <v>1.5649999999999999</v>
          </cell>
          <cell r="AI244">
            <v>0.24</v>
          </cell>
          <cell r="AJ244" t="e">
            <v>#VALUE!</v>
          </cell>
          <cell r="AK244">
            <v>1.76</v>
          </cell>
          <cell r="AL244">
            <v>1.7825</v>
          </cell>
          <cell r="AM244">
            <v>2.2799999999999998</v>
          </cell>
          <cell r="AN244">
            <v>0.33500000000000002</v>
          </cell>
          <cell r="AO244" t="e">
            <v>#N/A</v>
          </cell>
          <cell r="AP244">
            <v>1.5933333333333333</v>
          </cell>
          <cell r="AQ244" t="e">
            <v>#VALUE!</v>
          </cell>
          <cell r="AR244">
            <v>1.5933333333333333</v>
          </cell>
          <cell r="AS244">
            <v>1.82</v>
          </cell>
          <cell r="AT244" t="e">
            <v>#N/A</v>
          </cell>
          <cell r="AU244">
            <v>2.91</v>
          </cell>
          <cell r="AV244">
            <v>2.91</v>
          </cell>
          <cell r="AW244" t="e">
            <v>#VALUE!</v>
          </cell>
          <cell r="AX244" t="e">
            <v>#VALUE!</v>
          </cell>
          <cell r="AY244" t="e">
            <v>#VALUE!</v>
          </cell>
          <cell r="AZ244" t="e">
            <v>#VALUE!</v>
          </cell>
          <cell r="BA244" t="e">
            <v>#VALUE!</v>
          </cell>
          <cell r="BB244" t="e">
            <v>#VALUE!</v>
          </cell>
          <cell r="BC244" t="e">
            <v>#VALUE!</v>
          </cell>
          <cell r="BD244" t="e">
            <v>#VALUE!</v>
          </cell>
          <cell r="BE244" t="e">
            <v>#VALUE!</v>
          </cell>
        </row>
        <row r="245">
          <cell r="H245">
            <v>2.14</v>
          </cell>
          <cell r="I245">
            <v>0.34</v>
          </cell>
          <cell r="J245">
            <v>1.19</v>
          </cell>
          <cell r="K245">
            <v>3.12</v>
          </cell>
          <cell r="L245">
            <v>0.45</v>
          </cell>
          <cell r="M245">
            <v>1.02</v>
          </cell>
          <cell r="N245">
            <v>2.39</v>
          </cell>
          <cell r="O245">
            <v>0.73</v>
          </cell>
          <cell r="P245">
            <v>0.7</v>
          </cell>
          <cell r="Q245">
            <v>1.1100000000000001</v>
          </cell>
          <cell r="R245">
            <v>1.78083675</v>
          </cell>
          <cell r="S245">
            <v>1.55</v>
          </cell>
          <cell r="T245">
            <v>2.0299999999999998</v>
          </cell>
          <cell r="U245">
            <v>0.65</v>
          </cell>
          <cell r="V245">
            <v>2.2799999999999998</v>
          </cell>
          <cell r="W245">
            <v>2.14</v>
          </cell>
          <cell r="X245">
            <v>2.06</v>
          </cell>
          <cell r="Y245">
            <v>1.27</v>
          </cell>
          <cell r="Z245" t="e">
            <v>#N/A</v>
          </cell>
          <cell r="AA245">
            <v>4.08</v>
          </cell>
          <cell r="AB245">
            <v>4.08</v>
          </cell>
          <cell r="AC245">
            <v>1.42</v>
          </cell>
          <cell r="AD245" t="e">
            <v>#N/A</v>
          </cell>
          <cell r="AE245">
            <v>0.37</v>
          </cell>
          <cell r="AF245">
            <v>2.96</v>
          </cell>
          <cell r="AG245">
            <v>2.1800000000000002</v>
          </cell>
          <cell r="AH245">
            <v>2.2149999999999999</v>
          </cell>
          <cell r="AI245">
            <v>0.48</v>
          </cell>
          <cell r="AJ245" t="e">
            <v>#VALUE!</v>
          </cell>
          <cell r="AK245">
            <v>2.0299999999999998</v>
          </cell>
          <cell r="AL245">
            <v>2.1724999999999999</v>
          </cell>
          <cell r="AM245">
            <v>2.54</v>
          </cell>
          <cell r="AN245">
            <v>0.50160000000000005</v>
          </cell>
          <cell r="AO245" t="e">
            <v>#N/A</v>
          </cell>
          <cell r="AP245">
            <v>1.91</v>
          </cell>
          <cell r="AQ245" t="e">
            <v>#VALUE!</v>
          </cell>
          <cell r="AR245">
            <v>1.91</v>
          </cell>
          <cell r="AS245">
            <v>2.1800000000000002</v>
          </cell>
          <cell r="AT245" t="e">
            <v>#N/A</v>
          </cell>
          <cell r="AU245">
            <v>3.5</v>
          </cell>
          <cell r="AV245">
            <v>3.5</v>
          </cell>
          <cell r="AW245" t="e">
            <v>#VALUE!</v>
          </cell>
          <cell r="AX245" t="e">
            <v>#VALUE!</v>
          </cell>
          <cell r="AY245" t="e">
            <v>#VALUE!</v>
          </cell>
          <cell r="AZ245" t="e">
            <v>#VALUE!</v>
          </cell>
          <cell r="BA245" t="e">
            <v>#VALUE!</v>
          </cell>
          <cell r="BB245" t="e">
            <v>#VALUE!</v>
          </cell>
          <cell r="BC245" t="e">
            <v>#VALUE!</v>
          </cell>
          <cell r="BD245" t="e">
            <v>#VALUE!</v>
          </cell>
          <cell r="BE245" t="e">
            <v>#VALUE!</v>
          </cell>
        </row>
        <row r="246">
          <cell r="H246">
            <v>2.6</v>
          </cell>
          <cell r="I246">
            <v>0.46</v>
          </cell>
          <cell r="J246">
            <v>1.3729374999999999</v>
          </cell>
          <cell r="K246">
            <v>3.6816</v>
          </cell>
          <cell r="L246">
            <v>0.7</v>
          </cell>
          <cell r="M246">
            <v>1.25</v>
          </cell>
          <cell r="N246">
            <v>2.65</v>
          </cell>
          <cell r="O246">
            <v>0.86903999999999992</v>
          </cell>
          <cell r="P246">
            <v>0.81025000000000003</v>
          </cell>
          <cell r="Q246">
            <v>1.2931500000000002</v>
          </cell>
          <cell r="R246">
            <v>1.78083675</v>
          </cell>
          <cell r="S246">
            <v>1.75</v>
          </cell>
          <cell r="T246" t="e">
            <v>#VALUE!</v>
          </cell>
          <cell r="U246">
            <v>0.80437499999999995</v>
          </cell>
          <cell r="V246">
            <v>2.8143040000000004</v>
          </cell>
          <cell r="W246">
            <v>2.6</v>
          </cell>
          <cell r="X246">
            <v>2.38</v>
          </cell>
          <cell r="Y246">
            <v>1.5972790000000001</v>
          </cell>
          <cell r="Z246" t="e">
            <v>#N/A</v>
          </cell>
          <cell r="AA246" t="e">
            <v>#N/A</v>
          </cell>
          <cell r="AB246" t="e">
            <v>#N/A</v>
          </cell>
          <cell r="AC246">
            <v>1.6045999999999998</v>
          </cell>
          <cell r="AD246" t="e">
            <v>#N/A</v>
          </cell>
          <cell r="AE246">
            <v>0.44800000000000006</v>
          </cell>
          <cell r="AF246">
            <v>3.4039999999999999</v>
          </cell>
          <cell r="AG246">
            <v>2.6515339999999998</v>
          </cell>
          <cell r="AH246">
            <v>2.8143040000000004</v>
          </cell>
          <cell r="AI246">
            <v>0.52800000000000002</v>
          </cell>
          <cell r="AJ246" t="e">
            <v>#VALUE!</v>
          </cell>
          <cell r="AK246">
            <v>2.25</v>
          </cell>
          <cell r="AL246">
            <v>2.54</v>
          </cell>
          <cell r="AM246">
            <v>2.8305760000000002</v>
          </cell>
          <cell r="AN246">
            <v>0.50160000000000005</v>
          </cell>
          <cell r="AO246" t="e">
            <v>#N/A</v>
          </cell>
          <cell r="AP246">
            <v>2.271422666666667</v>
          </cell>
          <cell r="AQ246" t="e">
            <v>#VALUE!</v>
          </cell>
          <cell r="AR246">
            <v>2.271422666666667</v>
          </cell>
          <cell r="AS246">
            <v>2.6515339999999998</v>
          </cell>
          <cell r="AT246" t="e">
            <v>#N/A</v>
          </cell>
          <cell r="AU246">
            <v>4.1981800000000007</v>
          </cell>
          <cell r="AV246">
            <v>4.1981800000000007</v>
          </cell>
          <cell r="AW246" t="e">
            <v>#VALUE!</v>
          </cell>
          <cell r="AX246" t="e">
            <v>#VALUE!</v>
          </cell>
          <cell r="AY246" t="e">
            <v>#VALUE!</v>
          </cell>
          <cell r="AZ246" t="e">
            <v>#VALUE!</v>
          </cell>
          <cell r="BA246" t="e">
            <v>#VALUE!</v>
          </cell>
          <cell r="BB246" t="e">
            <v>#VALUE!</v>
          </cell>
          <cell r="BC246" t="e">
            <v>#VALUE!</v>
          </cell>
          <cell r="BD246" t="e">
            <v>#VALUE!</v>
          </cell>
          <cell r="BE246" t="e">
            <v>#VALUE!</v>
          </cell>
        </row>
        <row r="247">
          <cell r="H247">
            <v>0.17</v>
          </cell>
          <cell r="I247">
            <v>0.2</v>
          </cell>
          <cell r="J247">
            <v>0.19</v>
          </cell>
          <cell r="K247">
            <v>0.18</v>
          </cell>
          <cell r="L247">
            <v>0.38750000000000001</v>
          </cell>
          <cell r="M247">
            <v>0.17</v>
          </cell>
          <cell r="N247">
            <v>0.13</v>
          </cell>
          <cell r="O247">
            <v>0.2</v>
          </cell>
          <cell r="P247">
            <v>0.1575</v>
          </cell>
          <cell r="Q247">
            <v>0.16500000000000001</v>
          </cell>
          <cell r="R247">
            <v>0.16570000000000001</v>
          </cell>
          <cell r="S247">
            <v>0.17</v>
          </cell>
          <cell r="T247">
            <v>0.16</v>
          </cell>
          <cell r="U247">
            <v>0.23749999999999999</v>
          </cell>
          <cell r="V247">
            <v>0.3</v>
          </cell>
          <cell r="W247">
            <v>0.18760000000000002</v>
          </cell>
          <cell r="X247">
            <v>0.15670000000000001</v>
          </cell>
          <cell r="Y247">
            <v>0.25769999999999998</v>
          </cell>
          <cell r="Z247" t="e">
            <v>#N/A</v>
          </cell>
          <cell r="AA247">
            <v>0.19320000000000001</v>
          </cell>
          <cell r="AB247">
            <v>0.19320000000000001</v>
          </cell>
          <cell r="AC247">
            <v>0.13</v>
          </cell>
          <cell r="AD247" t="e">
            <v>#N/A</v>
          </cell>
          <cell r="AE247">
            <v>0.16</v>
          </cell>
          <cell r="AF247">
            <v>0.15</v>
          </cell>
          <cell r="AG247">
            <v>0.21629999999999999</v>
          </cell>
          <cell r="AH247">
            <v>0.26960000000000001</v>
          </cell>
          <cell r="AI247">
            <v>0.1</v>
          </cell>
          <cell r="AJ247" t="e">
            <v>#VALUE!</v>
          </cell>
          <cell r="AK247">
            <v>0.16</v>
          </cell>
          <cell r="AL247">
            <v>0.18760000000000002</v>
          </cell>
          <cell r="AM247">
            <v>0.1144</v>
          </cell>
          <cell r="AN247">
            <v>0.2</v>
          </cell>
          <cell r="AO247" t="e">
            <v>#N/A</v>
          </cell>
          <cell r="AP247">
            <v>0.1867</v>
          </cell>
          <cell r="AQ247" t="e">
            <v>#VALUE!</v>
          </cell>
          <cell r="AR247">
            <v>0.1867</v>
          </cell>
          <cell r="AS247">
            <v>0.21629999999999999</v>
          </cell>
          <cell r="AT247" t="e">
            <v>#N/A</v>
          </cell>
          <cell r="AU247">
            <v>0.19800000000000001</v>
          </cell>
          <cell r="AV247">
            <v>0.19800000000000001</v>
          </cell>
          <cell r="AW247" t="e">
            <v>#VALUE!</v>
          </cell>
          <cell r="AX247" t="e">
            <v>#VALUE!</v>
          </cell>
          <cell r="AY247" t="e">
            <v>#VALUE!</v>
          </cell>
          <cell r="AZ247" t="e">
            <v>#VALUE!</v>
          </cell>
          <cell r="BA247" t="e">
            <v>#VALUE!</v>
          </cell>
          <cell r="BB247" t="e">
            <v>#VALUE!</v>
          </cell>
          <cell r="BC247" t="e">
            <v>#VALUE!</v>
          </cell>
          <cell r="BD247" t="e">
            <v>#VALUE!</v>
          </cell>
          <cell r="BE247" t="e">
            <v>#VALUE!</v>
          </cell>
        </row>
        <row r="248">
          <cell r="H248">
            <v>73.790000000000006</v>
          </cell>
          <cell r="I248">
            <v>21.36</v>
          </cell>
          <cell r="J248">
            <v>38.06</v>
          </cell>
          <cell r="K248">
            <v>51</v>
          </cell>
          <cell r="L248">
            <v>41.95</v>
          </cell>
          <cell r="M248">
            <v>40.42</v>
          </cell>
          <cell r="N248">
            <v>51.98</v>
          </cell>
          <cell r="O248">
            <v>24.05</v>
          </cell>
          <cell r="P248">
            <v>36.299999999999997</v>
          </cell>
          <cell r="Q248">
            <v>24.6</v>
          </cell>
          <cell r="R248">
            <v>39.6</v>
          </cell>
          <cell r="S248">
            <v>40.950000000000003</v>
          </cell>
          <cell r="T248" t="e">
            <v>#VALUE!</v>
          </cell>
          <cell r="U248">
            <v>26.86</v>
          </cell>
          <cell r="V248">
            <v>64.819999999999993</v>
          </cell>
          <cell r="W248">
            <v>73.790000000000006</v>
          </cell>
          <cell r="X248">
            <v>56.248170000000002</v>
          </cell>
          <cell r="Y248">
            <v>35.96</v>
          </cell>
          <cell r="Z248" t="e">
            <v>#N/A</v>
          </cell>
          <cell r="AA248">
            <v>82.85</v>
          </cell>
          <cell r="AB248">
            <v>82.85</v>
          </cell>
          <cell r="AC248">
            <v>20.9</v>
          </cell>
          <cell r="AD248" t="e">
            <v>#N/A</v>
          </cell>
          <cell r="AE248">
            <v>10.48</v>
          </cell>
          <cell r="AF248">
            <v>53.35</v>
          </cell>
          <cell r="AG248">
            <v>35.799999999999997</v>
          </cell>
          <cell r="AH248">
            <v>64.819999999999993</v>
          </cell>
          <cell r="AI248">
            <v>9.5009999999999994</v>
          </cell>
          <cell r="AJ248" t="e">
            <v>#VALUE!</v>
          </cell>
          <cell r="AK248">
            <v>33.43</v>
          </cell>
          <cell r="AL248">
            <v>42.09</v>
          </cell>
          <cell r="AM248">
            <v>52.8</v>
          </cell>
          <cell r="AN248">
            <v>8.15</v>
          </cell>
          <cell r="AO248" t="e">
            <v>#N/A</v>
          </cell>
          <cell r="AP248">
            <v>53.47</v>
          </cell>
          <cell r="AQ248" t="e">
            <v>#VALUE!</v>
          </cell>
          <cell r="AR248">
            <v>53.47</v>
          </cell>
          <cell r="AS248">
            <v>35.799999999999997</v>
          </cell>
          <cell r="AT248">
            <v>16.12</v>
          </cell>
          <cell r="AU248">
            <v>76.599999999999994</v>
          </cell>
          <cell r="AV248">
            <v>76.599999999999994</v>
          </cell>
          <cell r="AW248" t="e">
            <v>#VALUE!</v>
          </cell>
          <cell r="AX248" t="e">
            <v>#VALUE!</v>
          </cell>
          <cell r="AY248" t="e">
            <v>#VALUE!</v>
          </cell>
          <cell r="AZ248" t="e">
            <v>#VALUE!</v>
          </cell>
          <cell r="BA248" t="e">
            <v>#VALUE!</v>
          </cell>
          <cell r="BB248" t="e">
            <v>#VALUE!</v>
          </cell>
          <cell r="BC248" t="e">
            <v>#VALUE!</v>
          </cell>
          <cell r="BD248" t="e">
            <v>#VALUE!</v>
          </cell>
          <cell r="BE248" t="e">
            <v>#VALUE!</v>
          </cell>
        </row>
        <row r="249">
          <cell r="H249">
            <v>26.58</v>
          </cell>
          <cell r="I249">
            <v>5.2</v>
          </cell>
          <cell r="J249">
            <v>21.8</v>
          </cell>
          <cell r="K249">
            <v>21</v>
          </cell>
          <cell r="L249">
            <v>13.8</v>
          </cell>
          <cell r="M249">
            <v>13</v>
          </cell>
          <cell r="N249">
            <v>24.85</v>
          </cell>
          <cell r="O249">
            <v>9.9499999999999993</v>
          </cell>
          <cell r="P249">
            <v>4.28</v>
          </cell>
          <cell r="Q249">
            <v>14.33</v>
          </cell>
          <cell r="R249">
            <v>22.33</v>
          </cell>
          <cell r="S249">
            <v>17.86</v>
          </cell>
          <cell r="T249" t="e">
            <v>#VALUE!</v>
          </cell>
          <cell r="U249">
            <v>18</v>
          </cell>
          <cell r="V249">
            <v>29.25</v>
          </cell>
          <cell r="W249">
            <v>26.58</v>
          </cell>
          <cell r="X249">
            <v>27.25</v>
          </cell>
          <cell r="Y249">
            <v>18.16</v>
          </cell>
          <cell r="Z249" t="e">
            <v>#N/A</v>
          </cell>
          <cell r="AA249">
            <v>53.850999999999999</v>
          </cell>
          <cell r="AB249">
            <v>53.850999999999999</v>
          </cell>
          <cell r="AC249">
            <v>13.27</v>
          </cell>
          <cell r="AD249" t="e">
            <v>#N/A</v>
          </cell>
          <cell r="AE249">
            <v>4.55</v>
          </cell>
          <cell r="AF249">
            <v>31.9</v>
          </cell>
          <cell r="AG249">
            <v>20.5</v>
          </cell>
          <cell r="AH249">
            <v>29.25</v>
          </cell>
          <cell r="AI249">
            <v>4.8816200000000007</v>
          </cell>
          <cell r="AJ249" t="e">
            <v>#VALUE!</v>
          </cell>
          <cell r="AK249">
            <v>21</v>
          </cell>
          <cell r="AL249">
            <v>26.5</v>
          </cell>
          <cell r="AM249">
            <v>36.25</v>
          </cell>
          <cell r="AN249">
            <v>1.75</v>
          </cell>
          <cell r="AO249" t="e">
            <v>#N/A</v>
          </cell>
          <cell r="AP249">
            <v>32.799999999999997</v>
          </cell>
          <cell r="AQ249" t="e">
            <v>#VALUE!</v>
          </cell>
          <cell r="AR249">
            <v>32.799999999999997</v>
          </cell>
          <cell r="AS249">
            <v>20.5</v>
          </cell>
          <cell r="AT249">
            <v>8</v>
          </cell>
          <cell r="AU249">
            <v>46.6</v>
          </cell>
          <cell r="AV249">
            <v>46.6</v>
          </cell>
          <cell r="AW249" t="e">
            <v>#VALUE!</v>
          </cell>
          <cell r="AX249" t="e">
            <v>#VALUE!</v>
          </cell>
          <cell r="AY249" t="e">
            <v>#VALUE!</v>
          </cell>
          <cell r="AZ249" t="e">
            <v>#VALUE!</v>
          </cell>
          <cell r="BA249" t="e">
            <v>#VALUE!</v>
          </cell>
          <cell r="BB249" t="e">
            <v>#VALUE!</v>
          </cell>
          <cell r="BC249" t="e">
            <v>#VALUE!</v>
          </cell>
          <cell r="BD249" t="e">
            <v>#VALUE!</v>
          </cell>
          <cell r="BE249" t="e">
            <v>#VALUE!</v>
          </cell>
        </row>
        <row r="252">
          <cell r="H252">
            <v>37256</v>
          </cell>
          <cell r="I252">
            <v>37256</v>
          </cell>
          <cell r="J252">
            <v>37437</v>
          </cell>
          <cell r="K252">
            <v>37256</v>
          </cell>
          <cell r="L252">
            <v>37256</v>
          </cell>
          <cell r="M252">
            <v>37256</v>
          </cell>
          <cell r="N252">
            <v>37256</v>
          </cell>
          <cell r="O252">
            <v>37256</v>
          </cell>
          <cell r="P252">
            <v>37256</v>
          </cell>
          <cell r="Q252">
            <v>37256</v>
          </cell>
          <cell r="R252">
            <v>37256</v>
          </cell>
          <cell r="S252">
            <v>37256</v>
          </cell>
          <cell r="T252">
            <v>37256</v>
          </cell>
          <cell r="U252">
            <v>37256</v>
          </cell>
          <cell r="V252">
            <v>37437</v>
          </cell>
          <cell r="W252">
            <v>37256</v>
          </cell>
          <cell r="X252">
            <v>37256</v>
          </cell>
          <cell r="Y252">
            <v>37345</v>
          </cell>
          <cell r="Z252">
            <v>0</v>
          </cell>
          <cell r="AA252">
            <v>0</v>
          </cell>
          <cell r="AB252">
            <v>37346</v>
          </cell>
          <cell r="AC252">
            <v>37346</v>
          </cell>
          <cell r="AD252">
            <v>36891</v>
          </cell>
          <cell r="AE252">
            <v>37253</v>
          </cell>
          <cell r="AF252">
            <v>37345</v>
          </cell>
          <cell r="AG252">
            <v>37346</v>
          </cell>
          <cell r="AH252">
            <v>0</v>
          </cell>
          <cell r="AI252">
            <v>0</v>
          </cell>
          <cell r="AJ252">
            <v>37256</v>
          </cell>
          <cell r="AK252">
            <v>37437</v>
          </cell>
          <cell r="AL252">
            <v>37256</v>
          </cell>
          <cell r="AM252">
            <v>37256</v>
          </cell>
          <cell r="AN252">
            <v>37162</v>
          </cell>
          <cell r="AO252">
            <v>36891</v>
          </cell>
          <cell r="AP252">
            <v>37009</v>
          </cell>
          <cell r="AQ252">
            <v>37009</v>
          </cell>
          <cell r="AR252">
            <v>37434</v>
          </cell>
          <cell r="AS252">
            <v>0</v>
          </cell>
          <cell r="AT252">
            <v>0</v>
          </cell>
          <cell r="AU252">
            <v>0</v>
          </cell>
          <cell r="AV252">
            <v>37346</v>
          </cell>
          <cell r="AW252">
            <v>36891</v>
          </cell>
          <cell r="AX252">
            <v>36891</v>
          </cell>
          <cell r="AY252">
            <v>36891</v>
          </cell>
          <cell r="AZ252">
            <v>36891</v>
          </cell>
          <cell r="BA252">
            <v>36891</v>
          </cell>
          <cell r="BB252">
            <v>36891</v>
          </cell>
          <cell r="BC252">
            <v>36891</v>
          </cell>
          <cell r="BD252">
            <v>36891</v>
          </cell>
          <cell r="BE252">
            <v>36891</v>
          </cell>
        </row>
        <row r="253">
          <cell r="H253">
            <v>0</v>
          </cell>
          <cell r="I253">
            <v>0</v>
          </cell>
          <cell r="J253">
            <v>0</v>
          </cell>
          <cell r="K253">
            <v>0</v>
          </cell>
          <cell r="L253">
            <v>0</v>
          </cell>
          <cell r="M253">
            <v>0</v>
          </cell>
          <cell r="N253">
            <v>0</v>
          </cell>
          <cell r="O253">
            <v>0</v>
          </cell>
          <cell r="P253">
            <v>0</v>
          </cell>
          <cell r="Q253">
            <v>0</v>
          </cell>
          <cell r="R253">
            <v>0</v>
          </cell>
          <cell r="S253">
            <v>0</v>
          </cell>
          <cell r="T253">
            <v>0</v>
          </cell>
          <cell r="U253">
            <v>79.676000000000016</v>
          </cell>
          <cell r="V253">
            <v>859.20799999999997</v>
          </cell>
          <cell r="W253">
            <v>617.78400000000011</v>
          </cell>
          <cell r="X253">
            <v>637.08299999999986</v>
          </cell>
          <cell r="Y253">
            <v>903.23099999999999</v>
          </cell>
          <cell r="Z253">
            <v>20077.681</v>
          </cell>
          <cell r="AA253">
            <v>13334.064000000004</v>
          </cell>
          <cell r="AB253">
            <v>37652.683999999994</v>
          </cell>
          <cell r="AC253">
            <v>3857.1689999999999</v>
          </cell>
          <cell r="AD253">
            <v>0</v>
          </cell>
          <cell r="AE253">
            <v>1778.1620000000003</v>
          </cell>
          <cell r="AF253">
            <v>2611.4409999999998</v>
          </cell>
          <cell r="AG253">
            <v>808.78600000000006</v>
          </cell>
          <cell r="AH253">
            <v>127.60400000000004</v>
          </cell>
          <cell r="AI253">
            <v>-6.2752499999999145</v>
          </cell>
          <cell r="AJ253">
            <v>1314.2507500000002</v>
          </cell>
          <cell r="AK253">
            <v>3069.5999999999995</v>
          </cell>
          <cell r="AL253">
            <v>35489.199999999997</v>
          </cell>
          <cell r="AM253">
            <v>1179.4469999999999</v>
          </cell>
          <cell r="AN253">
            <v>328.50900000000001</v>
          </cell>
          <cell r="AO253">
            <v>0</v>
          </cell>
          <cell r="AP253">
            <v>886.41499999999996</v>
          </cell>
          <cell r="AQ253">
            <v>149.649</v>
          </cell>
          <cell r="AR253">
            <v>1389.5150000000001</v>
          </cell>
          <cell r="AS253">
            <v>808.78599999999994</v>
          </cell>
          <cell r="AT253">
            <v>215.02499999999998</v>
          </cell>
          <cell r="AU253">
            <v>42882.7</v>
          </cell>
          <cell r="AV253">
            <v>43906.510999999991</v>
          </cell>
          <cell r="AW253">
            <v>0</v>
          </cell>
          <cell r="AX253">
            <v>0</v>
          </cell>
          <cell r="AY253">
            <v>0</v>
          </cell>
          <cell r="AZ253">
            <v>0</v>
          </cell>
          <cell r="BA253">
            <v>0</v>
          </cell>
          <cell r="BB253">
            <v>0</v>
          </cell>
          <cell r="BC253">
            <v>0</v>
          </cell>
          <cell r="BD253">
            <v>0</v>
          </cell>
          <cell r="BE253">
            <v>0</v>
          </cell>
        </row>
        <row r="254">
          <cell r="H254">
            <v>0</v>
          </cell>
          <cell r="I254">
            <v>0</v>
          </cell>
          <cell r="J254">
            <v>0</v>
          </cell>
          <cell r="K254">
            <v>0</v>
          </cell>
          <cell r="L254">
            <v>0</v>
          </cell>
          <cell r="M254">
            <v>0</v>
          </cell>
          <cell r="N254">
            <v>0</v>
          </cell>
          <cell r="O254">
            <v>0</v>
          </cell>
          <cell r="P254">
            <v>0</v>
          </cell>
          <cell r="Q254">
            <v>0</v>
          </cell>
          <cell r="R254">
            <v>0</v>
          </cell>
          <cell r="S254">
            <v>0</v>
          </cell>
          <cell r="T254">
            <v>0</v>
          </cell>
          <cell r="U254">
            <v>25.537000000000006</v>
          </cell>
          <cell r="V254">
            <v>311.23200000000003</v>
          </cell>
          <cell r="W254">
            <v>276.92808390943935</v>
          </cell>
          <cell r="X254">
            <v>284.06199999999995</v>
          </cell>
          <cell r="Y254">
            <v>802.86199999999997</v>
          </cell>
          <cell r="Z254">
            <v>18808.510000000002</v>
          </cell>
          <cell r="AA254">
            <v>12761.905000000001</v>
          </cell>
          <cell r="AB254">
            <v>35708.300999999992</v>
          </cell>
          <cell r="AC254">
            <v>3444.7849999999999</v>
          </cell>
          <cell r="AD254">
            <v>0</v>
          </cell>
          <cell r="AE254">
            <v>1376.2660000000003</v>
          </cell>
          <cell r="AF254">
            <v>1893.0840000000003</v>
          </cell>
          <cell r="AG254">
            <v>500.03700000000003</v>
          </cell>
          <cell r="AH254">
            <v>102.44600000000003</v>
          </cell>
          <cell r="AI254">
            <v>-5.6970000000000027</v>
          </cell>
          <cell r="AJ254">
            <v>1011.6460000000002</v>
          </cell>
          <cell r="AK254">
            <v>2269.0000000000005</v>
          </cell>
          <cell r="AL254">
            <v>32785.300000000003</v>
          </cell>
          <cell r="AM254">
            <v>613.04200000000003</v>
          </cell>
          <cell r="AN254">
            <v>289.42000000000007</v>
          </cell>
          <cell r="AO254">
            <v>0</v>
          </cell>
          <cell r="AP254">
            <v>570.35599999999999</v>
          </cell>
          <cell r="AQ254">
            <v>110.994</v>
          </cell>
          <cell r="AR254">
            <v>908.57637769999997</v>
          </cell>
          <cell r="AS254">
            <v>500.03699999999992</v>
          </cell>
          <cell r="AT254">
            <v>149.91200000000003</v>
          </cell>
          <cell r="AU254">
            <v>38923.799999999996</v>
          </cell>
          <cell r="AV254">
            <v>39573.748999999989</v>
          </cell>
          <cell r="AW254">
            <v>0</v>
          </cell>
          <cell r="AX254">
            <v>0</v>
          </cell>
          <cell r="AY254">
            <v>0</v>
          </cell>
          <cell r="AZ254">
            <v>0</v>
          </cell>
          <cell r="BA254">
            <v>0</v>
          </cell>
          <cell r="BB254">
            <v>0</v>
          </cell>
          <cell r="BC254">
            <v>0</v>
          </cell>
          <cell r="BD254">
            <v>0</v>
          </cell>
          <cell r="BE254">
            <v>0</v>
          </cell>
        </row>
        <row r="255">
          <cell r="H255">
            <v>0</v>
          </cell>
          <cell r="I255">
            <v>0</v>
          </cell>
          <cell r="J255">
            <v>0</v>
          </cell>
          <cell r="K255">
            <v>0</v>
          </cell>
          <cell r="L255">
            <v>0</v>
          </cell>
          <cell r="M255">
            <v>0</v>
          </cell>
          <cell r="N255">
            <v>0</v>
          </cell>
          <cell r="O255">
            <v>0</v>
          </cell>
          <cell r="P255">
            <v>0</v>
          </cell>
          <cell r="Q255">
            <v>0</v>
          </cell>
          <cell r="R255">
            <v>0</v>
          </cell>
          <cell r="S255">
            <v>0</v>
          </cell>
          <cell r="T255">
            <v>0</v>
          </cell>
          <cell r="U255">
            <v>54.13900000000001</v>
          </cell>
          <cell r="V255">
            <v>547.97599999999989</v>
          </cell>
          <cell r="W255">
            <v>340.85591609056075</v>
          </cell>
          <cell r="X255">
            <v>353.0209999999999</v>
          </cell>
          <cell r="Y255">
            <v>100.36900000000003</v>
          </cell>
          <cell r="Z255">
            <v>1269.1709999999985</v>
          </cell>
          <cell r="AA255">
            <v>572.15900000000329</v>
          </cell>
          <cell r="AB255">
            <v>1944.3830000000016</v>
          </cell>
          <cell r="AC255">
            <v>412.38400000000001</v>
          </cell>
          <cell r="AD255">
            <v>0</v>
          </cell>
          <cell r="AE255">
            <v>401.89599999999996</v>
          </cell>
          <cell r="AF255">
            <v>718.35699999999952</v>
          </cell>
          <cell r="AG255">
            <v>308.74900000000002</v>
          </cell>
          <cell r="AH255">
            <v>25.158000000000015</v>
          </cell>
          <cell r="AI255">
            <v>-0.57824999999991178</v>
          </cell>
          <cell r="AJ255">
            <v>302.60474999999997</v>
          </cell>
          <cell r="AK255">
            <v>800.599999999999</v>
          </cell>
          <cell r="AL255">
            <v>2703.8999999999942</v>
          </cell>
          <cell r="AM255">
            <v>566.40499999999986</v>
          </cell>
          <cell r="AN255">
            <v>39.088999999999942</v>
          </cell>
          <cell r="AO255">
            <v>0</v>
          </cell>
          <cell r="AP255">
            <v>316.05899999999997</v>
          </cell>
          <cell r="AQ255">
            <v>38.655000000000001</v>
          </cell>
          <cell r="AR255">
            <v>480.93862230000013</v>
          </cell>
          <cell r="AS255">
            <v>308.74900000000002</v>
          </cell>
          <cell r="AT255">
            <v>65.112999999999943</v>
          </cell>
          <cell r="AU255">
            <v>3958.9000000000015</v>
          </cell>
          <cell r="AV255">
            <v>4332.7620000000024</v>
          </cell>
          <cell r="AW255">
            <v>0</v>
          </cell>
          <cell r="AX255">
            <v>0</v>
          </cell>
          <cell r="AY255">
            <v>0</v>
          </cell>
          <cell r="AZ255">
            <v>0</v>
          </cell>
          <cell r="BA255">
            <v>0</v>
          </cell>
          <cell r="BB255">
            <v>0</v>
          </cell>
          <cell r="BC255">
            <v>0</v>
          </cell>
          <cell r="BD255">
            <v>0</v>
          </cell>
          <cell r="BE255">
            <v>0</v>
          </cell>
        </row>
        <row r="256">
          <cell r="H256">
            <v>0</v>
          </cell>
          <cell r="I256">
            <v>0</v>
          </cell>
          <cell r="J256">
            <v>0</v>
          </cell>
          <cell r="K256">
            <v>0</v>
          </cell>
          <cell r="L256">
            <v>0</v>
          </cell>
          <cell r="M256">
            <v>0</v>
          </cell>
          <cell r="N256">
            <v>0</v>
          </cell>
          <cell r="O256">
            <v>0</v>
          </cell>
          <cell r="P256">
            <v>0</v>
          </cell>
          <cell r="Q256">
            <v>0</v>
          </cell>
          <cell r="R256">
            <v>0</v>
          </cell>
          <cell r="S256">
            <v>0</v>
          </cell>
          <cell r="T256">
            <v>0</v>
          </cell>
          <cell r="U256">
            <v>6.4099999999999993</v>
          </cell>
          <cell r="V256">
            <v>30.077000000000002</v>
          </cell>
          <cell r="W256">
            <v>21.85275</v>
          </cell>
          <cell r="X256">
            <v>32.555</v>
          </cell>
          <cell r="Y256">
            <v>3.6420000000000003</v>
          </cell>
          <cell r="Z256">
            <v>82.698000000000008</v>
          </cell>
          <cell r="AA256">
            <v>17.420000000000002</v>
          </cell>
          <cell r="AB256">
            <v>63.783999999999999</v>
          </cell>
          <cell r="AC256">
            <v>22.178000000000004</v>
          </cell>
          <cell r="AD256">
            <v>0</v>
          </cell>
          <cell r="AE256">
            <v>21.582000000000001</v>
          </cell>
          <cell r="AF256">
            <v>26.502000000000006</v>
          </cell>
          <cell r="AG256">
            <v>41.96</v>
          </cell>
          <cell r="AH256">
            <v>0.38300000000000023</v>
          </cell>
          <cell r="AI256">
            <v>-1.6754999999999995</v>
          </cell>
          <cell r="AJ256">
            <v>14.964500000000001</v>
          </cell>
          <cell r="AK256">
            <v>80.599999999999994</v>
          </cell>
          <cell r="AL256">
            <v>221.8</v>
          </cell>
          <cell r="AM256">
            <v>71.373000000000005</v>
          </cell>
          <cell r="AN256">
            <v>4.0869999999999997</v>
          </cell>
          <cell r="AO256">
            <v>0</v>
          </cell>
          <cell r="AP256">
            <v>7.4390000000000001</v>
          </cell>
          <cell r="AQ256">
            <v>0.59960250000000004</v>
          </cell>
          <cell r="AR256">
            <v>10.989469999999999</v>
          </cell>
          <cell r="AS256">
            <v>41.960000000000008</v>
          </cell>
          <cell r="AT256">
            <v>6.09</v>
          </cell>
          <cell r="AU256">
            <v>286.90000000000003</v>
          </cell>
          <cell r="AV256">
            <v>334.95000000000005</v>
          </cell>
          <cell r="AW256">
            <v>0</v>
          </cell>
          <cell r="AX256">
            <v>0</v>
          </cell>
          <cell r="AY256">
            <v>0</v>
          </cell>
          <cell r="AZ256">
            <v>0</v>
          </cell>
          <cell r="BA256">
            <v>0</v>
          </cell>
          <cell r="BB256">
            <v>0</v>
          </cell>
          <cell r="BC256">
            <v>0</v>
          </cell>
          <cell r="BD256">
            <v>0</v>
          </cell>
          <cell r="BE256">
            <v>0</v>
          </cell>
        </row>
        <row r="257">
          <cell r="H257">
            <v>0</v>
          </cell>
          <cell r="I257">
            <v>0</v>
          </cell>
          <cell r="J257">
            <v>0</v>
          </cell>
          <cell r="K257">
            <v>0</v>
          </cell>
          <cell r="L257">
            <v>0</v>
          </cell>
          <cell r="M257">
            <v>0</v>
          </cell>
          <cell r="N257">
            <v>0</v>
          </cell>
          <cell r="O257">
            <v>0</v>
          </cell>
          <cell r="P257">
            <v>0</v>
          </cell>
          <cell r="Q257">
            <v>0</v>
          </cell>
          <cell r="R257">
            <v>0</v>
          </cell>
          <cell r="S257">
            <v>0</v>
          </cell>
          <cell r="T257">
            <v>0</v>
          </cell>
          <cell r="U257">
            <v>37.513999999999996</v>
          </cell>
          <cell r="V257">
            <v>269.70600000000002</v>
          </cell>
          <cell r="W257">
            <v>185.05795940499982</v>
          </cell>
          <cell r="X257">
            <v>187.04499999999996</v>
          </cell>
          <cell r="Y257">
            <v>54.028999999999996</v>
          </cell>
          <cell r="Z257">
            <v>862.37400000000002</v>
          </cell>
          <cell r="AA257">
            <v>320.27100000000002</v>
          </cell>
          <cell r="AB257">
            <v>1202.3329999999999</v>
          </cell>
          <cell r="AC257">
            <v>299.83000000000004</v>
          </cell>
          <cell r="AD257">
            <v>0</v>
          </cell>
          <cell r="AE257">
            <v>349.79500000000002</v>
          </cell>
          <cell r="AF257">
            <v>557.52</v>
          </cell>
          <cell r="AG257">
            <v>192.541</v>
          </cell>
          <cell r="AH257">
            <v>9.2929999999999993</v>
          </cell>
          <cell r="AI257">
            <v>-10.338000000000008</v>
          </cell>
          <cell r="AJ257">
            <v>171.55600000000001</v>
          </cell>
          <cell r="AK257">
            <v>45.200000000000045</v>
          </cell>
          <cell r="AL257">
            <v>2224.1999999999998</v>
          </cell>
          <cell r="AM257">
            <v>347.03</v>
          </cell>
          <cell r="AN257">
            <v>37.086999999999996</v>
          </cell>
          <cell r="AO257">
            <v>0</v>
          </cell>
          <cell r="AP257">
            <v>225.142</v>
          </cell>
          <cell r="AQ257">
            <v>28.146000000000001</v>
          </cell>
          <cell r="AR257">
            <v>340.13523347</v>
          </cell>
          <cell r="AS257">
            <v>192.541</v>
          </cell>
          <cell r="AT257">
            <v>52.514999999999993</v>
          </cell>
          <cell r="AU257">
            <v>2120.1</v>
          </cell>
          <cell r="AV257">
            <v>2365.1559999999999</v>
          </cell>
          <cell r="AW257">
            <v>0</v>
          </cell>
          <cell r="AX257">
            <v>0</v>
          </cell>
          <cell r="AY257">
            <v>0</v>
          </cell>
          <cell r="AZ257">
            <v>0</v>
          </cell>
          <cell r="BA257">
            <v>0</v>
          </cell>
          <cell r="BB257">
            <v>0</v>
          </cell>
          <cell r="BC257">
            <v>0</v>
          </cell>
          <cell r="BD257">
            <v>0</v>
          </cell>
          <cell r="BE257">
            <v>0</v>
          </cell>
        </row>
        <row r="258">
          <cell r="H258">
            <v>0</v>
          </cell>
          <cell r="I258">
            <v>0</v>
          </cell>
          <cell r="J258">
            <v>0</v>
          </cell>
          <cell r="K258">
            <v>0</v>
          </cell>
          <cell r="L258">
            <v>0</v>
          </cell>
          <cell r="M258">
            <v>0</v>
          </cell>
          <cell r="N258">
            <v>0</v>
          </cell>
          <cell r="O258">
            <v>0</v>
          </cell>
          <cell r="P258">
            <v>0</v>
          </cell>
          <cell r="Q258">
            <v>0</v>
          </cell>
          <cell r="R258">
            <v>0</v>
          </cell>
          <cell r="S258">
            <v>0</v>
          </cell>
          <cell r="T258">
            <v>0</v>
          </cell>
          <cell r="U258">
            <v>14.298999999999999</v>
          </cell>
          <cell r="V258">
            <v>46.601999999999997</v>
          </cell>
          <cell r="W258">
            <v>39.601536483077233</v>
          </cell>
          <cell r="X258">
            <v>42.506</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147.5</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row>
        <row r="259">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row>
        <row r="260">
          <cell r="H260">
            <v>0</v>
          </cell>
          <cell r="I260">
            <v>0</v>
          </cell>
          <cell r="J260">
            <v>0</v>
          </cell>
          <cell r="K260">
            <v>0</v>
          </cell>
          <cell r="L260">
            <v>0</v>
          </cell>
          <cell r="M260">
            <v>0</v>
          </cell>
          <cell r="N260">
            <v>0</v>
          </cell>
          <cell r="O260">
            <v>0</v>
          </cell>
          <cell r="P260">
            <v>0</v>
          </cell>
          <cell r="Q260">
            <v>0</v>
          </cell>
          <cell r="R260">
            <v>0</v>
          </cell>
          <cell r="S260">
            <v>0</v>
          </cell>
          <cell r="T260">
            <v>0</v>
          </cell>
          <cell r="U260">
            <v>0.85199999999999965</v>
          </cell>
          <cell r="V260">
            <v>231.66800000000001</v>
          </cell>
          <cell r="W260">
            <v>115.50596117427342</v>
          </cell>
          <cell r="X260">
            <v>123.47</v>
          </cell>
          <cell r="Y260">
            <v>47.505000000000003</v>
          </cell>
          <cell r="Z260">
            <v>330.14100000000002</v>
          </cell>
          <cell r="AA260">
            <v>235.22500000000002</v>
          </cell>
          <cell r="AB260">
            <v>680.96699999999998</v>
          </cell>
          <cell r="AC260">
            <v>91.710999999999999</v>
          </cell>
          <cell r="AD260">
            <v>0</v>
          </cell>
          <cell r="AE260">
            <v>16.884</v>
          </cell>
          <cell r="AF260">
            <v>160.83699999999999</v>
          </cell>
          <cell r="AG260">
            <v>74.248000000000005</v>
          </cell>
          <cell r="AH260">
            <v>16.385000000000002</v>
          </cell>
          <cell r="AI260">
            <v>2.3609999999999971</v>
          </cell>
          <cell r="AJ260">
            <v>74.930999999999997</v>
          </cell>
          <cell r="AK260">
            <v>227.2</v>
          </cell>
          <cell r="AL260">
            <v>719</v>
          </cell>
          <cell r="AM260">
            <v>219.375</v>
          </cell>
          <cell r="AN260">
            <v>-3.4660000000000002</v>
          </cell>
          <cell r="AO260">
            <v>0</v>
          </cell>
          <cell r="AP260">
            <v>90.917000000000002</v>
          </cell>
          <cell r="AQ260">
            <v>10.509</v>
          </cell>
          <cell r="AR260">
            <v>136.28527358999997</v>
          </cell>
          <cell r="AS260">
            <v>74.248000000000005</v>
          </cell>
          <cell r="AT260">
            <v>12.198999999999998</v>
          </cell>
          <cell r="AU260">
            <v>1839.5000000000002</v>
          </cell>
          <cell r="AV260">
            <v>1925.9470000000001</v>
          </cell>
          <cell r="AW260">
            <v>0</v>
          </cell>
          <cell r="AX260">
            <v>0</v>
          </cell>
          <cell r="AY260">
            <v>0</v>
          </cell>
          <cell r="AZ260">
            <v>0</v>
          </cell>
          <cell r="BA260">
            <v>0</v>
          </cell>
          <cell r="BB260">
            <v>0</v>
          </cell>
          <cell r="BC260">
            <v>0</v>
          </cell>
          <cell r="BD260">
            <v>0</v>
          </cell>
          <cell r="BE260">
            <v>0</v>
          </cell>
        </row>
        <row r="261">
          <cell r="H261">
            <v>0</v>
          </cell>
          <cell r="I261">
            <v>0</v>
          </cell>
          <cell r="J261">
            <v>0</v>
          </cell>
          <cell r="K261">
            <v>0</v>
          </cell>
          <cell r="L261">
            <v>0</v>
          </cell>
          <cell r="M261">
            <v>0</v>
          </cell>
          <cell r="N261">
            <v>0</v>
          </cell>
          <cell r="O261">
            <v>0</v>
          </cell>
          <cell r="P261">
            <v>0</v>
          </cell>
          <cell r="Q261">
            <v>0</v>
          </cell>
          <cell r="R261">
            <v>0</v>
          </cell>
          <cell r="S261">
            <v>0</v>
          </cell>
          <cell r="T261">
            <v>0</v>
          </cell>
          <cell r="U261">
            <v>-1.194</v>
          </cell>
          <cell r="V261">
            <v>-4.9649999999999999</v>
          </cell>
          <cell r="W261">
            <v>-8.4444166666666689</v>
          </cell>
          <cell r="X261">
            <v>22.434000000000001</v>
          </cell>
          <cell r="Y261">
            <v>-4.9660000000000002</v>
          </cell>
          <cell r="Z261">
            <v>180.11366666666669</v>
          </cell>
          <cell r="AA261">
            <v>31.352333333333338</v>
          </cell>
          <cell r="AB261">
            <v>184.8656666666667</v>
          </cell>
          <cell r="AC261">
            <v>16.027999999999999</v>
          </cell>
          <cell r="AD261">
            <v>0</v>
          </cell>
          <cell r="AE261">
            <v>13.810000000000002</v>
          </cell>
          <cell r="AF261">
            <v>5.5079999999999991</v>
          </cell>
          <cell r="AG261">
            <v>11.109</v>
          </cell>
          <cell r="AH261">
            <v>1.2879999999999998</v>
          </cell>
          <cell r="AI261">
            <v>-4.9989999999999997</v>
          </cell>
          <cell r="AJ261">
            <v>9.9390000000000001</v>
          </cell>
          <cell r="AK261">
            <v>95.699999999999989</v>
          </cell>
          <cell r="AL261">
            <v>108.4</v>
          </cell>
          <cell r="AM261">
            <v>16.542000000000002</v>
          </cell>
          <cell r="AN261">
            <v>-0.59099999999999986</v>
          </cell>
          <cell r="AO261">
            <v>0</v>
          </cell>
          <cell r="AP261">
            <v>7.0810000000000004</v>
          </cell>
          <cell r="AQ261">
            <v>0.13100000000000001</v>
          </cell>
          <cell r="AR261">
            <v>4.676000000000001</v>
          </cell>
          <cell r="AS261">
            <v>11.108999999999998</v>
          </cell>
          <cell r="AT261">
            <v>-0.41199999999999992</v>
          </cell>
          <cell r="AU261">
            <v>144.99999999999997</v>
          </cell>
          <cell r="AV261">
            <v>155.69699999999997</v>
          </cell>
          <cell r="AW261">
            <v>0</v>
          </cell>
          <cell r="AX261">
            <v>0</v>
          </cell>
          <cell r="AY261">
            <v>0</v>
          </cell>
          <cell r="AZ261">
            <v>0</v>
          </cell>
          <cell r="BA261">
            <v>0</v>
          </cell>
          <cell r="BB261">
            <v>0</v>
          </cell>
          <cell r="BC261">
            <v>0</v>
          </cell>
          <cell r="BD261">
            <v>0</v>
          </cell>
          <cell r="BE261">
            <v>0</v>
          </cell>
        </row>
        <row r="262">
          <cell r="H262">
            <v>0</v>
          </cell>
          <cell r="I262">
            <v>0</v>
          </cell>
          <cell r="J262">
            <v>0</v>
          </cell>
          <cell r="K262">
            <v>0</v>
          </cell>
          <cell r="L262">
            <v>0</v>
          </cell>
          <cell r="M262">
            <v>0</v>
          </cell>
          <cell r="N262">
            <v>0</v>
          </cell>
          <cell r="O262">
            <v>0</v>
          </cell>
          <cell r="P262">
            <v>0</v>
          </cell>
          <cell r="Q262">
            <v>0</v>
          </cell>
          <cell r="R262">
            <v>0</v>
          </cell>
          <cell r="S262">
            <v>0</v>
          </cell>
          <cell r="T262">
            <v>0</v>
          </cell>
          <cell r="U262">
            <v>2.0459999999999994</v>
          </cell>
          <cell r="V262">
            <v>236.63300000000001</v>
          </cell>
          <cell r="W262">
            <v>123.95037784094009</v>
          </cell>
          <cell r="X262">
            <v>101.036</v>
          </cell>
          <cell r="Y262">
            <v>52.471000000000004</v>
          </cell>
          <cell r="Z262">
            <v>150.02733333333333</v>
          </cell>
          <cell r="AA262">
            <v>203.87266666666667</v>
          </cell>
          <cell r="AB262">
            <v>496.10133333333329</v>
          </cell>
          <cell r="AC262">
            <v>75.682999999999993</v>
          </cell>
          <cell r="AD262">
            <v>0</v>
          </cell>
          <cell r="AE262">
            <v>3.0739999999999981</v>
          </cell>
          <cell r="AF262">
            <v>155.32899999999998</v>
          </cell>
          <cell r="AG262">
            <v>63.139000000000003</v>
          </cell>
          <cell r="AH262">
            <v>15.097000000000001</v>
          </cell>
          <cell r="AI262">
            <v>7.3599999999999968</v>
          </cell>
          <cell r="AJ262">
            <v>64.99199999999999</v>
          </cell>
          <cell r="AK262">
            <v>131.5</v>
          </cell>
          <cell r="AL262">
            <v>610.6</v>
          </cell>
          <cell r="AM262">
            <v>202.833</v>
          </cell>
          <cell r="AN262">
            <v>-2.8750000000000004</v>
          </cell>
          <cell r="AO262">
            <v>0</v>
          </cell>
          <cell r="AP262">
            <v>83.835999999999999</v>
          </cell>
          <cell r="AQ262">
            <v>10.378</v>
          </cell>
          <cell r="AR262">
            <v>131.60927358999999</v>
          </cell>
          <cell r="AS262">
            <v>63.13900000000001</v>
          </cell>
          <cell r="AT262">
            <v>12.610999999999997</v>
          </cell>
          <cell r="AU262">
            <v>1694.5000000000002</v>
          </cell>
          <cell r="AV262">
            <v>1770.2500000000002</v>
          </cell>
          <cell r="AW262">
            <v>0</v>
          </cell>
          <cell r="AX262">
            <v>0</v>
          </cell>
          <cell r="AY262">
            <v>0</v>
          </cell>
          <cell r="AZ262">
            <v>0</v>
          </cell>
          <cell r="BA262">
            <v>0</v>
          </cell>
          <cell r="BB262">
            <v>0</v>
          </cell>
          <cell r="BC262">
            <v>0</v>
          </cell>
          <cell r="BD262">
            <v>0</v>
          </cell>
          <cell r="BE262">
            <v>0</v>
          </cell>
        </row>
        <row r="263">
          <cell r="H263">
            <v>0</v>
          </cell>
          <cell r="I263">
            <v>0</v>
          </cell>
          <cell r="J263">
            <v>0</v>
          </cell>
          <cell r="K263">
            <v>0</v>
          </cell>
          <cell r="L263">
            <v>0</v>
          </cell>
          <cell r="M263">
            <v>0</v>
          </cell>
          <cell r="N263">
            <v>0</v>
          </cell>
          <cell r="O263">
            <v>0</v>
          </cell>
          <cell r="P263">
            <v>0</v>
          </cell>
          <cell r="Q263">
            <v>0</v>
          </cell>
          <cell r="R263">
            <v>0</v>
          </cell>
          <cell r="S263">
            <v>0</v>
          </cell>
          <cell r="T263">
            <v>0</v>
          </cell>
          <cell r="U263">
            <v>2.3960000000000043</v>
          </cell>
          <cell r="V263">
            <v>59.179000690656949</v>
          </cell>
          <cell r="W263">
            <v>45.644877840940083</v>
          </cell>
          <cell r="X263">
            <v>7.4586000000000041</v>
          </cell>
          <cell r="Y263">
            <v>19.724000000000004</v>
          </cell>
          <cell r="Z263">
            <v>69.727333333333334</v>
          </cell>
          <cell r="AA263">
            <v>105.53246666666668</v>
          </cell>
          <cell r="AB263">
            <v>193.81511033333328</v>
          </cell>
          <cell r="AC263">
            <v>39.791999999999987</v>
          </cell>
          <cell r="AD263">
            <v>0</v>
          </cell>
          <cell r="AE263">
            <v>-7.7188000000000052</v>
          </cell>
          <cell r="AF263">
            <v>55.385999999999967</v>
          </cell>
          <cell r="AG263">
            <v>25.486000000000004</v>
          </cell>
          <cell r="AH263">
            <v>6.1159999999999997</v>
          </cell>
          <cell r="AI263">
            <v>2.1077499999999967</v>
          </cell>
          <cell r="AJ263">
            <v>22.034549999999996</v>
          </cell>
          <cell r="AK263">
            <v>44.173599999999993</v>
          </cell>
          <cell r="AL263">
            <v>218.40000000000009</v>
          </cell>
          <cell r="AM263">
            <v>61.332999999999998</v>
          </cell>
          <cell r="AN263">
            <v>0.19599999999999973</v>
          </cell>
          <cell r="AO263">
            <v>0</v>
          </cell>
          <cell r="AP263">
            <v>16.977000000000004</v>
          </cell>
          <cell r="AQ263">
            <v>2.6972500000000004</v>
          </cell>
          <cell r="AR263">
            <v>51.982273589999991</v>
          </cell>
          <cell r="AS263">
            <v>25.486000000000011</v>
          </cell>
          <cell r="AT263">
            <v>5.3265999999999964</v>
          </cell>
          <cell r="AU263">
            <v>398</v>
          </cell>
          <cell r="AV263">
            <v>428.81260000000043</v>
          </cell>
          <cell r="AW263">
            <v>0</v>
          </cell>
          <cell r="AX263">
            <v>0</v>
          </cell>
          <cell r="AY263">
            <v>0</v>
          </cell>
          <cell r="AZ263">
            <v>0</v>
          </cell>
          <cell r="BA263">
            <v>0</v>
          </cell>
          <cell r="BB263">
            <v>0</v>
          </cell>
          <cell r="BC263">
            <v>0</v>
          </cell>
          <cell r="BD263">
            <v>0</v>
          </cell>
          <cell r="BE263">
            <v>0</v>
          </cell>
        </row>
        <row r="264">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0.91999999999999993</v>
          </cell>
          <cell r="X264">
            <v>0</v>
          </cell>
          <cell r="Y264">
            <v>0</v>
          </cell>
          <cell r="Z264">
            <v>0</v>
          </cell>
          <cell r="AA264">
            <v>0</v>
          </cell>
          <cell r="AB264">
            <v>0</v>
          </cell>
          <cell r="AC264">
            <v>0</v>
          </cell>
          <cell r="AD264">
            <v>0</v>
          </cell>
          <cell r="AE264">
            <v>0</v>
          </cell>
          <cell r="AF264">
            <v>1.4999999999999996</v>
          </cell>
          <cell r="AG264">
            <v>0</v>
          </cell>
          <cell r="AH264">
            <v>0.29400000000000004</v>
          </cell>
          <cell r="AI264">
            <v>0</v>
          </cell>
          <cell r="AJ264">
            <v>0.70919999999999994</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row>
        <row r="265">
          <cell r="H265">
            <v>0</v>
          </cell>
          <cell r="I265">
            <v>0</v>
          </cell>
          <cell r="J265">
            <v>0</v>
          </cell>
          <cell r="K265">
            <v>0</v>
          </cell>
          <cell r="L265">
            <v>0</v>
          </cell>
          <cell r="M265">
            <v>0</v>
          </cell>
          <cell r="N265">
            <v>0</v>
          </cell>
          <cell r="O265">
            <v>0</v>
          </cell>
          <cell r="P265">
            <v>0</v>
          </cell>
          <cell r="Q265">
            <v>0</v>
          </cell>
          <cell r="R265">
            <v>0</v>
          </cell>
          <cell r="S265">
            <v>0</v>
          </cell>
          <cell r="T265">
            <v>0</v>
          </cell>
          <cell r="U265">
            <v>-0.35000000000000497</v>
          </cell>
          <cell r="V265">
            <v>177.45399930934306</v>
          </cell>
          <cell r="W265">
            <v>77.385500000000008</v>
          </cell>
          <cell r="X265">
            <v>93.577399999999997</v>
          </cell>
          <cell r="Y265">
            <v>32.747</v>
          </cell>
          <cell r="Z265">
            <v>80.3</v>
          </cell>
          <cell r="AA265">
            <v>98.340199999999996</v>
          </cell>
          <cell r="AB265">
            <v>302.28622300000001</v>
          </cell>
          <cell r="AC265">
            <v>35.891000000000005</v>
          </cell>
          <cell r="AD265">
            <v>0</v>
          </cell>
          <cell r="AE265">
            <v>10.792800000000003</v>
          </cell>
          <cell r="AF265">
            <v>98.443000000000012</v>
          </cell>
          <cell r="AG265">
            <v>37.652999999999999</v>
          </cell>
          <cell r="AH265">
            <v>8.6870000000000012</v>
          </cell>
          <cell r="AI265">
            <v>5.2522500000000001</v>
          </cell>
          <cell r="AJ265">
            <v>42.248249999999999</v>
          </cell>
          <cell r="AK265">
            <v>87.326400000000007</v>
          </cell>
          <cell r="AL265">
            <v>392.19999999999993</v>
          </cell>
          <cell r="AM265">
            <v>141.5</v>
          </cell>
          <cell r="AN265">
            <v>-3.0710000000000002</v>
          </cell>
          <cell r="AO265">
            <v>0</v>
          </cell>
          <cell r="AP265">
            <v>66.858999999999995</v>
          </cell>
          <cell r="AQ265">
            <v>7.6807499999999997</v>
          </cell>
          <cell r="AR265">
            <v>79.626999999999995</v>
          </cell>
          <cell r="AS265">
            <v>37.652999999999999</v>
          </cell>
          <cell r="AT265">
            <v>7.2844000000000007</v>
          </cell>
          <cell r="AU265">
            <v>1296.5000000000002</v>
          </cell>
          <cell r="AV265">
            <v>1341.4373999999998</v>
          </cell>
          <cell r="AW265">
            <v>0</v>
          </cell>
          <cell r="AX265">
            <v>0</v>
          </cell>
          <cell r="AY265">
            <v>0</v>
          </cell>
          <cell r="AZ265">
            <v>0</v>
          </cell>
          <cell r="BA265">
            <v>0</v>
          </cell>
          <cell r="BB265">
            <v>0</v>
          </cell>
          <cell r="BC265">
            <v>0</v>
          </cell>
          <cell r="BD265">
            <v>0</v>
          </cell>
          <cell r="BE265">
            <v>0</v>
          </cell>
        </row>
        <row r="267">
          <cell r="H267">
            <v>0</v>
          </cell>
          <cell r="I267">
            <v>0</v>
          </cell>
          <cell r="J267">
            <v>0</v>
          </cell>
          <cell r="K267">
            <v>0</v>
          </cell>
          <cell r="L267">
            <v>0</v>
          </cell>
          <cell r="M267">
            <v>0</v>
          </cell>
          <cell r="N267">
            <v>0</v>
          </cell>
          <cell r="O267">
            <v>0</v>
          </cell>
          <cell r="P267">
            <v>0</v>
          </cell>
          <cell r="Q267">
            <v>0</v>
          </cell>
          <cell r="R267">
            <v>0</v>
          </cell>
          <cell r="S267">
            <v>0</v>
          </cell>
          <cell r="T267">
            <v>0</v>
          </cell>
          <cell r="U267">
            <v>-1.0738369384776236E-2</v>
          </cell>
          <cell r="V267">
            <v>1.2918271786108628</v>
          </cell>
          <cell r="W267">
            <v>1.4382852576016651</v>
          </cell>
          <cell r="X267">
            <v>1.9698248222138839</v>
          </cell>
          <cell r="Y267">
            <v>0.73489259614062385</v>
          </cell>
          <cell r="Z267">
            <v>0.78890634591155917</v>
          </cell>
          <cell r="AA267">
            <v>0.96614206523302504</v>
          </cell>
          <cell r="AB267">
            <v>2.7590532988261209</v>
          </cell>
          <cell r="AC267">
            <v>0.88306847763702201</v>
          </cell>
          <cell r="AD267">
            <v>0</v>
          </cell>
          <cell r="AE267">
            <v>0.15014268415334342</v>
          </cell>
          <cell r="AF267">
            <v>2.2519427189284369</v>
          </cell>
          <cell r="AG267">
            <v>1.3986369509577365</v>
          </cell>
          <cell r="AH267">
            <v>0</v>
          </cell>
          <cell r="AI267">
            <v>0</v>
          </cell>
          <cell r="AJ267">
            <v>1.3152104924182035</v>
          </cell>
          <cell r="AK267">
            <v>1.5264215060317308</v>
          </cell>
          <cell r="AL267">
            <v>1.3166014235410044</v>
          </cell>
          <cell r="AM267">
            <v>2.0301291248206601</v>
          </cell>
          <cell r="AN267">
            <v>-0.25523021464853357</v>
          </cell>
          <cell r="AO267">
            <v>0</v>
          </cell>
          <cell r="AP267">
            <v>0.99007523122629781</v>
          </cell>
          <cell r="AQ267">
            <v>0</v>
          </cell>
          <cell r="AR267">
            <v>1.1690426203514748</v>
          </cell>
          <cell r="AS267">
            <v>0</v>
          </cell>
          <cell r="AT267">
            <v>0</v>
          </cell>
          <cell r="AU267">
            <v>2.8243924611910254</v>
          </cell>
          <cell r="AV267">
            <v>2.8252395491836886</v>
          </cell>
          <cell r="AW267">
            <v>0</v>
          </cell>
          <cell r="AX267">
            <v>0</v>
          </cell>
          <cell r="AY267">
            <v>0</v>
          </cell>
          <cell r="AZ267">
            <v>0</v>
          </cell>
          <cell r="BA267">
            <v>0</v>
          </cell>
          <cell r="BB267">
            <v>0</v>
          </cell>
          <cell r="BC267">
            <v>0</v>
          </cell>
          <cell r="BD267">
            <v>0</v>
          </cell>
          <cell r="BE267">
            <v>0</v>
          </cell>
        </row>
        <row r="269">
          <cell r="H269">
            <v>0</v>
          </cell>
          <cell r="I269">
            <v>0</v>
          </cell>
          <cell r="J269">
            <v>0</v>
          </cell>
          <cell r="K269">
            <v>0</v>
          </cell>
          <cell r="L269">
            <v>0</v>
          </cell>
          <cell r="M269">
            <v>0</v>
          </cell>
          <cell r="N269">
            <v>0</v>
          </cell>
          <cell r="O269">
            <v>0</v>
          </cell>
          <cell r="P269">
            <v>0</v>
          </cell>
          <cell r="Q269">
            <v>0</v>
          </cell>
          <cell r="R269">
            <v>0</v>
          </cell>
          <cell r="S269">
            <v>0</v>
          </cell>
          <cell r="T269">
            <v>0</v>
          </cell>
          <cell r="U269">
            <v>6.4099999999999993</v>
          </cell>
          <cell r="V269">
            <v>30.077000000000002</v>
          </cell>
          <cell r="W269">
            <v>21.85275</v>
          </cell>
          <cell r="X269">
            <v>32.555</v>
          </cell>
          <cell r="Y269">
            <v>3.6420000000000003</v>
          </cell>
          <cell r="Z269">
            <v>82.698000000000008</v>
          </cell>
          <cell r="AA269">
            <v>17.420000000000002</v>
          </cell>
          <cell r="AB269">
            <v>63.783999999999999</v>
          </cell>
          <cell r="AC269">
            <v>22.178000000000004</v>
          </cell>
          <cell r="AD269">
            <v>0</v>
          </cell>
          <cell r="AE269">
            <v>21.582000000000001</v>
          </cell>
          <cell r="AF269">
            <v>26.502000000000006</v>
          </cell>
          <cell r="AG269">
            <v>41.96</v>
          </cell>
          <cell r="AH269">
            <v>0.38300000000000023</v>
          </cell>
          <cell r="AI269">
            <v>-1.6754999999999995</v>
          </cell>
          <cell r="AJ269">
            <v>14.964500000000001</v>
          </cell>
          <cell r="AK269">
            <v>80.599999999999994</v>
          </cell>
          <cell r="AL269">
            <v>221.8</v>
          </cell>
          <cell r="AM269">
            <v>71.373000000000005</v>
          </cell>
          <cell r="AN269">
            <v>4.0869999999999997</v>
          </cell>
          <cell r="AO269">
            <v>0</v>
          </cell>
          <cell r="AP269">
            <v>7.4390000000000001</v>
          </cell>
          <cell r="AQ269">
            <v>0.59960250000000004</v>
          </cell>
          <cell r="AR269">
            <v>10.989469999999999</v>
          </cell>
          <cell r="AS269">
            <v>41.960000000000008</v>
          </cell>
          <cell r="AT269">
            <v>6.09</v>
          </cell>
          <cell r="AU269">
            <v>286.90000000000003</v>
          </cell>
          <cell r="AV269">
            <v>334.95000000000005</v>
          </cell>
          <cell r="AW269">
            <v>0</v>
          </cell>
          <cell r="AX269">
            <v>0</v>
          </cell>
          <cell r="AY269">
            <v>0</v>
          </cell>
          <cell r="AZ269">
            <v>0</v>
          </cell>
          <cell r="BA269">
            <v>0</v>
          </cell>
          <cell r="BB269">
            <v>0</v>
          </cell>
          <cell r="BC269">
            <v>0</v>
          </cell>
          <cell r="BD269">
            <v>0</v>
          </cell>
          <cell r="BE269">
            <v>0</v>
          </cell>
        </row>
        <row r="270">
          <cell r="H270">
            <v>0</v>
          </cell>
          <cell r="I270">
            <v>0</v>
          </cell>
          <cell r="J270">
            <v>0</v>
          </cell>
          <cell r="K270">
            <v>0</v>
          </cell>
          <cell r="L270">
            <v>0</v>
          </cell>
          <cell r="M270">
            <v>0</v>
          </cell>
          <cell r="N270">
            <v>0</v>
          </cell>
          <cell r="O270">
            <v>0</v>
          </cell>
          <cell r="P270">
            <v>0</v>
          </cell>
          <cell r="Q270">
            <v>0</v>
          </cell>
          <cell r="R270">
            <v>0</v>
          </cell>
          <cell r="S270">
            <v>0</v>
          </cell>
          <cell r="T270">
            <v>0</v>
          </cell>
          <cell r="U270">
            <v>7.2619999999999987</v>
          </cell>
          <cell r="V270">
            <v>261.745</v>
          </cell>
          <cell r="W270">
            <v>137.35871117427342</v>
          </cell>
          <cell r="X270">
            <v>156.02500000000001</v>
          </cell>
          <cell r="Y270">
            <v>51.147000000000006</v>
          </cell>
          <cell r="Z270">
            <v>412.83900000000006</v>
          </cell>
          <cell r="AA270">
            <v>252.64500000000004</v>
          </cell>
          <cell r="AB270">
            <v>744.75099999999998</v>
          </cell>
          <cell r="AC270">
            <v>113.88900000000001</v>
          </cell>
          <cell r="AD270">
            <v>0</v>
          </cell>
          <cell r="AE270">
            <v>38.466000000000001</v>
          </cell>
          <cell r="AF270">
            <v>187.339</v>
          </cell>
          <cell r="AG270">
            <v>116.208</v>
          </cell>
          <cell r="AH270">
            <v>16.768000000000001</v>
          </cell>
          <cell r="AI270">
            <v>0.68549999999999756</v>
          </cell>
          <cell r="AJ270">
            <v>89.895499999999998</v>
          </cell>
          <cell r="AK270">
            <v>307.79999999999995</v>
          </cell>
          <cell r="AL270">
            <v>940.8</v>
          </cell>
          <cell r="AM270">
            <v>290.74799999999999</v>
          </cell>
          <cell r="AN270">
            <v>0.62099999999999955</v>
          </cell>
          <cell r="AO270">
            <v>0</v>
          </cell>
          <cell r="AP270">
            <v>98.355999999999995</v>
          </cell>
          <cell r="AQ270">
            <v>11.1086025</v>
          </cell>
          <cell r="AR270">
            <v>147.27474358999999</v>
          </cell>
          <cell r="AS270">
            <v>116.20800000000001</v>
          </cell>
          <cell r="AT270">
            <v>18.288999999999998</v>
          </cell>
          <cell r="AU270">
            <v>2126.4</v>
          </cell>
          <cell r="AV270">
            <v>2260.8969999999999</v>
          </cell>
          <cell r="AW270">
            <v>0</v>
          </cell>
          <cell r="AX270">
            <v>0</v>
          </cell>
          <cell r="AY270">
            <v>0</v>
          </cell>
          <cell r="AZ270">
            <v>0</v>
          </cell>
          <cell r="BA270">
            <v>0</v>
          </cell>
          <cell r="BB270">
            <v>0</v>
          </cell>
          <cell r="BC270">
            <v>0</v>
          </cell>
          <cell r="BD270">
            <v>0</v>
          </cell>
          <cell r="BE270">
            <v>0</v>
          </cell>
        </row>
        <row r="271">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row>
        <row r="272">
          <cell r="H272">
            <v>0</v>
          </cell>
          <cell r="I272">
            <v>0</v>
          </cell>
          <cell r="J272">
            <v>0</v>
          </cell>
          <cell r="K272">
            <v>0</v>
          </cell>
          <cell r="L272">
            <v>0</v>
          </cell>
          <cell r="M272">
            <v>0</v>
          </cell>
          <cell r="N272">
            <v>0</v>
          </cell>
          <cell r="O272">
            <v>0</v>
          </cell>
          <cell r="P272">
            <v>0</v>
          </cell>
          <cell r="Q272">
            <v>0</v>
          </cell>
          <cell r="R272">
            <v>0</v>
          </cell>
          <cell r="S272">
            <v>0</v>
          </cell>
          <cell r="T272">
            <v>0</v>
          </cell>
          <cell r="U272">
            <v>22.530999999999999</v>
          </cell>
          <cell r="V272">
            <v>37.673000000000002</v>
          </cell>
          <cell r="W272">
            <v>33.877749999999999</v>
          </cell>
          <cell r="X272">
            <v>72.569000000000017</v>
          </cell>
          <cell r="Y272">
            <v>9.1739999999999995</v>
          </cell>
          <cell r="Z272">
            <v>69.308999999999997</v>
          </cell>
          <cell r="AA272">
            <v>16.619</v>
          </cell>
          <cell r="AB272">
            <v>50.020999999999994</v>
          </cell>
          <cell r="AC272">
            <v>6.4660000000000011</v>
          </cell>
          <cell r="AD272">
            <v>0</v>
          </cell>
          <cell r="AE272">
            <v>22.908999999999999</v>
          </cell>
          <cell r="AF272">
            <v>57.56</v>
          </cell>
          <cell r="AG272">
            <v>63.667999999999999</v>
          </cell>
          <cell r="AH272">
            <v>5.6820000000000004</v>
          </cell>
          <cell r="AI272">
            <v>3.9488333333333325</v>
          </cell>
          <cell r="AJ272">
            <v>9.6308333333333334</v>
          </cell>
          <cell r="AK272">
            <v>42</v>
          </cell>
          <cell r="AL272">
            <v>137.69999999999999</v>
          </cell>
          <cell r="AM272">
            <v>109.76300000000001</v>
          </cell>
          <cell r="AN272">
            <v>2.7440000000000002</v>
          </cell>
          <cell r="AO272">
            <v>0</v>
          </cell>
          <cell r="AP272">
            <v>12.975</v>
          </cell>
          <cell r="AQ272">
            <v>0.36630825</v>
          </cell>
          <cell r="AR272">
            <v>15.861410999999999</v>
          </cell>
          <cell r="AS272">
            <v>63.667999999999992</v>
          </cell>
          <cell r="AT272">
            <v>4.18</v>
          </cell>
          <cell r="AU272">
            <v>292.49999999999994</v>
          </cell>
          <cell r="AV272">
            <v>360.34800000000001</v>
          </cell>
          <cell r="AW272">
            <v>0</v>
          </cell>
          <cell r="AX272">
            <v>0</v>
          </cell>
          <cell r="AY272">
            <v>0</v>
          </cell>
          <cell r="AZ272">
            <v>0</v>
          </cell>
          <cell r="BA272">
            <v>0</v>
          </cell>
          <cell r="BB272">
            <v>0</v>
          </cell>
          <cell r="BC272">
            <v>0</v>
          </cell>
          <cell r="BD272">
            <v>0</v>
          </cell>
          <cell r="BE272">
            <v>0</v>
          </cell>
        </row>
        <row r="274">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6.2229999999999999</v>
          </cell>
          <cell r="W274">
            <v>19.74966666666667</v>
          </cell>
          <cell r="X274">
            <v>3.105</v>
          </cell>
          <cell r="Y274">
            <v>4.9660000000000002</v>
          </cell>
          <cell r="Z274">
            <v>0</v>
          </cell>
          <cell r="AA274">
            <v>0</v>
          </cell>
          <cell r="AB274">
            <v>0</v>
          </cell>
          <cell r="AC274">
            <v>0</v>
          </cell>
          <cell r="AD274">
            <v>0</v>
          </cell>
          <cell r="AE274">
            <v>1.224</v>
          </cell>
          <cell r="AF274">
            <v>11.276</v>
          </cell>
          <cell r="AG274">
            <v>2.2650000000000001</v>
          </cell>
          <cell r="AH274">
            <v>-1.2879999999999998</v>
          </cell>
          <cell r="AI274">
            <v>0</v>
          </cell>
          <cell r="AJ274">
            <v>-1.2879999999999998</v>
          </cell>
          <cell r="AK274">
            <v>0</v>
          </cell>
          <cell r="AL274">
            <v>0</v>
          </cell>
          <cell r="AM274">
            <v>0</v>
          </cell>
          <cell r="AN274">
            <v>0.62999999999999989</v>
          </cell>
          <cell r="AO274">
            <v>0</v>
          </cell>
          <cell r="AP274">
            <v>0</v>
          </cell>
          <cell r="AQ274">
            <v>0</v>
          </cell>
          <cell r="AR274">
            <v>0</v>
          </cell>
          <cell r="AS274">
            <v>2.2650000000000006</v>
          </cell>
          <cell r="AT274">
            <v>0.41199999999999992</v>
          </cell>
          <cell r="AU274">
            <v>0</v>
          </cell>
          <cell r="AV274">
            <v>2.6769999999999992</v>
          </cell>
          <cell r="AW274">
            <v>0</v>
          </cell>
          <cell r="AX274">
            <v>0</v>
          </cell>
          <cell r="AY274">
            <v>0</v>
          </cell>
          <cell r="AZ274">
            <v>0</v>
          </cell>
          <cell r="BA274">
            <v>0</v>
          </cell>
          <cell r="BB274">
            <v>0</v>
          </cell>
          <cell r="BC274">
            <v>0</v>
          </cell>
          <cell r="BD274">
            <v>0</v>
          </cell>
          <cell r="BE274">
            <v>0</v>
          </cell>
        </row>
        <row r="275">
          <cell r="H275">
            <v>0</v>
          </cell>
          <cell r="I275">
            <v>0</v>
          </cell>
          <cell r="J275">
            <v>0</v>
          </cell>
          <cell r="K275">
            <v>0</v>
          </cell>
          <cell r="L275">
            <v>0</v>
          </cell>
          <cell r="M275">
            <v>0</v>
          </cell>
          <cell r="N275">
            <v>0</v>
          </cell>
          <cell r="O275">
            <v>0</v>
          </cell>
          <cell r="P275">
            <v>0</v>
          </cell>
          <cell r="Q275">
            <v>0</v>
          </cell>
          <cell r="R275">
            <v>0</v>
          </cell>
          <cell r="S275">
            <v>0</v>
          </cell>
          <cell r="T275">
            <v>0</v>
          </cell>
          <cell r="U275">
            <v>-1.194</v>
          </cell>
          <cell r="V275">
            <v>1.258</v>
          </cell>
          <cell r="W275">
            <v>11.305250000000001</v>
          </cell>
          <cell r="X275">
            <v>25.539000000000001</v>
          </cell>
          <cell r="Y275">
            <v>0</v>
          </cell>
          <cell r="Z275">
            <v>180.11366666666669</v>
          </cell>
          <cell r="AA275">
            <v>31.352333333333338</v>
          </cell>
          <cell r="AB275">
            <v>184.8656666666667</v>
          </cell>
          <cell r="AC275">
            <v>16.027999999999999</v>
          </cell>
          <cell r="AD275">
            <v>0</v>
          </cell>
          <cell r="AE275">
            <v>15.034000000000002</v>
          </cell>
          <cell r="AF275">
            <v>16.783999999999999</v>
          </cell>
          <cell r="AG275">
            <v>13.374000000000001</v>
          </cell>
          <cell r="AH275">
            <v>0</v>
          </cell>
          <cell r="AI275">
            <v>-4.9989999999999997</v>
          </cell>
          <cell r="AJ275">
            <v>8.6509999999999998</v>
          </cell>
          <cell r="AK275">
            <v>95.699999999999989</v>
          </cell>
          <cell r="AL275">
            <v>108.4</v>
          </cell>
          <cell r="AM275">
            <v>16.542000000000002</v>
          </cell>
          <cell r="AN275">
            <v>3.8999999999999993E-2</v>
          </cell>
          <cell r="AO275">
            <v>0</v>
          </cell>
          <cell r="AP275">
            <v>7.0810000000000004</v>
          </cell>
          <cell r="AQ275">
            <v>0.13100000000000001</v>
          </cell>
          <cell r="AR275">
            <v>4.676000000000001</v>
          </cell>
          <cell r="AS275">
            <v>13.373999999999999</v>
          </cell>
          <cell r="AT275">
            <v>0</v>
          </cell>
          <cell r="AU275">
            <v>144.99999999999997</v>
          </cell>
          <cell r="AV275">
            <v>158.37399999999997</v>
          </cell>
          <cell r="AW275">
            <v>0</v>
          </cell>
          <cell r="AX275">
            <v>0</v>
          </cell>
          <cell r="AY275">
            <v>0</v>
          </cell>
          <cell r="AZ275">
            <v>0</v>
          </cell>
          <cell r="BA275">
            <v>0</v>
          </cell>
          <cell r="BB275">
            <v>0</v>
          </cell>
          <cell r="BC275">
            <v>0</v>
          </cell>
          <cell r="BD275">
            <v>0</v>
          </cell>
          <cell r="BE275">
            <v>0</v>
          </cell>
        </row>
        <row r="278">
          <cell r="H278" t="str">
            <v>Invitrogen</v>
          </cell>
          <cell r="I278" t="str">
            <v>QIAGEN NV</v>
          </cell>
          <cell r="J278" t="str">
            <v>TECHNE</v>
          </cell>
          <cell r="K278" t="str">
            <v>Bio-Rad Laboratories</v>
          </cell>
          <cell r="L278" t="str">
            <v>Affymetrix</v>
          </cell>
          <cell r="M278" t="str">
            <v>Applied Biosystems*</v>
          </cell>
          <cell r="N278" t="str">
            <v>Mettler Toledo*</v>
          </cell>
          <cell r="O278" t="str">
            <v>Molecular Devices*</v>
          </cell>
          <cell r="P278" t="str">
            <v>PerkinElmer</v>
          </cell>
          <cell r="Q278" t="str">
            <v>Thermo Electron</v>
          </cell>
          <cell r="R278" t="str">
            <v>Varian</v>
          </cell>
          <cell r="S278" t="str">
            <v>Waters*</v>
          </cell>
          <cell r="T278" t="str">
            <v>Fisher Scientific*</v>
          </cell>
          <cell r="U278" t="str">
            <v>Ventana Medical Systems, Inc.</v>
          </cell>
          <cell r="V278" t="str">
            <v>Accredo Health*</v>
          </cell>
          <cell r="W278" t="str">
            <v>Invitrogen</v>
          </cell>
          <cell r="X278" t="str">
            <v>Millipore</v>
          </cell>
          <cell r="Y278" t="str">
            <v>Priority Healthcare</v>
          </cell>
          <cell r="Z278" t="str">
            <v>Bergen Brunswig</v>
          </cell>
          <cell r="AA278" t="str">
            <v>AmeriSource</v>
          </cell>
          <cell r="AB278" t="str">
            <v>AmerisourceBergen</v>
          </cell>
          <cell r="AC278" t="str">
            <v>Owens &amp; Minor</v>
          </cell>
          <cell r="AD278" t="str">
            <v>Short Name</v>
          </cell>
          <cell r="AE278" t="str">
            <v>PSS World Medical, Inc.</v>
          </cell>
          <cell r="AF278" t="str">
            <v>Henry Schein</v>
          </cell>
          <cell r="AG278" t="str">
            <v>Syncor</v>
          </cell>
          <cell r="AH278" t="str">
            <v>Accredo</v>
          </cell>
          <cell r="AI278" t="str">
            <v>Gentiva</v>
          </cell>
          <cell r="AJ278" t="str">
            <v>Accredo*</v>
          </cell>
          <cell r="AK278" t="str">
            <v>Fisher Scientific*</v>
          </cell>
          <cell r="AL278" t="str">
            <v>McKesson Corporation</v>
          </cell>
          <cell r="AM278" t="str">
            <v>Sigma-Aldrich</v>
          </cell>
          <cell r="AN278" t="str">
            <v>Chronimed</v>
          </cell>
          <cell r="AO278" t="str">
            <v>Short Name</v>
          </cell>
          <cell r="AP278" t="str">
            <v>Patterson Dental</v>
          </cell>
          <cell r="AQ278" t="str">
            <v>Short Name</v>
          </cell>
          <cell r="AR278" t="str">
            <v>Patterson Dental</v>
          </cell>
          <cell r="AS278" t="str">
            <v>Syncor</v>
          </cell>
          <cell r="AT278" t="str">
            <v>Boron, LePore</v>
          </cell>
          <cell r="AU278" t="str">
            <v>Cardinal Health</v>
          </cell>
          <cell r="AV278" t="str">
            <v>Cardinal Health</v>
          </cell>
          <cell r="AW278" t="str">
            <v>Short Name</v>
          </cell>
          <cell r="AX278" t="str">
            <v>Short Name</v>
          </cell>
          <cell r="AY278" t="str">
            <v>Short Name</v>
          </cell>
          <cell r="AZ278" t="str">
            <v>Short Name</v>
          </cell>
          <cell r="BA278" t="str">
            <v>Short Name</v>
          </cell>
          <cell r="BB278" t="str">
            <v>Short Name</v>
          </cell>
          <cell r="BC278" t="str">
            <v>Short Name</v>
          </cell>
          <cell r="BD278" t="str">
            <v>Short Name</v>
          </cell>
          <cell r="BE278" t="str">
            <v>Short Name</v>
          </cell>
        </row>
        <row r="283">
          <cell r="H283">
            <v>0</v>
          </cell>
          <cell r="I283">
            <v>0</v>
          </cell>
          <cell r="J283">
            <v>0</v>
          </cell>
          <cell r="K283">
            <v>0</v>
          </cell>
          <cell r="L283">
            <v>0</v>
          </cell>
          <cell r="M283">
            <v>0</v>
          </cell>
          <cell r="N283">
            <v>0</v>
          </cell>
          <cell r="O283">
            <v>0</v>
          </cell>
          <cell r="P283">
            <v>0</v>
          </cell>
          <cell r="Q283">
            <v>0</v>
          </cell>
          <cell r="R283">
            <v>0</v>
          </cell>
          <cell r="S283">
            <v>0</v>
          </cell>
          <cell r="T283">
            <v>0</v>
          </cell>
          <cell r="U283">
            <v>4.875</v>
          </cell>
          <cell r="V283">
            <v>0</v>
          </cell>
          <cell r="W283">
            <v>113.26199999999999</v>
          </cell>
          <cell r="X283">
            <v>111.226</v>
          </cell>
          <cell r="Y283">
            <v>15.169</v>
          </cell>
          <cell r="Z283">
            <v>264.28800000000001</v>
          </cell>
          <cell r="AA283">
            <v>179.416</v>
          </cell>
          <cell r="AB283">
            <v>386.459</v>
          </cell>
          <cell r="AC283">
            <v>27.307000000000002</v>
          </cell>
          <cell r="AD283">
            <v>0</v>
          </cell>
          <cell r="AE283">
            <v>39.140999999999998</v>
          </cell>
          <cell r="AF283">
            <v>40.996000000000002</v>
          </cell>
          <cell r="AG283">
            <v>31.448</v>
          </cell>
          <cell r="AH283">
            <v>38.585000000000001</v>
          </cell>
          <cell r="AI283">
            <v>34.248000000000005</v>
          </cell>
          <cell r="AJ283">
            <v>72.832999999999998</v>
          </cell>
          <cell r="AK283">
            <v>152.6</v>
          </cell>
          <cell r="AL283">
            <v>706.2</v>
          </cell>
          <cell r="AM283">
            <v>0</v>
          </cell>
          <cell r="AN283">
            <v>12.34</v>
          </cell>
          <cell r="AO283">
            <v>0</v>
          </cell>
          <cell r="AP283">
            <v>0</v>
          </cell>
          <cell r="AQ283">
            <v>0</v>
          </cell>
          <cell r="AR283">
            <v>110.62633092</v>
          </cell>
          <cell r="AS283">
            <v>85.836000000000013</v>
          </cell>
          <cell r="AT283">
            <v>13.683</v>
          </cell>
          <cell r="AU283">
            <v>1612.8</v>
          </cell>
          <cell r="AV283">
            <v>1712.3190000000002</v>
          </cell>
          <cell r="AW283">
            <v>0</v>
          </cell>
          <cell r="AX283">
            <v>0</v>
          </cell>
          <cell r="AY283">
            <v>0</v>
          </cell>
          <cell r="AZ283">
            <v>0</v>
          </cell>
          <cell r="BA283">
            <v>0</v>
          </cell>
          <cell r="BB283">
            <v>0</v>
          </cell>
          <cell r="BC283">
            <v>0</v>
          </cell>
          <cell r="BD283">
            <v>0</v>
          </cell>
          <cell r="BE283">
            <v>0</v>
          </cell>
        </row>
        <row r="284">
          <cell r="H284">
            <v>0</v>
          </cell>
          <cell r="I284">
            <v>0</v>
          </cell>
          <cell r="J284">
            <v>0</v>
          </cell>
          <cell r="K284">
            <v>0</v>
          </cell>
          <cell r="L284">
            <v>0</v>
          </cell>
          <cell r="M284">
            <v>0</v>
          </cell>
          <cell r="N284">
            <v>0</v>
          </cell>
          <cell r="O284">
            <v>0</v>
          </cell>
          <cell r="P284">
            <v>0</v>
          </cell>
          <cell r="Q284">
            <v>0</v>
          </cell>
          <cell r="R284">
            <v>0</v>
          </cell>
          <cell r="S284">
            <v>0</v>
          </cell>
          <cell r="T284">
            <v>0</v>
          </cell>
          <cell r="U284">
            <v>3.9919999999999982</v>
          </cell>
          <cell r="V284">
            <v>0</v>
          </cell>
          <cell r="W284">
            <v>72.290133522820341</v>
          </cell>
          <cell r="X284">
            <v>98.924999999999983</v>
          </cell>
          <cell r="Y284">
            <v>12.629</v>
          </cell>
          <cell r="Z284">
            <v>217.44900000000001</v>
          </cell>
          <cell r="AA284">
            <v>144.625</v>
          </cell>
          <cell r="AB284">
            <v>324.94599999999997</v>
          </cell>
          <cell r="AC284">
            <v>24.847000000000001</v>
          </cell>
          <cell r="AD284">
            <v>0</v>
          </cell>
          <cell r="AE284">
            <v>51.414999999999999</v>
          </cell>
          <cell r="AF284">
            <v>37.048999999999999</v>
          </cell>
          <cell r="AG284">
            <v>29.677999999999997</v>
          </cell>
          <cell r="AH284">
            <v>21.817</v>
          </cell>
          <cell r="AI284">
            <v>33.5625</v>
          </cell>
          <cell r="AJ284">
            <v>55.379500000000007</v>
          </cell>
          <cell r="AK284">
            <v>135.80000000000001</v>
          </cell>
          <cell r="AL284">
            <v>588.29999999999995</v>
          </cell>
          <cell r="AM284">
            <v>0</v>
          </cell>
          <cell r="AN284">
            <v>10.000999999999999</v>
          </cell>
          <cell r="AO284">
            <v>0</v>
          </cell>
          <cell r="AP284">
            <v>26.949000000000002</v>
          </cell>
          <cell r="AQ284">
            <v>0.1998675</v>
          </cell>
          <cell r="AR284">
            <v>96.873057330000009</v>
          </cell>
          <cell r="AS284">
            <v>70.816999999999993</v>
          </cell>
          <cell r="AT284">
            <v>10.097000000000001</v>
          </cell>
          <cell r="AU284">
            <v>1379</v>
          </cell>
          <cell r="AV284">
            <v>1459.9139999999998</v>
          </cell>
          <cell r="AW284">
            <v>0</v>
          </cell>
          <cell r="AX284">
            <v>0</v>
          </cell>
          <cell r="AY284">
            <v>0</v>
          </cell>
          <cell r="AZ284">
            <v>0</v>
          </cell>
          <cell r="BA284">
            <v>0</v>
          </cell>
          <cell r="BB284">
            <v>0</v>
          </cell>
          <cell r="BC284">
            <v>0</v>
          </cell>
          <cell r="BD284">
            <v>0</v>
          </cell>
          <cell r="BE284">
            <v>0</v>
          </cell>
        </row>
        <row r="285">
          <cell r="H285">
            <v>0</v>
          </cell>
          <cell r="I285">
            <v>0</v>
          </cell>
          <cell r="J285">
            <v>0</v>
          </cell>
          <cell r="K285">
            <v>0</v>
          </cell>
          <cell r="L285">
            <v>0</v>
          </cell>
          <cell r="M285">
            <v>0</v>
          </cell>
          <cell r="N285">
            <v>0</v>
          </cell>
          <cell r="O285">
            <v>0</v>
          </cell>
          <cell r="P285">
            <v>0</v>
          </cell>
          <cell r="Q285">
            <v>0</v>
          </cell>
          <cell r="R285">
            <v>0</v>
          </cell>
          <cell r="S285">
            <v>0</v>
          </cell>
          <cell r="T285">
            <v>0</v>
          </cell>
          <cell r="U285">
            <v>6.3789999999999978</v>
          </cell>
          <cell r="V285">
            <v>261.745</v>
          </cell>
          <cell r="W285">
            <v>96.386844697093792</v>
          </cell>
          <cell r="X285">
            <v>143.72399999999999</v>
          </cell>
          <cell r="Y285">
            <v>48.606999999999999</v>
          </cell>
          <cell r="Z285">
            <v>366</v>
          </cell>
          <cell r="AA285">
            <v>217.85399999999998</v>
          </cell>
          <cell r="AB285">
            <v>683.23799999999994</v>
          </cell>
          <cell r="AC285">
            <v>111.429</v>
          </cell>
          <cell r="AD285">
            <v>0</v>
          </cell>
          <cell r="AE285">
            <v>50.739999999999995</v>
          </cell>
          <cell r="AF285">
            <v>183.392</v>
          </cell>
          <cell r="AG285">
            <v>114.43799999999999</v>
          </cell>
          <cell r="AH285">
            <v>0</v>
          </cell>
          <cell r="AI285">
            <v>0</v>
          </cell>
          <cell r="AJ285">
            <v>72.442000000000007</v>
          </cell>
          <cell r="AK285">
            <v>291</v>
          </cell>
          <cell r="AL285">
            <v>822.9</v>
          </cell>
          <cell r="AM285">
            <v>290.74799999999999</v>
          </cell>
          <cell r="AN285">
            <v>-1.718</v>
          </cell>
          <cell r="AO285">
            <v>0</v>
          </cell>
          <cell r="AP285">
            <v>125.30499999999999</v>
          </cell>
          <cell r="AQ285">
            <v>11.30847</v>
          </cell>
          <cell r="AR285">
            <v>133.52146999999999</v>
          </cell>
          <cell r="AS285">
            <v>101.18899999999999</v>
          </cell>
          <cell r="AT285">
            <v>14.702999999999999</v>
          </cell>
          <cell r="AU285">
            <v>1892.6</v>
          </cell>
          <cell r="AV285">
            <v>2008.492</v>
          </cell>
          <cell r="AW285">
            <v>0</v>
          </cell>
          <cell r="AX285">
            <v>0</v>
          </cell>
          <cell r="AY285">
            <v>0</v>
          </cell>
          <cell r="AZ285">
            <v>0</v>
          </cell>
          <cell r="BA285">
            <v>0</v>
          </cell>
          <cell r="BB285">
            <v>0</v>
          </cell>
          <cell r="BC285">
            <v>0</v>
          </cell>
          <cell r="BD285">
            <v>0</v>
          </cell>
          <cell r="BE285">
            <v>0</v>
          </cell>
        </row>
        <row r="286">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330.14100000000002</v>
          </cell>
          <cell r="AA286">
            <v>235.22499999999999</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row>
        <row r="290">
          <cell r="H290" t="str">
            <v xml:space="preserve">NM  </v>
          </cell>
          <cell r="I290" t="str">
            <v xml:space="preserve">NM  </v>
          </cell>
          <cell r="J290" t="str">
            <v xml:space="preserve">NM  </v>
          </cell>
          <cell r="K290" t="str">
            <v xml:space="preserve">NM  </v>
          </cell>
          <cell r="L290" t="str">
            <v xml:space="preserve">NM  </v>
          </cell>
          <cell r="M290" t="str">
            <v xml:space="preserve">NM  </v>
          </cell>
          <cell r="N290" t="str">
            <v xml:space="preserve">NM  </v>
          </cell>
          <cell r="O290" t="str">
            <v xml:space="preserve">NM  </v>
          </cell>
          <cell r="P290" t="str">
            <v xml:space="preserve">NM  </v>
          </cell>
          <cell r="Q290" t="str">
            <v xml:space="preserve">NM  </v>
          </cell>
          <cell r="R290" t="str">
            <v xml:space="preserve">NM  </v>
          </cell>
          <cell r="S290" t="str">
            <v xml:space="preserve">NM  </v>
          </cell>
          <cell r="T290" t="str">
            <v xml:space="preserve">NM  </v>
          </cell>
          <cell r="U290" t="str">
            <v xml:space="preserve">NM  </v>
          </cell>
          <cell r="V290" t="str">
            <v xml:space="preserve">NM  </v>
          </cell>
          <cell r="W290" t="str">
            <v xml:space="preserve">NM  </v>
          </cell>
          <cell r="X290" t="str">
            <v xml:space="preserve">NM  </v>
          </cell>
          <cell r="Y290" t="str">
            <v xml:space="preserve">NM  </v>
          </cell>
          <cell r="Z290" t="str">
            <v xml:space="preserve">NM  </v>
          </cell>
          <cell r="AA290" t="str">
            <v xml:space="preserve">NM  </v>
          </cell>
          <cell r="AB290" t="str">
            <v xml:space="preserve">NM  </v>
          </cell>
          <cell r="AC290" t="str">
            <v xml:space="preserve">NM  </v>
          </cell>
          <cell r="AD290" t="str">
            <v xml:space="preserve">NM  </v>
          </cell>
          <cell r="AE290" t="str">
            <v xml:space="preserve">NM  </v>
          </cell>
          <cell r="AF290" t="str">
            <v xml:space="preserve">NM  </v>
          </cell>
          <cell r="AG290" t="str">
            <v xml:space="preserve">NM  </v>
          </cell>
          <cell r="AH290" t="str">
            <v xml:space="preserve">NM  </v>
          </cell>
          <cell r="AI290" t="str">
            <v xml:space="preserve">NM  </v>
          </cell>
          <cell r="AJ290" t="str">
            <v xml:space="preserve">NM  </v>
          </cell>
          <cell r="AK290" t="str">
            <v xml:space="preserve">NM  </v>
          </cell>
          <cell r="AL290" t="str">
            <v xml:space="preserve">NM  </v>
          </cell>
          <cell r="AM290" t="str">
            <v xml:space="preserve">NM  </v>
          </cell>
          <cell r="AN290" t="str">
            <v xml:space="preserve">NM  </v>
          </cell>
          <cell r="AO290" t="str">
            <v xml:space="preserve">NM  </v>
          </cell>
          <cell r="AP290" t="str">
            <v xml:space="preserve">NM  </v>
          </cell>
          <cell r="AQ290" t="str">
            <v xml:space="preserve">NM  </v>
          </cell>
          <cell r="AR290" t="str">
            <v xml:space="preserve">NM  </v>
          </cell>
          <cell r="AS290" t="str">
            <v xml:space="preserve">NM  </v>
          </cell>
          <cell r="AT290" t="str">
            <v xml:space="preserve">NM  </v>
          </cell>
          <cell r="AU290" t="str">
            <v xml:space="preserve">NM  </v>
          </cell>
          <cell r="AV290" t="str">
            <v xml:space="preserve">NM  </v>
          </cell>
          <cell r="AW290" t="str">
            <v xml:space="preserve">NM  </v>
          </cell>
          <cell r="AX290" t="str">
            <v xml:space="preserve">NM  </v>
          </cell>
          <cell r="AY290" t="str">
            <v xml:space="preserve">NM  </v>
          </cell>
          <cell r="AZ290" t="str">
            <v xml:space="preserve">NM  </v>
          </cell>
          <cell r="BA290" t="str">
            <v xml:space="preserve">NM  </v>
          </cell>
          <cell r="BB290" t="str">
            <v xml:space="preserve">NM  </v>
          </cell>
          <cell r="BC290" t="str">
            <v xml:space="preserve">NM  </v>
          </cell>
          <cell r="BD290" t="str">
            <v xml:space="preserve">NM  </v>
          </cell>
          <cell r="BE290" t="str">
            <v xml:space="preserve">NM  </v>
          </cell>
        </row>
        <row r="291">
          <cell r="H291" t="str">
            <v xml:space="preserve">NM  </v>
          </cell>
          <cell r="I291" t="str">
            <v xml:space="preserve">NM  </v>
          </cell>
          <cell r="J291" t="str">
            <v xml:space="preserve">NM  </v>
          </cell>
          <cell r="K291" t="str">
            <v xml:space="preserve">NM  </v>
          </cell>
          <cell r="L291" t="str">
            <v xml:space="preserve">NM  </v>
          </cell>
          <cell r="M291" t="str">
            <v xml:space="preserve">NM  </v>
          </cell>
          <cell r="N291" t="str">
            <v xml:space="preserve">NM  </v>
          </cell>
          <cell r="O291" t="str">
            <v xml:space="preserve">NM  </v>
          </cell>
          <cell r="P291" t="str">
            <v xml:space="preserve">NM  </v>
          </cell>
          <cell r="Q291" t="str">
            <v xml:space="preserve">NM  </v>
          </cell>
          <cell r="R291" t="str">
            <v xml:space="preserve">NM  </v>
          </cell>
          <cell r="S291" t="str">
            <v xml:space="preserve">NM  </v>
          </cell>
          <cell r="T291" t="str">
            <v xml:space="preserve">NM  </v>
          </cell>
          <cell r="U291" t="str">
            <v xml:space="preserve">NM  </v>
          </cell>
          <cell r="V291" t="str">
            <v xml:space="preserve">NM  </v>
          </cell>
          <cell r="W291" t="str">
            <v xml:space="preserve">NM  </v>
          </cell>
          <cell r="X291" t="str">
            <v xml:space="preserve">NM  </v>
          </cell>
          <cell r="Y291" t="str">
            <v xml:space="preserve">NM  </v>
          </cell>
          <cell r="Z291" t="str">
            <v xml:space="preserve">NM  </v>
          </cell>
          <cell r="AA291" t="str">
            <v xml:space="preserve">NM  </v>
          </cell>
          <cell r="AB291" t="str">
            <v xml:space="preserve">NM  </v>
          </cell>
          <cell r="AC291" t="str">
            <v xml:space="preserve">NM  </v>
          </cell>
          <cell r="AD291" t="str">
            <v xml:space="preserve">NM  </v>
          </cell>
          <cell r="AE291" t="str">
            <v xml:space="preserve">NM  </v>
          </cell>
          <cell r="AF291" t="str">
            <v xml:space="preserve">NM  </v>
          </cell>
          <cell r="AG291" t="str">
            <v xml:space="preserve">NM  </v>
          </cell>
          <cell r="AH291" t="str">
            <v xml:space="preserve">NM  </v>
          </cell>
          <cell r="AI291" t="str">
            <v xml:space="preserve">NM  </v>
          </cell>
          <cell r="AJ291" t="str">
            <v xml:space="preserve">NM  </v>
          </cell>
          <cell r="AK291" t="str">
            <v xml:space="preserve">NM  </v>
          </cell>
          <cell r="AL291" t="str">
            <v xml:space="preserve">NM  </v>
          </cell>
          <cell r="AM291" t="str">
            <v xml:space="preserve">NM  </v>
          </cell>
          <cell r="AN291" t="str">
            <v xml:space="preserve">NM  </v>
          </cell>
          <cell r="AO291" t="str">
            <v xml:space="preserve">NM  </v>
          </cell>
          <cell r="AP291" t="str">
            <v xml:space="preserve">NM  </v>
          </cell>
          <cell r="AQ291" t="str">
            <v xml:space="preserve">NM  </v>
          </cell>
          <cell r="AR291" t="str">
            <v xml:space="preserve">NM  </v>
          </cell>
          <cell r="AS291" t="str">
            <v xml:space="preserve">NM  </v>
          </cell>
          <cell r="AT291" t="str">
            <v xml:space="preserve">NM  </v>
          </cell>
          <cell r="AU291" t="str">
            <v xml:space="preserve">NM  </v>
          </cell>
          <cell r="AV291" t="str">
            <v xml:space="preserve">NM  </v>
          </cell>
          <cell r="AW291" t="str">
            <v xml:space="preserve">NM  </v>
          </cell>
          <cell r="AX291" t="str">
            <v xml:space="preserve">NM  </v>
          </cell>
          <cell r="AY291" t="str">
            <v xml:space="preserve">NM  </v>
          </cell>
          <cell r="AZ291" t="str">
            <v xml:space="preserve">NM  </v>
          </cell>
          <cell r="BA291" t="str">
            <v xml:space="preserve">NM  </v>
          </cell>
          <cell r="BB291" t="str">
            <v xml:space="preserve">NM  </v>
          </cell>
          <cell r="BC291" t="str">
            <v xml:space="preserve">NM  </v>
          </cell>
          <cell r="BD291" t="str">
            <v xml:space="preserve">NM  </v>
          </cell>
          <cell r="BE291" t="str">
            <v xml:space="preserve">NM  </v>
          </cell>
        </row>
        <row r="297">
          <cell r="H297">
            <v>0</v>
          </cell>
          <cell r="I297">
            <v>0</v>
          </cell>
          <cell r="J297">
            <v>0</v>
          </cell>
          <cell r="K297">
            <v>0</v>
          </cell>
          <cell r="L297">
            <v>0</v>
          </cell>
          <cell r="M297">
            <v>0</v>
          </cell>
          <cell r="N297">
            <v>0</v>
          </cell>
          <cell r="O297">
            <v>0</v>
          </cell>
          <cell r="P297">
            <v>0</v>
          </cell>
          <cell r="Q297">
            <v>0</v>
          </cell>
          <cell r="R297">
            <v>0</v>
          </cell>
          <cell r="S297">
            <v>0</v>
          </cell>
          <cell r="T297">
            <v>0</v>
          </cell>
          <cell r="U297">
            <v>40.082000000000001</v>
          </cell>
          <cell r="V297">
            <v>0</v>
          </cell>
          <cell r="W297">
            <v>672.03399999999999</v>
          </cell>
          <cell r="X297">
            <v>225.69399999999999</v>
          </cell>
          <cell r="Y297">
            <v>176.33999999999997</v>
          </cell>
          <cell r="Z297">
            <v>1516.5680000000002</v>
          </cell>
          <cell r="AA297">
            <v>897.29399999999987</v>
          </cell>
          <cell r="AB297">
            <v>2115.509</v>
          </cell>
          <cell r="AC297">
            <v>365.26499999999993</v>
          </cell>
          <cell r="AD297">
            <v>0</v>
          </cell>
          <cell r="AE297">
            <v>269.43100000000004</v>
          </cell>
          <cell r="AF297">
            <v>492.99599999999998</v>
          </cell>
          <cell r="AG297">
            <v>113.709</v>
          </cell>
          <cell r="AH297">
            <v>0</v>
          </cell>
          <cell r="AI297">
            <v>0</v>
          </cell>
          <cell r="AJ297">
            <v>327.29399999999998</v>
          </cell>
          <cell r="AK297">
            <v>0</v>
          </cell>
          <cell r="AL297">
            <v>2765.9000000000005</v>
          </cell>
          <cell r="AM297">
            <v>329.74800000000005</v>
          </cell>
          <cell r="AN297">
            <v>37.251000000000005</v>
          </cell>
          <cell r="AO297">
            <v>0</v>
          </cell>
          <cell r="AP297">
            <v>0</v>
          </cell>
          <cell r="AQ297">
            <v>0</v>
          </cell>
          <cell r="AR297">
            <v>344.90300000000002</v>
          </cell>
          <cell r="AS297">
            <v>113.709</v>
          </cell>
          <cell r="AT297">
            <v>42.294000000000004</v>
          </cell>
          <cell r="AU297">
            <v>5611.9000000000005</v>
          </cell>
          <cell r="AV297">
            <v>5767.9030000000002</v>
          </cell>
          <cell r="AW297">
            <v>0</v>
          </cell>
          <cell r="AX297">
            <v>0</v>
          </cell>
          <cell r="AY297">
            <v>0</v>
          </cell>
          <cell r="AZ297">
            <v>0</v>
          </cell>
          <cell r="BA297">
            <v>0</v>
          </cell>
          <cell r="BB297">
            <v>0</v>
          </cell>
          <cell r="BC297">
            <v>0</v>
          </cell>
          <cell r="BD297">
            <v>0</v>
          </cell>
          <cell r="BE297">
            <v>0</v>
          </cell>
        </row>
        <row r="298">
          <cell r="H298">
            <v>0</v>
          </cell>
          <cell r="I298">
            <v>0</v>
          </cell>
          <cell r="J298">
            <v>0</v>
          </cell>
          <cell r="K298">
            <v>0</v>
          </cell>
          <cell r="L298">
            <v>0</v>
          </cell>
          <cell r="M298">
            <v>0</v>
          </cell>
          <cell r="N298">
            <v>0</v>
          </cell>
          <cell r="O298">
            <v>0</v>
          </cell>
          <cell r="P298">
            <v>0</v>
          </cell>
          <cell r="Q298">
            <v>0</v>
          </cell>
          <cell r="R298">
            <v>0</v>
          </cell>
          <cell r="S298">
            <v>0</v>
          </cell>
          <cell r="T298" t="e">
            <v>#VALUE!</v>
          </cell>
          <cell r="U298">
            <v>80.890999999999991</v>
          </cell>
          <cell r="V298">
            <v>471.05399999999997</v>
          </cell>
          <cell r="W298">
            <v>634.49500000000012</v>
          </cell>
          <cell r="X298">
            <v>347.14600000000002</v>
          </cell>
          <cell r="Y298">
            <v>187.65000000000003</v>
          </cell>
          <cell r="Z298" t="e">
            <v>#N/A</v>
          </cell>
          <cell r="AA298">
            <v>617.11899999999991</v>
          </cell>
          <cell r="AB298">
            <v>1223.605</v>
          </cell>
          <cell r="AC298">
            <v>180.13499999999999</v>
          </cell>
          <cell r="AD298" t="e">
            <v>#N/A</v>
          </cell>
          <cell r="AE298">
            <v>247.65600000000001</v>
          </cell>
          <cell r="AF298">
            <v>414.31899999999996</v>
          </cell>
          <cell r="AG298">
            <v>102.33199999999999</v>
          </cell>
          <cell r="AH298">
            <v>0</v>
          </cell>
          <cell r="AI298" t="e">
            <v>#DIV/0!</v>
          </cell>
          <cell r="AJ298" t="e">
            <v>#VALUE!</v>
          </cell>
          <cell r="AK298">
            <v>45.4</v>
          </cell>
          <cell r="AL298">
            <v>3004.8999999999996</v>
          </cell>
          <cell r="AM298">
            <v>677.97783000000004</v>
          </cell>
          <cell r="AN298">
            <v>45.271999999999991</v>
          </cell>
          <cell r="AO298" t="e">
            <v>#N/A</v>
          </cell>
          <cell r="AP298" t="e">
            <v>#DIV/0!</v>
          </cell>
          <cell r="AQ298" t="e">
            <v>#VALUE!</v>
          </cell>
          <cell r="AR298">
            <v>412.27100000000002</v>
          </cell>
          <cell r="AS298">
            <v>102.33199999999999</v>
          </cell>
          <cell r="AT298" t="e">
            <v>#N/A</v>
          </cell>
          <cell r="AU298" t="e">
            <v>#DIV/0!</v>
          </cell>
          <cell r="AV298">
            <v>4835.4490000000005</v>
          </cell>
          <cell r="AW298" t="e">
            <v>#VALUE!</v>
          </cell>
          <cell r="AX298" t="e">
            <v>#VALUE!</v>
          </cell>
          <cell r="AY298" t="e">
            <v>#VALUE!</v>
          </cell>
          <cell r="AZ298" t="e">
            <v>#VALUE!</v>
          </cell>
          <cell r="BA298" t="e">
            <v>#VALUE!</v>
          </cell>
          <cell r="BB298" t="e">
            <v>#VALUE!</v>
          </cell>
          <cell r="BC298" t="e">
            <v>#VALUE!</v>
          </cell>
          <cell r="BD298" t="e">
            <v>#VALUE!</v>
          </cell>
          <cell r="BE298" t="e">
            <v>#VALUE!</v>
          </cell>
        </row>
        <row r="299">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300</v>
          </cell>
          <cell r="AA299">
            <v>0</v>
          </cell>
          <cell r="AB299">
            <v>0</v>
          </cell>
          <cell r="AC299">
            <v>132</v>
          </cell>
          <cell r="AD299">
            <v>0</v>
          </cell>
          <cell r="AE299">
            <v>0</v>
          </cell>
          <cell r="AF299">
            <v>0</v>
          </cell>
          <cell r="AG299">
            <v>0</v>
          </cell>
          <cell r="AH299">
            <v>0</v>
          </cell>
          <cell r="AI299">
            <v>0</v>
          </cell>
          <cell r="AJ299">
            <v>0</v>
          </cell>
          <cell r="AK299">
            <v>0</v>
          </cell>
          <cell r="AL299">
            <v>196.1</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row>
        <row r="300">
          <cell r="H300">
            <v>0</v>
          </cell>
          <cell r="I300">
            <v>0</v>
          </cell>
          <cell r="J300">
            <v>0</v>
          </cell>
          <cell r="K300">
            <v>0</v>
          </cell>
          <cell r="L300">
            <v>0</v>
          </cell>
          <cell r="M300">
            <v>0</v>
          </cell>
          <cell r="N300">
            <v>0</v>
          </cell>
          <cell r="O300">
            <v>0</v>
          </cell>
          <cell r="P300">
            <v>0</v>
          </cell>
          <cell r="Q300">
            <v>0</v>
          </cell>
          <cell r="R300">
            <v>0</v>
          </cell>
          <cell r="S300">
            <v>0</v>
          </cell>
          <cell r="T300" t="e">
            <v>#VALUE!</v>
          </cell>
          <cell r="U300">
            <v>3.028</v>
          </cell>
          <cell r="V300">
            <v>224.68799999999999</v>
          </cell>
          <cell r="W300">
            <v>21.153999999999996</v>
          </cell>
          <cell r="X300">
            <v>377.41700000000003</v>
          </cell>
          <cell r="Y300">
            <v>0</v>
          </cell>
          <cell r="Z300" t="e">
            <v>#N/A</v>
          </cell>
          <cell r="AA300">
            <v>340.93399999999997</v>
          </cell>
          <cell r="AB300">
            <v>1238.8889999999999</v>
          </cell>
          <cell r="AC300">
            <v>242.01499999999999</v>
          </cell>
          <cell r="AD300" t="e">
            <v>#N/A</v>
          </cell>
          <cell r="AE300">
            <v>125</v>
          </cell>
          <cell r="AF300">
            <v>256.75</v>
          </cell>
          <cell r="AG300">
            <v>216.34400000000002</v>
          </cell>
          <cell r="AH300">
            <v>0</v>
          </cell>
          <cell r="AI300" t="e">
            <v>#DIV/0!</v>
          </cell>
          <cell r="AJ300" t="e">
            <v>#VALUE!</v>
          </cell>
          <cell r="AK300">
            <v>957.5</v>
          </cell>
          <cell r="AL300">
            <v>1326.8000000000002</v>
          </cell>
          <cell r="AM300">
            <v>448.08199999999999</v>
          </cell>
          <cell r="AN300">
            <v>10.4</v>
          </cell>
          <cell r="AO300" t="e">
            <v>#N/A</v>
          </cell>
          <cell r="AP300" t="e">
            <v>#DIV/0!</v>
          </cell>
          <cell r="AQ300" t="e">
            <v>#VALUE!</v>
          </cell>
          <cell r="AR300">
            <v>0</v>
          </cell>
          <cell r="AS300">
            <v>216.34400000000002</v>
          </cell>
          <cell r="AT300" t="e">
            <v>#N/A</v>
          </cell>
          <cell r="AU300" t="e">
            <v>#DIV/0!</v>
          </cell>
          <cell r="AV300">
            <v>2697.5439999999999</v>
          </cell>
          <cell r="AW300" t="e">
            <v>#VALUE!</v>
          </cell>
          <cell r="AX300" t="e">
            <v>#VALUE!</v>
          </cell>
          <cell r="AY300" t="e">
            <v>#VALUE!</v>
          </cell>
          <cell r="AZ300" t="e">
            <v>#VALUE!</v>
          </cell>
          <cell r="BA300" t="e">
            <v>#VALUE!</v>
          </cell>
          <cell r="BB300" t="e">
            <v>#VALUE!</v>
          </cell>
          <cell r="BC300" t="e">
            <v>#VALUE!</v>
          </cell>
          <cell r="BD300" t="e">
            <v>#VALUE!</v>
          </cell>
          <cell r="BE300" t="e">
            <v>#VALUE!</v>
          </cell>
        </row>
        <row r="301">
          <cell r="H301">
            <v>0</v>
          </cell>
          <cell r="I301">
            <v>0</v>
          </cell>
          <cell r="J301">
            <v>0</v>
          </cell>
          <cell r="K301">
            <v>0</v>
          </cell>
          <cell r="L301">
            <v>0</v>
          </cell>
          <cell r="M301">
            <v>0</v>
          </cell>
          <cell r="N301">
            <v>0</v>
          </cell>
          <cell r="O301">
            <v>0</v>
          </cell>
          <cell r="P301">
            <v>0</v>
          </cell>
          <cell r="Q301">
            <v>0</v>
          </cell>
          <cell r="R301">
            <v>0</v>
          </cell>
          <cell r="S301">
            <v>0</v>
          </cell>
          <cell r="T301" t="e">
            <v>#VALUE!</v>
          </cell>
          <cell r="U301">
            <v>16.299999999999997</v>
          </cell>
          <cell r="V301">
            <v>453.77499999999998</v>
          </cell>
          <cell r="W301">
            <v>350.19299999999976</v>
          </cell>
          <cell r="X301">
            <v>547.45100000000002</v>
          </cell>
          <cell r="Y301">
            <v>138.10899999999998</v>
          </cell>
          <cell r="Z301" t="e">
            <v>#N/A</v>
          </cell>
          <cell r="AA301">
            <v>2185.0190000000002</v>
          </cell>
          <cell r="AB301">
            <v>7250.4929999999986</v>
          </cell>
          <cell r="AC301">
            <v>618.97900000000004</v>
          </cell>
          <cell r="AD301" t="e">
            <v>#N/A</v>
          </cell>
          <cell r="AE301">
            <v>345.41200000000003</v>
          </cell>
          <cell r="AF301">
            <v>602.09400000000005</v>
          </cell>
          <cell r="AG301">
            <v>348.87900000000002</v>
          </cell>
          <cell r="AH301">
            <v>0</v>
          </cell>
          <cell r="AI301" t="e">
            <v>#DIV/0!</v>
          </cell>
          <cell r="AJ301" t="e">
            <v>#VALUE!</v>
          </cell>
          <cell r="AK301">
            <v>-45.4</v>
          </cell>
          <cell r="AL301">
            <v>8909.7000000000007</v>
          </cell>
          <cell r="AM301">
            <v>634.22216999999989</v>
          </cell>
          <cell r="AN301">
            <v>30.297000000000011</v>
          </cell>
          <cell r="AO301" t="e">
            <v>#N/A</v>
          </cell>
          <cell r="AP301" t="e">
            <v>#DIV/0!</v>
          </cell>
          <cell r="AQ301" t="e">
            <v>#VALUE!</v>
          </cell>
          <cell r="AR301">
            <v>177.53899999999999</v>
          </cell>
          <cell r="AS301">
            <v>348.87900000000002</v>
          </cell>
          <cell r="AT301" t="e">
            <v>#N/A</v>
          </cell>
          <cell r="AU301" t="e">
            <v>#DIV/0!</v>
          </cell>
          <cell r="AV301">
            <v>10795.365999999998</v>
          </cell>
          <cell r="AW301" t="e">
            <v>#VALUE!</v>
          </cell>
          <cell r="AX301" t="e">
            <v>#VALUE!</v>
          </cell>
          <cell r="AY301" t="e">
            <v>#VALUE!</v>
          </cell>
          <cell r="AZ301" t="e">
            <v>#VALUE!</v>
          </cell>
          <cell r="BA301" t="e">
            <v>#VALUE!</v>
          </cell>
          <cell r="BB301" t="e">
            <v>#VALUE!</v>
          </cell>
          <cell r="BC301" t="e">
            <v>#VALUE!</v>
          </cell>
          <cell r="BD301" t="e">
            <v>#VALUE!</v>
          </cell>
          <cell r="BE301" t="e">
            <v>#VALUE!</v>
          </cell>
        </row>
        <row r="302">
          <cell r="H302">
            <v>0</v>
          </cell>
          <cell r="I302">
            <v>0</v>
          </cell>
          <cell r="J302">
            <v>0</v>
          </cell>
          <cell r="K302">
            <v>0</v>
          </cell>
          <cell r="L302">
            <v>0</v>
          </cell>
          <cell r="M302">
            <v>0</v>
          </cell>
          <cell r="N302">
            <v>0</v>
          </cell>
          <cell r="O302">
            <v>0</v>
          </cell>
          <cell r="P302">
            <v>0</v>
          </cell>
          <cell r="Q302">
            <v>0</v>
          </cell>
          <cell r="R302">
            <v>0</v>
          </cell>
          <cell r="S302">
            <v>0</v>
          </cell>
          <cell r="T302">
            <v>0</v>
          </cell>
          <cell r="U302">
            <v>20.766999999999999</v>
          </cell>
          <cell r="V302">
            <v>0</v>
          </cell>
          <cell r="W302">
            <v>572.90300000000002</v>
          </cell>
          <cell r="X302">
            <v>70.257999999999996</v>
          </cell>
          <cell r="Y302">
            <v>91.347999999999999</v>
          </cell>
          <cell r="Z302">
            <v>60.804000000000002</v>
          </cell>
          <cell r="AA302">
            <v>94.298000000000002</v>
          </cell>
          <cell r="AB302">
            <v>463.815</v>
          </cell>
          <cell r="AC302">
            <v>0.68799999999999994</v>
          </cell>
          <cell r="AD302">
            <v>0</v>
          </cell>
          <cell r="AE302">
            <v>40.206000000000003</v>
          </cell>
          <cell r="AF302">
            <v>93.421000000000006</v>
          </cell>
          <cell r="AG302">
            <v>24.074999999999999</v>
          </cell>
          <cell r="AH302">
            <v>0</v>
          </cell>
          <cell r="AI302">
            <v>0</v>
          </cell>
          <cell r="AJ302">
            <v>58.841999999999999</v>
          </cell>
          <cell r="AK302">
            <v>0</v>
          </cell>
          <cell r="AL302">
            <v>385.5</v>
          </cell>
          <cell r="AM302">
            <v>33.501829999999998</v>
          </cell>
          <cell r="AN302">
            <v>3.6070000000000002</v>
          </cell>
          <cell r="AO302">
            <v>0</v>
          </cell>
          <cell r="AP302">
            <v>0</v>
          </cell>
          <cell r="AQ302">
            <v>0</v>
          </cell>
          <cell r="AR302">
            <v>132.43700000000001</v>
          </cell>
          <cell r="AS302">
            <v>24.074999999999999</v>
          </cell>
          <cell r="AT302">
            <v>14.052</v>
          </cell>
          <cell r="AU302">
            <v>869.2</v>
          </cell>
          <cell r="AV302">
            <v>703.32700000000011</v>
          </cell>
          <cell r="AW302">
            <v>0</v>
          </cell>
          <cell r="AX302">
            <v>0</v>
          </cell>
          <cell r="AY302">
            <v>0</v>
          </cell>
          <cell r="AZ302">
            <v>0</v>
          </cell>
          <cell r="BA302">
            <v>0</v>
          </cell>
          <cell r="BB302">
            <v>0</v>
          </cell>
          <cell r="BC302">
            <v>0</v>
          </cell>
          <cell r="BD302">
            <v>0</v>
          </cell>
          <cell r="BE302">
            <v>0</v>
          </cell>
        </row>
        <row r="303">
          <cell r="H303">
            <v>0</v>
          </cell>
          <cell r="I303">
            <v>0</v>
          </cell>
          <cell r="J303">
            <v>0</v>
          </cell>
          <cell r="K303">
            <v>0</v>
          </cell>
          <cell r="L303">
            <v>0</v>
          </cell>
          <cell r="M303">
            <v>0</v>
          </cell>
          <cell r="N303">
            <v>0</v>
          </cell>
          <cell r="O303">
            <v>0</v>
          </cell>
          <cell r="P303">
            <v>0</v>
          </cell>
          <cell r="Q303">
            <v>0</v>
          </cell>
          <cell r="R303">
            <v>0</v>
          </cell>
          <cell r="S303">
            <v>0</v>
          </cell>
          <cell r="T303" t="e">
            <v>#VALUE!</v>
          </cell>
          <cell r="U303">
            <v>91.567999999999998</v>
          </cell>
          <cell r="V303">
            <v>471.05399999999997</v>
          </cell>
          <cell r="W303">
            <v>1875.7080000000001</v>
          </cell>
          <cell r="X303">
            <v>375.39800000000002</v>
          </cell>
          <cell r="Y303">
            <v>271.21300000000002</v>
          </cell>
          <cell r="Z303" t="e">
            <v>#N/A</v>
          </cell>
          <cell r="AA303">
            <v>702.92499999999995</v>
          </cell>
          <cell r="AB303">
            <v>3349.7260000000001</v>
          </cell>
          <cell r="AC303">
            <v>378.459</v>
          </cell>
          <cell r="AD303" t="e">
            <v>#N/A</v>
          </cell>
          <cell r="AE303">
            <v>324.77800000000002</v>
          </cell>
          <cell r="AF303">
            <v>707.42499999999995</v>
          </cell>
          <cell r="AG303">
            <v>245.49199999999999</v>
          </cell>
          <cell r="AH303">
            <v>0</v>
          </cell>
          <cell r="AI303" t="e">
            <v>#DIV/0!</v>
          </cell>
          <cell r="AJ303" t="e">
            <v>#VALUE!</v>
          </cell>
          <cell r="AK303">
            <v>45.4</v>
          </cell>
          <cell r="AL303">
            <v>3979.2</v>
          </cell>
          <cell r="AM303">
            <v>805.57983000000002</v>
          </cell>
          <cell r="AN303">
            <v>75.504999999999995</v>
          </cell>
          <cell r="AO303" t="e">
            <v>#N/A</v>
          </cell>
          <cell r="AP303" t="e">
            <v>#DIV/0!</v>
          </cell>
          <cell r="AQ303" t="e">
            <v>#VALUE!</v>
          </cell>
          <cell r="AR303">
            <v>543.28300000000002</v>
          </cell>
          <cell r="AS303">
            <v>245.49199999999999</v>
          </cell>
          <cell r="AT303" t="e">
            <v>#N/A</v>
          </cell>
          <cell r="AU303" t="e">
            <v>#DIV/0!</v>
          </cell>
          <cell r="AV303">
            <v>6209</v>
          </cell>
          <cell r="AW303" t="e">
            <v>#VALUE!</v>
          </cell>
          <cell r="AX303" t="e">
            <v>#VALUE!</v>
          </cell>
          <cell r="AY303" t="e">
            <v>#VALUE!</v>
          </cell>
          <cell r="AZ303" t="e">
            <v>#VALUE!</v>
          </cell>
          <cell r="BA303" t="e">
            <v>#VALUE!</v>
          </cell>
          <cell r="BB303" t="e">
            <v>#VALUE!</v>
          </cell>
          <cell r="BC303" t="e">
            <v>#VALUE!</v>
          </cell>
          <cell r="BD303" t="e">
            <v>#VALUE!</v>
          </cell>
          <cell r="BE303" t="e">
            <v>#VALUE!</v>
          </cell>
        </row>
        <row r="304">
          <cell r="H304">
            <v>0</v>
          </cell>
          <cell r="I304">
            <v>0</v>
          </cell>
          <cell r="J304">
            <v>0</v>
          </cell>
          <cell r="K304">
            <v>0</v>
          </cell>
          <cell r="L304">
            <v>0</v>
          </cell>
          <cell r="M304">
            <v>0</v>
          </cell>
          <cell r="N304">
            <v>0</v>
          </cell>
          <cell r="O304">
            <v>0</v>
          </cell>
          <cell r="P304">
            <v>0</v>
          </cell>
          <cell r="Q304">
            <v>0</v>
          </cell>
          <cell r="R304">
            <v>0</v>
          </cell>
          <cell r="S304">
            <v>0</v>
          </cell>
          <cell r="T304" t="e">
            <v>#VALUE!</v>
          </cell>
          <cell r="U304">
            <v>3.028</v>
          </cell>
          <cell r="V304">
            <v>224.68799999999999</v>
          </cell>
          <cell r="W304">
            <v>21.153999999999996</v>
          </cell>
          <cell r="X304">
            <v>377.41700000000003</v>
          </cell>
          <cell r="Y304">
            <v>0</v>
          </cell>
          <cell r="Z304" t="e">
            <v>#N/A</v>
          </cell>
          <cell r="AA304">
            <v>340.93399999999997</v>
          </cell>
          <cell r="AB304">
            <v>1238.8889999999999</v>
          </cell>
          <cell r="AC304">
            <v>242.01499999999999</v>
          </cell>
          <cell r="AD304" t="e">
            <v>#N/A</v>
          </cell>
          <cell r="AE304">
            <v>125</v>
          </cell>
          <cell r="AF304">
            <v>256.75</v>
          </cell>
          <cell r="AG304">
            <v>216.34400000000002</v>
          </cell>
          <cell r="AH304">
            <v>0</v>
          </cell>
          <cell r="AI304" t="e">
            <v>#DIV/0!</v>
          </cell>
          <cell r="AJ304" t="e">
            <v>#VALUE!</v>
          </cell>
          <cell r="AK304">
            <v>957.5</v>
          </cell>
          <cell r="AL304">
            <v>1326.8000000000002</v>
          </cell>
          <cell r="AM304">
            <v>448.08199999999999</v>
          </cell>
          <cell r="AN304">
            <v>10.4</v>
          </cell>
          <cell r="AO304" t="e">
            <v>#N/A</v>
          </cell>
          <cell r="AP304" t="e">
            <v>#DIV/0!</v>
          </cell>
          <cell r="AQ304" t="e">
            <v>#VALUE!</v>
          </cell>
          <cell r="AR304">
            <v>0</v>
          </cell>
          <cell r="AS304">
            <v>216.34400000000002</v>
          </cell>
          <cell r="AT304" t="e">
            <v>#N/A</v>
          </cell>
          <cell r="AU304" t="e">
            <v>#DIV/0!</v>
          </cell>
          <cell r="AV304">
            <v>2697.5439999999999</v>
          </cell>
          <cell r="AW304" t="e">
            <v>#VALUE!</v>
          </cell>
          <cell r="AX304" t="e">
            <v>#VALUE!</v>
          </cell>
          <cell r="AY304" t="e">
            <v>#VALUE!</v>
          </cell>
          <cell r="AZ304" t="e">
            <v>#VALUE!</v>
          </cell>
          <cell r="BA304" t="e">
            <v>#VALUE!</v>
          </cell>
          <cell r="BB304" t="e">
            <v>#VALUE!</v>
          </cell>
          <cell r="BC304" t="e">
            <v>#VALUE!</v>
          </cell>
          <cell r="BD304" t="e">
            <v>#VALUE!</v>
          </cell>
          <cell r="BE304" t="e">
            <v>#VALUE!</v>
          </cell>
        </row>
        <row r="305">
          <cell r="H305">
            <v>0</v>
          </cell>
          <cell r="I305">
            <v>0</v>
          </cell>
          <cell r="J305">
            <v>0</v>
          </cell>
          <cell r="K305">
            <v>0</v>
          </cell>
          <cell r="L305">
            <v>0</v>
          </cell>
          <cell r="M305">
            <v>0</v>
          </cell>
          <cell r="N305">
            <v>0</v>
          </cell>
          <cell r="O305">
            <v>0</v>
          </cell>
          <cell r="P305">
            <v>0</v>
          </cell>
          <cell r="Q305">
            <v>0</v>
          </cell>
          <cell r="R305">
            <v>0</v>
          </cell>
          <cell r="S305">
            <v>0</v>
          </cell>
          <cell r="T305" t="e">
            <v>#VALUE!</v>
          </cell>
          <cell r="U305">
            <v>94.596000000000004</v>
          </cell>
          <cell r="V305">
            <v>695.74199999999996</v>
          </cell>
          <cell r="W305">
            <v>1896.8620000000001</v>
          </cell>
          <cell r="X305">
            <v>752.81500000000005</v>
          </cell>
          <cell r="Y305">
            <v>271.21300000000002</v>
          </cell>
          <cell r="Z305" t="e">
            <v>#N/A</v>
          </cell>
          <cell r="AA305">
            <v>1043.8589999999999</v>
          </cell>
          <cell r="AB305">
            <v>4588.6149999999998</v>
          </cell>
          <cell r="AC305">
            <v>620.47399999999993</v>
          </cell>
          <cell r="AD305" t="e">
            <v>#N/A</v>
          </cell>
          <cell r="AE305">
            <v>449.77800000000002</v>
          </cell>
          <cell r="AF305">
            <v>964.17499999999995</v>
          </cell>
          <cell r="AG305">
            <v>461.83600000000001</v>
          </cell>
          <cell r="AH305">
            <v>0</v>
          </cell>
          <cell r="AI305" t="e">
            <v>#DIV/0!</v>
          </cell>
          <cell r="AJ305" t="e">
            <v>#VALUE!</v>
          </cell>
          <cell r="AK305">
            <v>1002.9</v>
          </cell>
          <cell r="AL305">
            <v>5306</v>
          </cell>
          <cell r="AM305">
            <v>1253.66183</v>
          </cell>
          <cell r="AN305">
            <v>85.905000000000001</v>
          </cell>
          <cell r="AO305" t="e">
            <v>#N/A</v>
          </cell>
          <cell r="AP305" t="e">
            <v>#DIV/0!</v>
          </cell>
          <cell r="AQ305" t="e">
            <v>#VALUE!</v>
          </cell>
          <cell r="AR305">
            <v>543.28300000000002</v>
          </cell>
          <cell r="AS305">
            <v>461.83600000000001</v>
          </cell>
          <cell r="AT305" t="e">
            <v>#N/A</v>
          </cell>
          <cell r="AU305" t="e">
            <v>#DIV/0!</v>
          </cell>
          <cell r="AV305">
            <v>8906.5439999999999</v>
          </cell>
          <cell r="AW305" t="e">
            <v>#VALUE!</v>
          </cell>
          <cell r="AX305" t="e">
            <v>#VALUE!</v>
          </cell>
          <cell r="AY305" t="e">
            <v>#VALUE!</v>
          </cell>
          <cell r="AZ305" t="e">
            <v>#VALUE!</v>
          </cell>
          <cell r="BA305" t="e">
            <v>#VALUE!</v>
          </cell>
          <cell r="BB305" t="e">
            <v>#VALUE!</v>
          </cell>
          <cell r="BC305" t="e">
            <v>#VALUE!</v>
          </cell>
          <cell r="BD305" t="e">
            <v>#VALUE!</v>
          </cell>
          <cell r="BE305" t="e">
            <v>#VALUE!</v>
          </cell>
        </row>
        <row r="309">
          <cell r="H309">
            <v>0</v>
          </cell>
          <cell r="I309">
            <v>0</v>
          </cell>
          <cell r="J309">
            <v>0.5</v>
          </cell>
          <cell r="K309">
            <v>0</v>
          </cell>
          <cell r="L309">
            <v>0</v>
          </cell>
          <cell r="M309">
            <v>0.5</v>
          </cell>
          <cell r="N309">
            <v>0</v>
          </cell>
          <cell r="O309">
            <v>0</v>
          </cell>
          <cell r="P309">
            <v>0</v>
          </cell>
          <cell r="Q309">
            <v>0</v>
          </cell>
          <cell r="R309">
            <v>193.71250000000001</v>
          </cell>
          <cell r="S309">
            <v>0</v>
          </cell>
          <cell r="T309" t="str">
            <v xml:space="preserve">NA </v>
          </cell>
          <cell r="U309">
            <v>71.149000000000001</v>
          </cell>
          <cell r="V309">
            <v>430.10399999999998</v>
          </cell>
          <cell r="W309">
            <v>0</v>
          </cell>
          <cell r="X309">
            <v>598.23099999999999</v>
          </cell>
          <cell r="Y309">
            <v>805.12</v>
          </cell>
          <cell r="Z309" t="str">
            <v xml:space="preserve">NA </v>
          </cell>
          <cell r="AA309" t="str">
            <v xml:space="preserve">NA </v>
          </cell>
          <cell r="AB309">
            <v>36038.432499999995</v>
          </cell>
          <cell r="AC309">
            <v>3814.9940000000001</v>
          </cell>
          <cell r="AD309" t="str">
            <v xml:space="preserve">NA </v>
          </cell>
          <cell r="AE309">
            <v>1346.4490000000001</v>
          </cell>
          <cell r="AF309">
            <v>2558.2429999999999</v>
          </cell>
          <cell r="AG309">
            <v>774.71799999999996</v>
          </cell>
          <cell r="AH309">
            <v>430.10399999999998</v>
          </cell>
          <cell r="AI309" t="str">
            <v xml:space="preserve">NA </v>
          </cell>
          <cell r="AJ309" t="str">
            <v xml:space="preserve">NA </v>
          </cell>
          <cell r="AK309">
            <v>2880</v>
          </cell>
          <cell r="AL309">
            <v>23460.400000000001</v>
          </cell>
          <cell r="AM309">
            <v>1179.4469999999999</v>
          </cell>
          <cell r="AN309">
            <v>149.46250000000001</v>
          </cell>
          <cell r="AO309" t="str">
            <v xml:space="preserve">NA </v>
          </cell>
          <cell r="AP309">
            <v>871.06933333333325</v>
          </cell>
          <cell r="AQ309" t="str">
            <v xml:space="preserve">NA </v>
          </cell>
          <cell r="AR309">
            <v>871.06933333333325</v>
          </cell>
          <cell r="AS309">
            <v>774.71799999999996</v>
          </cell>
          <cell r="AT309" t="str">
            <v xml:space="preserve">NA </v>
          </cell>
          <cell r="AU309">
            <v>19772.669999999998</v>
          </cell>
          <cell r="AV309">
            <v>19772.669999999998</v>
          </cell>
          <cell r="AW309" t="str">
            <v xml:space="preserve">NA </v>
          </cell>
          <cell r="AX309" t="str">
            <v xml:space="preserve">NA </v>
          </cell>
          <cell r="AY309" t="str">
            <v xml:space="preserve">NA </v>
          </cell>
          <cell r="AZ309" t="str">
            <v xml:space="preserve">NA </v>
          </cell>
          <cell r="BA309" t="str">
            <v xml:space="preserve">NA </v>
          </cell>
          <cell r="BB309" t="str">
            <v xml:space="preserve">NA </v>
          </cell>
          <cell r="BC309" t="str">
            <v xml:space="preserve">NA </v>
          </cell>
          <cell r="BD309" t="str">
            <v xml:space="preserve">NA </v>
          </cell>
          <cell r="BE309" t="str">
            <v xml:space="preserve">NA </v>
          </cell>
        </row>
        <row r="310">
          <cell r="H310">
            <v>651.88599999999997</v>
          </cell>
          <cell r="I310">
            <v>297.774</v>
          </cell>
          <cell r="J310">
            <v>74.204000000000008</v>
          </cell>
          <cell r="K310">
            <v>865.8</v>
          </cell>
          <cell r="L310">
            <v>286.60300000000001</v>
          </cell>
          <cell r="M310">
            <v>863.29</v>
          </cell>
          <cell r="N310">
            <v>1179.02</v>
          </cell>
          <cell r="O310">
            <v>104.3</v>
          </cell>
          <cell r="P310">
            <v>1298.22</v>
          </cell>
          <cell r="Q310">
            <v>2055.6999999999998</v>
          </cell>
          <cell r="R310">
            <v>792.83749999999998</v>
          </cell>
          <cell r="S310">
            <v>902.26099999999997</v>
          </cell>
          <cell r="T310" t="str">
            <v xml:space="preserve">NA </v>
          </cell>
          <cell r="U310">
            <v>105.1</v>
          </cell>
          <cell r="V310">
            <v>1170.8699999999999</v>
          </cell>
          <cell r="W310">
            <v>651.88599999999997</v>
          </cell>
          <cell r="X310">
            <v>706.82500000000005</v>
          </cell>
          <cell r="Y310">
            <v>1181.761</v>
          </cell>
          <cell r="Z310" t="str">
            <v xml:space="preserve">NA </v>
          </cell>
          <cell r="AA310">
            <v>41782.035000000003</v>
          </cell>
          <cell r="AB310">
            <v>41782.035000000003</v>
          </cell>
          <cell r="AC310">
            <v>4007.8830000000003</v>
          </cell>
          <cell r="AD310" t="str">
            <v xml:space="preserve">NA </v>
          </cell>
          <cell r="AE310">
            <v>1873.2455</v>
          </cell>
          <cell r="AF310">
            <v>2805.6</v>
          </cell>
          <cell r="AG310">
            <v>931.6</v>
          </cell>
          <cell r="AH310">
            <v>1170.8699999999999</v>
          </cell>
          <cell r="AI310">
            <v>826.72300000000007</v>
          </cell>
          <cell r="AJ310" t="str">
            <v xml:space="preserve">NA </v>
          </cell>
          <cell r="AK310">
            <v>3203.14</v>
          </cell>
          <cell r="AL310">
            <v>39302.589999999997</v>
          </cell>
          <cell r="AM310">
            <v>1220.6500000000001</v>
          </cell>
          <cell r="AN310">
            <v>366.50400000000002</v>
          </cell>
          <cell r="AO310" t="str">
            <v xml:space="preserve">NA </v>
          </cell>
          <cell r="AP310">
            <v>1530.0246666666667</v>
          </cell>
          <cell r="AQ310" t="str">
            <v xml:space="preserve">NA </v>
          </cell>
          <cell r="AR310">
            <v>1530.0246666666667</v>
          </cell>
          <cell r="AS310">
            <v>931.6</v>
          </cell>
          <cell r="AT310" t="str">
            <v xml:space="preserve">NA </v>
          </cell>
          <cell r="AU310">
            <v>45340.45</v>
          </cell>
          <cell r="AV310">
            <v>45340.45</v>
          </cell>
          <cell r="AW310" t="str">
            <v xml:space="preserve">NA </v>
          </cell>
          <cell r="AX310" t="str">
            <v xml:space="preserve">NA </v>
          </cell>
          <cell r="AY310" t="str">
            <v xml:space="preserve">NA </v>
          </cell>
          <cell r="AZ310" t="str">
            <v xml:space="preserve">NA </v>
          </cell>
          <cell r="BA310" t="str">
            <v xml:space="preserve">NA </v>
          </cell>
          <cell r="BB310" t="str">
            <v xml:space="preserve">NA </v>
          </cell>
          <cell r="BC310" t="str">
            <v xml:space="preserve">NA </v>
          </cell>
          <cell r="BD310" t="str">
            <v xml:space="preserve">NA </v>
          </cell>
          <cell r="BE310" t="str">
            <v xml:space="preserve">NA </v>
          </cell>
        </row>
        <row r="311">
          <cell r="H311">
            <v>739.88300000000004</v>
          </cell>
          <cell r="I311">
            <v>346.4</v>
          </cell>
          <cell r="J311">
            <v>159.20400000000001</v>
          </cell>
          <cell r="K311">
            <v>937</v>
          </cell>
          <cell r="L311">
            <v>346.274</v>
          </cell>
          <cell r="M311">
            <v>1808.665</v>
          </cell>
          <cell r="N311">
            <v>1241.45</v>
          </cell>
          <cell r="O311">
            <v>122.65</v>
          </cell>
          <cell r="P311">
            <v>1396.81</v>
          </cell>
          <cell r="Q311">
            <v>2192.38</v>
          </cell>
          <cell r="R311">
            <v>881.87869000000001</v>
          </cell>
          <cell r="S311">
            <v>996.26700000000005</v>
          </cell>
          <cell r="T311" t="str">
            <v xml:space="preserve">NA </v>
          </cell>
          <cell r="U311">
            <v>131.9</v>
          </cell>
          <cell r="V311">
            <v>1665.0744999999999</v>
          </cell>
          <cell r="W311">
            <v>739.88300000000004</v>
          </cell>
          <cell r="X311">
            <v>788.39400000000001</v>
          </cell>
          <cell r="Y311">
            <v>1462.2560000000001</v>
          </cell>
          <cell r="Z311" t="str">
            <v xml:space="preserve">NA </v>
          </cell>
          <cell r="AA311">
            <v>47526.497499999998</v>
          </cell>
          <cell r="AB311">
            <v>47526.497499999998</v>
          </cell>
          <cell r="AC311">
            <v>4167.6499999999996</v>
          </cell>
          <cell r="AD311" t="str">
            <v xml:space="preserve">NA </v>
          </cell>
          <cell r="AE311">
            <v>2467.6355199999998</v>
          </cell>
          <cell r="AF311">
            <v>3000</v>
          </cell>
          <cell r="AG311">
            <v>1072.6500000000001</v>
          </cell>
          <cell r="AH311">
            <v>1665.0744999999999</v>
          </cell>
          <cell r="AI311">
            <v>799.10500000000002</v>
          </cell>
          <cell r="AJ311" t="str">
            <v xml:space="preserve">NA </v>
          </cell>
          <cell r="AK311">
            <v>3397.2649999999999</v>
          </cell>
          <cell r="AL311">
            <v>46176.817499999997</v>
          </cell>
          <cell r="AM311">
            <v>1309.6600000000001</v>
          </cell>
          <cell r="AN311">
            <v>574.30956000000003</v>
          </cell>
          <cell r="AO311" t="str">
            <v xml:space="preserve">NA </v>
          </cell>
          <cell r="AP311">
            <v>1763.9683333333332</v>
          </cell>
          <cell r="AQ311" t="str">
            <v xml:space="preserve">NA </v>
          </cell>
          <cell r="AR311">
            <v>1763.9683333333332</v>
          </cell>
          <cell r="AS311">
            <v>1072.6500000000001</v>
          </cell>
          <cell r="AT311" t="str">
            <v xml:space="preserve">NA </v>
          </cell>
          <cell r="AU311">
            <v>54681.75</v>
          </cell>
          <cell r="AV311">
            <v>54681.75</v>
          </cell>
          <cell r="AW311" t="str">
            <v xml:space="preserve">NA </v>
          </cell>
          <cell r="AX311" t="str">
            <v xml:space="preserve">NA </v>
          </cell>
          <cell r="AY311" t="str">
            <v xml:space="preserve">NA </v>
          </cell>
          <cell r="AZ311" t="str">
            <v xml:space="preserve">NA </v>
          </cell>
          <cell r="BA311" t="str">
            <v xml:space="preserve">NA </v>
          </cell>
          <cell r="BB311" t="str">
            <v xml:space="preserve">NA </v>
          </cell>
          <cell r="BC311" t="str">
            <v xml:space="preserve">NA </v>
          </cell>
          <cell r="BD311" t="str">
            <v xml:space="preserve">NA </v>
          </cell>
          <cell r="BE311" t="str">
            <v xml:space="preserve">NA </v>
          </cell>
        </row>
        <row r="312">
          <cell r="H312">
            <v>878.6850508</v>
          </cell>
          <cell r="I312">
            <v>418</v>
          </cell>
          <cell r="J312">
            <v>186.71949999999998</v>
          </cell>
          <cell r="K312">
            <v>1105.6600000000001</v>
          </cell>
          <cell r="L312">
            <v>407.96699999999998</v>
          </cell>
          <cell r="M312">
            <v>2046.16965</v>
          </cell>
          <cell r="N312">
            <v>1322.8</v>
          </cell>
          <cell r="O312">
            <v>150.12360000000001</v>
          </cell>
          <cell r="P312">
            <v>1616.8075749999998</v>
          </cell>
          <cell r="Q312">
            <v>2554.1227000000003</v>
          </cell>
          <cell r="R312">
            <v>881.87869000000001</v>
          </cell>
          <cell r="S312">
            <v>1177.7868473999999</v>
          </cell>
          <cell r="T312" t="str">
            <v xml:space="preserve">NA </v>
          </cell>
          <cell r="U312">
            <v>163.22624999999999</v>
          </cell>
          <cell r="V312">
            <v>2096.6757716000002</v>
          </cell>
          <cell r="W312">
            <v>878.6850508</v>
          </cell>
          <cell r="X312">
            <v>911.93533980000007</v>
          </cell>
          <cell r="Y312">
            <v>1839.0793712000002</v>
          </cell>
          <cell r="Z312" t="str">
            <v xml:space="preserve">NA </v>
          </cell>
          <cell r="AA312" t="str">
            <v xml:space="preserve">NA </v>
          </cell>
          <cell r="AB312" t="str">
            <v xml:space="preserve">NA </v>
          </cell>
          <cell r="AC312">
            <v>4709.4444999999987</v>
          </cell>
          <cell r="AD312" t="str">
            <v xml:space="preserve">NA </v>
          </cell>
          <cell r="AE312">
            <v>2467.6355199999998</v>
          </cell>
          <cell r="AF312">
            <v>3450</v>
          </cell>
          <cell r="AG312">
            <v>1304.6641950000001</v>
          </cell>
          <cell r="AH312">
            <v>2096.6757716000002</v>
          </cell>
          <cell r="AI312">
            <v>879.01550000000009</v>
          </cell>
          <cell r="AJ312" t="str">
            <v xml:space="preserve">NA </v>
          </cell>
          <cell r="AK312">
            <v>3935.0520495000001</v>
          </cell>
          <cell r="AL312">
            <v>52035.112500000003</v>
          </cell>
          <cell r="AM312">
            <v>1459.4851040000001</v>
          </cell>
          <cell r="AN312">
            <v>574.30956000000003</v>
          </cell>
          <cell r="AO312" t="str">
            <v xml:space="preserve">NA </v>
          </cell>
          <cell r="AP312">
            <v>2052.1066880000003</v>
          </cell>
          <cell r="AQ312" t="str">
            <v xml:space="preserve">NA </v>
          </cell>
          <cell r="AR312">
            <v>2052.1066880000003</v>
          </cell>
          <cell r="AS312">
            <v>1304.6641950000001</v>
          </cell>
          <cell r="AT312" t="str">
            <v xml:space="preserve">NA </v>
          </cell>
          <cell r="AU312">
            <v>62265.919999999998</v>
          </cell>
          <cell r="AV312">
            <v>62265.919999999998</v>
          </cell>
          <cell r="AW312" t="str">
            <v xml:space="preserve">NA </v>
          </cell>
          <cell r="AX312" t="str">
            <v xml:space="preserve">NA </v>
          </cell>
          <cell r="AY312" t="str">
            <v xml:space="preserve">NA </v>
          </cell>
          <cell r="AZ312" t="str">
            <v xml:space="preserve">NA </v>
          </cell>
          <cell r="BA312" t="str">
            <v xml:space="preserve">NA </v>
          </cell>
          <cell r="BB312" t="str">
            <v xml:space="preserve">NA </v>
          </cell>
          <cell r="BC312" t="str">
            <v xml:space="preserve">NA </v>
          </cell>
          <cell r="BD312" t="str">
            <v xml:space="preserve">NA </v>
          </cell>
          <cell r="BE312" t="str">
            <v xml:space="preserve">NA </v>
          </cell>
        </row>
        <row r="319">
          <cell r="H319">
            <v>0</v>
          </cell>
          <cell r="I319">
            <v>0</v>
          </cell>
          <cell r="J319">
            <v>0</v>
          </cell>
          <cell r="K319">
            <v>0</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row>
        <row r="322">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1018.396</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row>
        <row r="323">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88.572000000000003</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row>
        <row r="324">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9.9600000000000009</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row>
        <row r="325">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row>
        <row r="326">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98.532000000000011</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row>
        <row r="327">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98.532000000000011</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row>
        <row r="328">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57.956000000000003</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row>
        <row r="329">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1.7173674697010106</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row>
        <row r="333">
          <cell r="H333" t="e">
            <v>#DIV/0!</v>
          </cell>
          <cell r="I333" t="e">
            <v>#DIV/0!</v>
          </cell>
          <cell r="J333" t="e">
            <v>#DIV/0!</v>
          </cell>
          <cell r="K333" t="e">
            <v>#DIV/0!</v>
          </cell>
          <cell r="L333" t="e">
            <v>#DIV/0!</v>
          </cell>
          <cell r="M333" t="e">
            <v>#DIV/0!</v>
          </cell>
          <cell r="N333" t="e">
            <v>#DIV/0!</v>
          </cell>
          <cell r="O333" t="e">
            <v>#DIV/0!</v>
          </cell>
          <cell r="P333" t="e">
            <v>#DIV/0!</v>
          </cell>
          <cell r="Q333" t="e">
            <v>#DIV/0!</v>
          </cell>
          <cell r="R333" t="e">
            <v>#DIV/0!</v>
          </cell>
          <cell r="S333" t="e">
            <v>#DIV/0!</v>
          </cell>
          <cell r="T333" t="e">
            <v>#VALUE!</v>
          </cell>
          <cell r="U333">
            <v>3.3068320810763586E-2</v>
          </cell>
          <cell r="V333">
            <v>0.47698989924722007</v>
          </cell>
          <cell r="W333">
            <v>1.1277874807805904E-2</v>
          </cell>
          <cell r="X333">
            <v>1.0053782918395942</v>
          </cell>
          <cell r="Y333">
            <v>0</v>
          </cell>
          <cell r="Z333" t="e">
            <v>#N/A</v>
          </cell>
          <cell r="AA333">
            <v>0.48502187288828819</v>
          </cell>
          <cell r="AB333">
            <v>0.36984786218335464</v>
          </cell>
          <cell r="AC333">
            <v>0.63947481761564662</v>
          </cell>
          <cell r="AD333" t="e">
            <v>#N/A</v>
          </cell>
          <cell r="AE333">
            <v>0.3848782860908066</v>
          </cell>
          <cell r="AF333">
            <v>0.3629360002827155</v>
          </cell>
          <cell r="AG333">
            <v>0.88126700666416846</v>
          </cell>
          <cell r="AH333" t="e">
            <v>#DIV/0!</v>
          </cell>
          <cell r="AI333" t="e">
            <v>#DIV/0!</v>
          </cell>
          <cell r="AJ333" t="e">
            <v>#VALUE!</v>
          </cell>
          <cell r="AK333">
            <v>21.090308370044053</v>
          </cell>
          <cell r="AL333">
            <v>0.33343385605146769</v>
          </cell>
          <cell r="AM333">
            <v>0.55622296303024366</v>
          </cell>
          <cell r="AN333">
            <v>0.13773922256804186</v>
          </cell>
          <cell r="AO333" t="e">
            <v>#N/A</v>
          </cell>
          <cell r="AP333" t="e">
            <v>#DIV/0!</v>
          </cell>
          <cell r="AQ333" t="e">
            <v>#VALUE!</v>
          </cell>
          <cell r="AR333">
            <v>0</v>
          </cell>
          <cell r="AS333">
            <v>0.88126700666416846</v>
          </cell>
          <cell r="AT333" t="e">
            <v>#N/A</v>
          </cell>
          <cell r="AU333" t="e">
            <v>#DIV/0!</v>
          </cell>
          <cell r="AV333">
            <v>0.43445707843453052</v>
          </cell>
          <cell r="AW333" t="e">
            <v>#VALUE!</v>
          </cell>
          <cell r="AX333" t="e">
            <v>#VALUE!</v>
          </cell>
          <cell r="AY333" t="e">
            <v>#VALUE!</v>
          </cell>
          <cell r="AZ333" t="e">
            <v>#VALUE!</v>
          </cell>
          <cell r="BA333" t="e">
            <v>#VALUE!</v>
          </cell>
          <cell r="BB333" t="e">
            <v>#VALUE!</v>
          </cell>
          <cell r="BC333" t="e">
            <v>#VALUE!</v>
          </cell>
          <cell r="BD333" t="e">
            <v>#VALUE!</v>
          </cell>
          <cell r="BE333" t="e">
            <v>#VALUE!</v>
          </cell>
        </row>
        <row r="334">
          <cell r="H334" t="e">
            <v>#DIV/0!</v>
          </cell>
          <cell r="I334" t="e">
            <v>#DIV/0!</v>
          </cell>
          <cell r="J334" t="e">
            <v>#DIV/0!</v>
          </cell>
          <cell r="K334" t="e">
            <v>#DIV/0!</v>
          </cell>
          <cell r="L334" t="e">
            <v>#DIV/0!</v>
          </cell>
          <cell r="M334" t="e">
            <v>#DIV/0!</v>
          </cell>
          <cell r="N334" t="e">
            <v>#DIV/0!</v>
          </cell>
          <cell r="O334" t="e">
            <v>#DIV/0!</v>
          </cell>
          <cell r="P334" t="e">
            <v>#DIV/0!</v>
          </cell>
          <cell r="Q334" t="e">
            <v>#DIV/0!</v>
          </cell>
          <cell r="R334" t="e">
            <v>#DIV/0!</v>
          </cell>
          <cell r="S334" t="e">
            <v>#DIV/0!</v>
          </cell>
          <cell r="T334" t="e">
            <v>#VALUE!</v>
          </cell>
          <cell r="U334">
            <v>3.2009810139963631E-2</v>
          </cell>
          <cell r="V334">
            <v>0.32294729942996109</v>
          </cell>
          <cell r="W334">
            <v>1.1152102788711038E-2</v>
          </cell>
          <cell r="X334">
            <v>0.50134096690421948</v>
          </cell>
          <cell r="Y334">
            <v>0</v>
          </cell>
          <cell r="Z334" t="e">
            <v>#N/A</v>
          </cell>
          <cell r="AA334">
            <v>0.3266092451183541</v>
          </cell>
          <cell r="AB334">
            <v>0.26999192566820268</v>
          </cell>
          <cell r="AC334">
            <v>0.39004857576626906</v>
          </cell>
          <cell r="AD334" t="e">
            <v>#N/A</v>
          </cell>
          <cell r="AE334">
            <v>0.27791488245312129</v>
          </cell>
          <cell r="AF334">
            <v>0.26628983327715405</v>
          </cell>
          <cell r="AG334">
            <v>0.4684433435245412</v>
          </cell>
          <cell r="AH334" t="e">
            <v>#DIV/0!</v>
          </cell>
          <cell r="AI334" t="e">
            <v>#DIV/0!</v>
          </cell>
          <cell r="AJ334" t="e">
            <v>#VALUE!</v>
          </cell>
          <cell r="AK334">
            <v>0.95473127929005885</v>
          </cell>
          <cell r="AL334">
            <v>0.25005653976630232</v>
          </cell>
          <cell r="AM334">
            <v>0.35741855520958149</v>
          </cell>
          <cell r="AN334">
            <v>0.12106396600896339</v>
          </cell>
          <cell r="AO334" t="e">
            <v>#N/A</v>
          </cell>
          <cell r="AP334" t="e">
            <v>#DIV/0!</v>
          </cell>
          <cell r="AQ334" t="e">
            <v>#VALUE!</v>
          </cell>
          <cell r="AR334">
            <v>0</v>
          </cell>
          <cell r="AS334">
            <v>0.4684433435245412</v>
          </cell>
          <cell r="AT334" t="e">
            <v>#N/A</v>
          </cell>
          <cell r="AU334" t="e">
            <v>#DIV/0!</v>
          </cell>
          <cell r="AV334">
            <v>0.30287213536473856</v>
          </cell>
          <cell r="AW334" t="e">
            <v>#VALUE!</v>
          </cell>
          <cell r="AX334" t="e">
            <v>#VALUE!</v>
          </cell>
          <cell r="AY334" t="e">
            <v>#VALUE!</v>
          </cell>
          <cell r="AZ334" t="e">
            <v>#VALUE!</v>
          </cell>
          <cell r="BA334" t="e">
            <v>#VALUE!</v>
          </cell>
          <cell r="BB334" t="e">
            <v>#VALUE!</v>
          </cell>
          <cell r="BC334" t="e">
            <v>#VALUE!</v>
          </cell>
          <cell r="BD334" t="e">
            <v>#VALUE!</v>
          </cell>
          <cell r="BE334" t="e">
            <v>#VALUE!</v>
          </cell>
        </row>
        <row r="335">
          <cell r="H335">
            <v>0</v>
          </cell>
          <cell r="I335">
            <v>0</v>
          </cell>
          <cell r="J335">
            <v>0</v>
          </cell>
          <cell r="K335">
            <v>0</v>
          </cell>
          <cell r="L335">
            <v>0</v>
          </cell>
          <cell r="M335">
            <v>0</v>
          </cell>
          <cell r="N335">
            <v>0</v>
          </cell>
          <cell r="O335">
            <v>0</v>
          </cell>
          <cell r="P335">
            <v>0</v>
          </cell>
          <cell r="Q335">
            <v>0</v>
          </cell>
          <cell r="R335">
            <v>0</v>
          </cell>
          <cell r="S335">
            <v>0</v>
          </cell>
          <cell r="T335" t="e">
            <v>#VALUE!</v>
          </cell>
          <cell r="U335">
            <v>8.8588866269284829E-3</v>
          </cell>
          <cell r="V335">
            <v>0.15307732625778603</v>
          </cell>
          <cell r="W335">
            <v>1.1574160335215539E-2</v>
          </cell>
          <cell r="X335">
            <v>0.22820228024703099</v>
          </cell>
          <cell r="Y335">
            <v>0</v>
          </cell>
          <cell r="Z335" t="e">
            <v>#N/A</v>
          </cell>
          <cell r="AA335">
            <v>8.8481266666178393E-2</v>
          </cell>
          <cell r="AB335">
            <v>0.15095192856660783</v>
          </cell>
          <cell r="AC335">
            <v>0.40164981543094397</v>
          </cell>
          <cell r="AD335" t="e">
            <v>#N/A</v>
          </cell>
          <cell r="AE335">
            <v>0.22387679760513463</v>
          </cell>
          <cell r="AF335">
            <v>0.10775239109060843</v>
          </cell>
          <cell r="AG335">
            <v>0.26001184308563613</v>
          </cell>
          <cell r="AH335">
            <v>0</v>
          </cell>
          <cell r="AI335" t="e">
            <v>#DIV/0!</v>
          </cell>
          <cell r="AJ335" t="e">
            <v>#VALUE!</v>
          </cell>
          <cell r="AK335">
            <v>0.57221913452976436</v>
          </cell>
          <cell r="AL335">
            <v>0.13857194033093087</v>
          </cell>
          <cell r="AM335">
            <v>0.12063472892986141</v>
          </cell>
          <cell r="AN335">
            <v>0.16923387716085408</v>
          </cell>
          <cell r="AO335" t="e">
            <v>#N/A</v>
          </cell>
          <cell r="AP335" t="e">
            <v>#DIV/0!</v>
          </cell>
          <cell r="AQ335" t="e">
            <v>#VALUE!</v>
          </cell>
          <cell r="AR335">
            <v>0</v>
          </cell>
          <cell r="AS335">
            <v>0.50002277516468485</v>
          </cell>
          <cell r="AT335" t="e">
            <v>#N/A</v>
          </cell>
          <cell r="AU335" t="e">
            <v>#DIV/0!</v>
          </cell>
          <cell r="AV335">
            <v>9.0651199365535964E-2</v>
          </cell>
          <cell r="AW335" t="e">
            <v>#VALUE!</v>
          </cell>
          <cell r="AX335" t="e">
            <v>#VALUE!</v>
          </cell>
          <cell r="AY335" t="e">
            <v>#VALUE!</v>
          </cell>
          <cell r="AZ335" t="e">
            <v>#VALUE!</v>
          </cell>
          <cell r="BA335" t="e">
            <v>#VALUE!</v>
          </cell>
          <cell r="BB335" t="e">
            <v>#VALUE!</v>
          </cell>
          <cell r="BC335" t="e">
            <v>#VALUE!</v>
          </cell>
          <cell r="BD335" t="e">
            <v>#VALUE!</v>
          </cell>
          <cell r="BE335" t="e">
            <v>#VALUE!</v>
          </cell>
        </row>
        <row r="336">
          <cell r="H336" t="e">
            <v>#DIV/0!</v>
          </cell>
          <cell r="I336" t="e">
            <v>#DIV/0!</v>
          </cell>
          <cell r="J336" t="e">
            <v>#DIV/0!</v>
          </cell>
          <cell r="K336" t="e">
            <v>#DIV/0!</v>
          </cell>
          <cell r="L336" t="e">
            <v>#DIV/0!</v>
          </cell>
          <cell r="M336" t="e">
            <v>#DIV/0!</v>
          </cell>
          <cell r="N336" t="e">
            <v>#DIV/0!</v>
          </cell>
          <cell r="O336" t="e">
            <v>#DIV/0!</v>
          </cell>
          <cell r="P336" t="e">
            <v>#DIV/0!</v>
          </cell>
          <cell r="Q336" t="e">
            <v>#DIV/0!</v>
          </cell>
          <cell r="R336" t="e">
            <v>#DIV/0!</v>
          </cell>
          <cell r="S336" t="e">
            <v>#DIV/0!</v>
          </cell>
          <cell r="T336" t="e">
            <v>#DIV/0!</v>
          </cell>
          <cell r="U336">
            <v>-6.082077051926297</v>
          </cell>
          <cell r="V336">
            <v>213.01112877583466</v>
          </cell>
          <cell r="W336">
            <v>13.896939726316541</v>
          </cell>
          <cell r="X336">
            <v>6.230862602294529</v>
          </cell>
          <cell r="Y336" t="e">
            <v>#DIV/0!</v>
          </cell>
          <cell r="Z336">
            <v>2.2921025796672843</v>
          </cell>
          <cell r="AA336">
            <v>8.0582519110751996</v>
          </cell>
          <cell r="AB336">
            <v>4.0286063574090729</v>
          </cell>
          <cell r="AC336">
            <v>7.1056276516096846</v>
          </cell>
          <cell r="AD336" t="e">
            <v>#DIV/0!</v>
          </cell>
          <cell r="AE336">
            <v>2.6400159638153511</v>
          </cell>
          <cell r="AF336">
            <v>11.833591515729267</v>
          </cell>
          <cell r="AG336">
            <v>8.8584567070435174</v>
          </cell>
          <cell r="AH336" t="e">
            <v>#DIV/0!</v>
          </cell>
          <cell r="AI336">
            <v>-0.13712742548509654</v>
          </cell>
          <cell r="AJ336">
            <v>10.242457519361924</v>
          </cell>
          <cell r="AK336">
            <v>3.2163009404388712</v>
          </cell>
          <cell r="AL336">
            <v>8.6789667896678964</v>
          </cell>
          <cell r="AM336">
            <v>17.576351106274934</v>
          </cell>
          <cell r="AN336">
            <v>32.076923076923066</v>
          </cell>
          <cell r="AO336" t="e">
            <v>#DIV/0!</v>
          </cell>
          <cell r="AP336">
            <v>13.890128512921903</v>
          </cell>
          <cell r="AQ336">
            <v>84.798492366412205</v>
          </cell>
          <cell r="AR336">
            <v>31.495881862703154</v>
          </cell>
          <cell r="AS336">
            <v>8.8584567070435192</v>
          </cell>
          <cell r="AT336" t="e">
            <v>#DIV/0!</v>
          </cell>
          <cell r="AU336">
            <v>14.664827586206901</v>
          </cell>
          <cell r="AV336">
            <v>14.292585904251965</v>
          </cell>
          <cell r="AW336" t="e">
            <v>#DIV/0!</v>
          </cell>
          <cell r="AX336" t="e">
            <v>#DIV/0!</v>
          </cell>
          <cell r="AY336" t="e">
            <v>#DIV/0!</v>
          </cell>
          <cell r="AZ336" t="e">
            <v>#DIV/0!</v>
          </cell>
          <cell r="BA336" t="e">
            <v>#DIV/0!</v>
          </cell>
          <cell r="BB336" t="e">
            <v>#DIV/0!</v>
          </cell>
          <cell r="BC336" t="e">
            <v>#DIV/0!</v>
          </cell>
          <cell r="BD336" t="e">
            <v>#DIV/0!</v>
          </cell>
          <cell r="BE336" t="e">
            <v>#DIV/0!</v>
          </cell>
        </row>
        <row r="337">
          <cell r="H337" t="e">
            <v>#DIV/0!</v>
          </cell>
          <cell r="I337" t="e">
            <v>#DIV/0!</v>
          </cell>
          <cell r="J337" t="e">
            <v>#DIV/0!</v>
          </cell>
          <cell r="K337" t="e">
            <v>#DIV/0!</v>
          </cell>
          <cell r="L337" t="e">
            <v>#DIV/0!</v>
          </cell>
          <cell r="M337" t="e">
            <v>#DIV/0!</v>
          </cell>
          <cell r="N337" t="e">
            <v>#DIV/0!</v>
          </cell>
          <cell r="O337" t="e">
            <v>#DIV/0!</v>
          </cell>
          <cell r="P337" t="e">
            <v>#DIV/0!</v>
          </cell>
          <cell r="Q337" t="e">
            <v>#DIV/0!</v>
          </cell>
          <cell r="R337" t="e">
            <v>#DIV/0!</v>
          </cell>
          <cell r="S337" t="e">
            <v>#DIV/0!</v>
          </cell>
          <cell r="T337" t="e">
            <v>#DIV/0!</v>
          </cell>
          <cell r="U337">
            <v>12.788107202680068</v>
          </cell>
          <cell r="V337">
            <v>183.0643879173291</v>
          </cell>
          <cell r="W337">
            <v>10.900300996522862</v>
          </cell>
          <cell r="X337">
            <v>3.3893652844668929</v>
          </cell>
          <cell r="Y337" t="e">
            <v>#DIV/0!</v>
          </cell>
          <cell r="Z337">
            <v>1.907295578162679</v>
          </cell>
          <cell r="AA337">
            <v>7.5281797208075956</v>
          </cell>
          <cell r="AB337">
            <v>3.7580260982298852</v>
          </cell>
          <cell r="AC337">
            <v>6.7022086348889447</v>
          </cell>
          <cell r="AD337" t="e">
            <v>#DIV/0!</v>
          </cell>
          <cell r="AE337">
            <v>1.1162032725821469</v>
          </cell>
          <cell r="AF337">
            <v>8.4041348903717843</v>
          </cell>
          <cell r="AG337">
            <v>4.0978764767459248</v>
          </cell>
          <cell r="AH337" t="e">
            <v>#DIV/0!</v>
          </cell>
          <cell r="AI337">
            <v>0.65279722611188939</v>
          </cell>
          <cell r="AJ337">
            <v>9.1291950834200293</v>
          </cell>
          <cell r="AK337">
            <v>2.7774294670846396</v>
          </cell>
          <cell r="AL337">
            <v>7.4086715867158661</v>
          </cell>
          <cell r="AM337">
            <v>10.940938217869663</v>
          </cell>
          <cell r="AN337">
            <v>-38.282051282051306</v>
          </cell>
          <cell r="AO337" t="e">
            <v>#DIV/0!</v>
          </cell>
          <cell r="AP337">
            <v>12.057760203361106</v>
          </cell>
          <cell r="AQ337">
            <v>82.002246183206111</v>
          </cell>
          <cell r="AR337">
            <v>28.103792256201871</v>
          </cell>
          <cell r="AS337">
            <v>4.0978764767459266</v>
          </cell>
          <cell r="AT337" t="e">
            <v>#DIV/0!</v>
          </cell>
          <cell r="AU337">
            <v>12.647586206896555</v>
          </cell>
          <cell r="AV337">
            <v>12.017288191243516</v>
          </cell>
          <cell r="AW337" t="e">
            <v>#DIV/0!</v>
          </cell>
          <cell r="AX337" t="e">
            <v>#DIV/0!</v>
          </cell>
          <cell r="AY337" t="e">
            <v>#DIV/0!</v>
          </cell>
          <cell r="AZ337" t="e">
            <v>#DIV/0!</v>
          </cell>
          <cell r="BA337" t="e">
            <v>#DIV/0!</v>
          </cell>
          <cell r="BB337" t="e">
            <v>#DIV/0!</v>
          </cell>
          <cell r="BC337" t="e">
            <v>#DIV/0!</v>
          </cell>
          <cell r="BD337" t="e">
            <v>#DIV/0!</v>
          </cell>
          <cell r="BE337" t="e">
            <v>#DIV/0!</v>
          </cell>
        </row>
        <row r="338">
          <cell r="H338" t="str">
            <v xml:space="preserve">NA </v>
          </cell>
          <cell r="I338" t="str">
            <v xml:space="preserve">NA </v>
          </cell>
          <cell r="J338" t="str">
            <v xml:space="preserve">NA </v>
          </cell>
          <cell r="K338" t="str">
            <v xml:space="preserve">NA </v>
          </cell>
          <cell r="L338" t="str">
            <v xml:space="preserve">NA </v>
          </cell>
          <cell r="M338" t="str">
            <v xml:space="preserve">NA </v>
          </cell>
          <cell r="N338" t="str">
            <v xml:space="preserve">NA </v>
          </cell>
          <cell r="O338" t="str">
            <v xml:space="preserve">NA </v>
          </cell>
          <cell r="P338" t="str">
            <v xml:space="preserve">NA </v>
          </cell>
          <cell r="Q338" t="str">
            <v xml:space="preserve">NA </v>
          </cell>
          <cell r="R338" t="str">
            <v xml:space="preserve">NA </v>
          </cell>
          <cell r="S338" t="str">
            <v xml:space="preserve">NA </v>
          </cell>
          <cell r="T338" t="str">
            <v xml:space="preserve">NA </v>
          </cell>
          <cell r="U338">
            <v>0.41696502340952912</v>
          </cell>
          <cell r="V338">
            <v>0.85842327456111855</v>
          </cell>
          <cell r="W338">
            <v>0.1540055218861287</v>
          </cell>
          <cell r="X338">
            <v>2.418952091011056</v>
          </cell>
          <cell r="Y338">
            <v>0</v>
          </cell>
          <cell r="Z338" t="e">
            <v>#N/A</v>
          </cell>
          <cell r="AA338">
            <v>1.3494587266718119</v>
          </cell>
          <cell r="AB338">
            <v>1.6634942416995746</v>
          </cell>
          <cell r="AC338">
            <v>2.1250076829193336</v>
          </cell>
          <cell r="AD338" t="str">
            <v xml:space="preserve">NA </v>
          </cell>
          <cell r="AE338">
            <v>3.2496230437269276</v>
          </cell>
          <cell r="AF338">
            <v>1.3705101447109251</v>
          </cell>
          <cell r="AG338">
            <v>1.861696268759466</v>
          </cell>
          <cell r="AH338">
            <v>0</v>
          </cell>
          <cell r="AI338" t="e">
            <v>#DIV/0!</v>
          </cell>
          <cell r="AJ338" t="e">
            <v>#VALUE!</v>
          </cell>
          <cell r="AK338">
            <v>3.1107862248213132</v>
          </cell>
          <cell r="AL338">
            <v>1.4102891156462587</v>
          </cell>
          <cell r="AM338">
            <v>1.5411352786605583</v>
          </cell>
          <cell r="AN338">
            <v>16.747181964573283</v>
          </cell>
          <cell r="AO338" t="str">
            <v xml:space="preserve">NA </v>
          </cell>
          <cell r="AP338" t="e">
            <v>#DIV/0!</v>
          </cell>
          <cell r="AQ338" t="e">
            <v>#VALUE!</v>
          </cell>
          <cell r="AR338">
            <v>0</v>
          </cell>
          <cell r="AS338">
            <v>1.8616962687594658</v>
          </cell>
          <cell r="AT338" t="e">
            <v>#N/A</v>
          </cell>
          <cell r="AU338" t="e">
            <v>#DIV/0!</v>
          </cell>
          <cell r="AV338">
            <v>1.1931299833650095</v>
          </cell>
          <cell r="AW338" t="str">
            <v xml:space="preserve">NA </v>
          </cell>
          <cell r="AX338" t="str">
            <v xml:space="preserve">NA </v>
          </cell>
          <cell r="AY338" t="str">
            <v xml:space="preserve">NA </v>
          </cell>
          <cell r="AZ338" t="str">
            <v xml:space="preserve">NA </v>
          </cell>
          <cell r="BA338" t="str">
            <v xml:space="preserve">NA </v>
          </cell>
          <cell r="BB338" t="str">
            <v xml:space="preserve">NA </v>
          </cell>
          <cell r="BC338" t="str">
            <v xml:space="preserve">NA </v>
          </cell>
          <cell r="BD338" t="str">
            <v xml:space="preserve">NA </v>
          </cell>
          <cell r="BE338" t="str">
            <v xml:space="preserve">NA </v>
          </cell>
        </row>
        <row r="339">
          <cell r="H339" t="e">
            <v>#DIV/0!</v>
          </cell>
          <cell r="I339" t="e">
            <v>#DIV/0!</v>
          </cell>
          <cell r="J339" t="e">
            <v>#DIV/0!</v>
          </cell>
          <cell r="K339" t="e">
            <v>#DIV/0!</v>
          </cell>
          <cell r="L339" t="e">
            <v>#DIV/0!</v>
          </cell>
          <cell r="M339" t="e">
            <v>#DIV/0!</v>
          </cell>
          <cell r="N339" t="e">
            <v>#DIV/0!</v>
          </cell>
          <cell r="O339" t="e">
            <v>#DIV/0!</v>
          </cell>
          <cell r="P339" t="e">
            <v>#DIV/0!</v>
          </cell>
          <cell r="Q339" t="e">
            <v>#DIV/0!</v>
          </cell>
          <cell r="R339" t="e">
            <v>#DIV/0!</v>
          </cell>
          <cell r="S339" t="e">
            <v>#DIV/0!</v>
          </cell>
          <cell r="T339" t="e">
            <v>#VALUE!</v>
          </cell>
          <cell r="U339">
            <v>3.7433088971579043E-2</v>
          </cell>
          <cell r="V339">
            <v>0.47698989924722007</v>
          </cell>
          <cell r="W339">
            <v>3.3339900235620445E-2</v>
          </cell>
          <cell r="X339">
            <v>1.0871996220610349</v>
          </cell>
          <cell r="Y339">
            <v>0</v>
          </cell>
          <cell r="Z339" t="e">
            <v>#N/A</v>
          </cell>
          <cell r="AA339">
            <v>0.55246070855053886</v>
          </cell>
          <cell r="AB339">
            <v>1.0124909590921907</v>
          </cell>
          <cell r="AC339">
            <v>1.3435201376745218</v>
          </cell>
          <cell r="AD339" t="e">
            <v>#N/A</v>
          </cell>
          <cell r="AE339">
            <v>0.5047323707077559</v>
          </cell>
          <cell r="AF339">
            <v>0.61969159029636589</v>
          </cell>
          <cell r="AG339">
            <v>2.1141382949614984</v>
          </cell>
          <cell r="AH339" t="e">
            <v>#DIV/0!</v>
          </cell>
          <cell r="AI339" t="e">
            <v>#DIV/0!</v>
          </cell>
          <cell r="AJ339" t="e">
            <v>#VALUE!</v>
          </cell>
          <cell r="AK339">
            <v>21.090308370044053</v>
          </cell>
          <cell r="AL339">
            <v>0.44154547572298591</v>
          </cell>
          <cell r="AM339">
            <v>0.66090951676104215</v>
          </cell>
          <cell r="AN339">
            <v>0.22972256582435063</v>
          </cell>
          <cell r="AO339" t="e">
            <v>#N/A</v>
          </cell>
          <cell r="AP339" t="e">
            <v>#DIV/0!</v>
          </cell>
          <cell r="AQ339" t="e">
            <v>#VALUE!</v>
          </cell>
          <cell r="AR339">
            <v>0</v>
          </cell>
          <cell r="AS339">
            <v>2.1141382949614984</v>
          </cell>
          <cell r="AT339" t="e">
            <v>#N/A</v>
          </cell>
          <cell r="AU339" t="e">
            <v>#DIV/0!</v>
          </cell>
          <cell r="AV339">
            <v>0.55786835927749412</v>
          </cell>
          <cell r="AW339" t="e">
            <v>#VALUE!</v>
          </cell>
          <cell r="AX339" t="e">
            <v>#VALUE!</v>
          </cell>
          <cell r="AY339" t="e">
            <v>#VALUE!</v>
          </cell>
          <cell r="AZ339" t="e">
            <v>#VALUE!</v>
          </cell>
          <cell r="BA339" t="e">
            <v>#VALUE!</v>
          </cell>
          <cell r="BB339" t="e">
            <v>#VALUE!</v>
          </cell>
          <cell r="BC339" t="e">
            <v>#VALUE!</v>
          </cell>
          <cell r="BD339" t="e">
            <v>#VALUE!</v>
          </cell>
          <cell r="BE339" t="e">
            <v>#VALUE!</v>
          </cell>
        </row>
        <row r="340">
          <cell r="H340" t="e">
            <v>#DIV/0!</v>
          </cell>
          <cell r="I340" t="e">
            <v>#DIV/0!</v>
          </cell>
          <cell r="J340" t="e">
            <v>#DIV/0!</v>
          </cell>
          <cell r="K340" t="e">
            <v>#DIV/0!</v>
          </cell>
          <cell r="L340" t="e">
            <v>#DIV/0!</v>
          </cell>
          <cell r="M340" t="e">
            <v>#DIV/0!</v>
          </cell>
          <cell r="N340" t="e">
            <v>#DIV/0!</v>
          </cell>
          <cell r="O340" t="e">
            <v>#DIV/0!</v>
          </cell>
          <cell r="P340" t="e">
            <v>#DIV/0!</v>
          </cell>
          <cell r="Q340" t="e">
            <v>#DIV/0!</v>
          </cell>
          <cell r="R340" t="e">
            <v>#DIV/0!</v>
          </cell>
          <cell r="S340" t="e">
            <v>#DIV/0!</v>
          </cell>
          <cell r="T340" t="e">
            <v>#DIV/0!</v>
          </cell>
          <cell r="U340">
            <v>4.0200421940928273</v>
          </cell>
          <cell r="V340" t="e">
            <v>#DIV/0!</v>
          </cell>
          <cell r="W340">
            <v>5.6952372302296492</v>
          </cell>
          <cell r="X340">
            <v>2.8304906039887427</v>
          </cell>
          <cell r="Y340">
            <v>2.2835275535531014</v>
          </cell>
          <cell r="Z340">
            <v>1.5380873546448712</v>
          </cell>
          <cell r="AA340">
            <v>1.4892992008550388</v>
          </cell>
          <cell r="AB340">
            <v>1.3696250405354029</v>
          </cell>
          <cell r="AC340">
            <v>2.0086264742186053</v>
          </cell>
          <cell r="AD340" t="e">
            <v>#DIV/0!</v>
          </cell>
          <cell r="AE340">
            <v>2.2765672158022165</v>
          </cell>
          <cell r="AF340">
            <v>2.4742130240152145</v>
          </cell>
          <cell r="AG340">
            <v>1.8503578399479506</v>
          </cell>
          <cell r="AH340" t="e">
            <v>#DIV/0!</v>
          </cell>
          <cell r="AI340" t="e">
            <v>#DIV/0!</v>
          </cell>
          <cell r="AJ340">
            <v>3.1035400277649234</v>
          </cell>
          <cell r="AK340" t="e">
            <v>#DIV/0!</v>
          </cell>
          <cell r="AL340">
            <v>1.3618488186504096</v>
          </cell>
          <cell r="AM340">
            <v>1.8294232612189767</v>
          </cell>
          <cell r="AN340">
            <v>2.2295276760075255</v>
          </cell>
          <cell r="AO340" t="e">
            <v>#DIV/0!</v>
          </cell>
          <cell r="AP340" t="e">
            <v>#DIV/0!</v>
          </cell>
          <cell r="AQ340" t="e">
            <v>#DIV/0!</v>
          </cell>
          <cell r="AR340">
            <v>2.9700975044125459</v>
          </cell>
          <cell r="AS340">
            <v>1.8503578399479506</v>
          </cell>
          <cell r="AT340">
            <v>1.8976949526679969</v>
          </cell>
          <cell r="AU340">
            <v>1.8288507835231218</v>
          </cell>
          <cell r="AV340">
            <v>1.8297310823382411</v>
          </cell>
          <cell r="AW340" t="e">
            <v>#DIV/0!</v>
          </cell>
          <cell r="AX340" t="e">
            <v>#DIV/0!</v>
          </cell>
          <cell r="AY340" t="e">
            <v>#DIV/0!</v>
          </cell>
          <cell r="AZ340" t="e">
            <v>#DIV/0!</v>
          </cell>
          <cell r="BA340" t="e">
            <v>#DIV/0!</v>
          </cell>
          <cell r="BB340" t="e">
            <v>#DIV/0!</v>
          </cell>
          <cell r="BC340" t="e">
            <v>#DIV/0!</v>
          </cell>
          <cell r="BD340" t="e">
            <v>#DIV/0!</v>
          </cell>
          <cell r="BE340" t="e">
            <v>#DIV/0!</v>
          </cell>
        </row>
        <row r="341">
          <cell r="H341" t="e">
            <v>#DIV/0!</v>
          </cell>
          <cell r="I341" t="e">
            <v>#DIV/0!</v>
          </cell>
          <cell r="J341" t="e">
            <v>#DIV/0!</v>
          </cell>
          <cell r="K341" t="e">
            <v>#DIV/0!</v>
          </cell>
          <cell r="L341" t="e">
            <v>#DIV/0!</v>
          </cell>
          <cell r="M341" t="e">
            <v>#DIV/0!</v>
          </cell>
          <cell r="N341" t="e">
            <v>#DIV/0!</v>
          </cell>
          <cell r="O341" t="e">
            <v>#DIV/0!</v>
          </cell>
          <cell r="P341" t="e">
            <v>#DIV/0!</v>
          </cell>
          <cell r="Q341" t="e">
            <v>#DIV/0!</v>
          </cell>
          <cell r="R341" t="e">
            <v>#DIV/0!</v>
          </cell>
          <cell r="S341" t="e">
            <v>#DIV/0!</v>
          </cell>
          <cell r="T341" t="e">
            <v>#DIV/0!</v>
          </cell>
          <cell r="U341">
            <v>3.2170735382760696</v>
          </cell>
          <cell r="V341" t="e">
            <v>#DIV/0!</v>
          </cell>
          <cell r="W341">
            <v>4.9949836164073469</v>
          </cell>
          <cell r="X341">
            <v>2.1273348094438629</v>
          </cell>
          <cell r="Y341">
            <v>1.7665354072801644</v>
          </cell>
          <cell r="Z341">
            <v>0.60121301059237708</v>
          </cell>
          <cell r="AA341">
            <v>0.42069106544481916</v>
          </cell>
          <cell r="AB341">
            <v>0.44119745773135927</v>
          </cell>
          <cell r="AC341">
            <v>1.0545726664475989</v>
          </cell>
          <cell r="AD341" t="e">
            <v>#DIV/0!</v>
          </cell>
          <cell r="AE341">
            <v>1.2656697890163415</v>
          </cell>
          <cell r="AF341">
            <v>1.4248847981388282</v>
          </cell>
          <cell r="AG341">
            <v>1.4328853790411236</v>
          </cell>
          <cell r="AH341" t="e">
            <v>#DIV/0!</v>
          </cell>
          <cell r="AI341" t="e">
            <v>#DIV/0!</v>
          </cell>
          <cell r="AJ341">
            <v>2.5559283253637717</v>
          </cell>
          <cell r="AK341" t="e">
            <v>#DIV/0!</v>
          </cell>
          <cell r="AL341">
            <v>0.52195243203642172</v>
          </cell>
          <cell r="AM341">
            <v>0.64992215070315917</v>
          </cell>
          <cell r="AN341">
            <v>1.8742779813182824</v>
          </cell>
          <cell r="AO341" t="e">
            <v>#DIV/0!</v>
          </cell>
          <cell r="AP341" t="e">
            <v>#DIV/0!</v>
          </cell>
          <cell r="AQ341" t="e">
            <v>#DIV/0!</v>
          </cell>
          <cell r="AR341">
            <v>2.0066202468740895</v>
          </cell>
          <cell r="AS341">
            <v>1.4328853790411236</v>
          </cell>
          <cell r="AT341">
            <v>1.7320117162626822</v>
          </cell>
          <cell r="AU341">
            <v>0.53315019126530494</v>
          </cell>
          <cell r="AV341">
            <v>0.55858268960242297</v>
          </cell>
          <cell r="AW341" t="e">
            <v>#DIV/0!</v>
          </cell>
          <cell r="AX341" t="e">
            <v>#DIV/0!</v>
          </cell>
          <cell r="AY341" t="e">
            <v>#DIV/0!</v>
          </cell>
          <cell r="AZ341" t="e">
            <v>#DIV/0!</v>
          </cell>
          <cell r="BA341" t="e">
            <v>#DIV/0!</v>
          </cell>
          <cell r="BB341" t="e">
            <v>#DIV/0!</v>
          </cell>
          <cell r="BC341" t="e">
            <v>#DIV/0!</v>
          </cell>
          <cell r="BD341" t="e">
            <v>#DIV/0!</v>
          </cell>
          <cell r="BE341" t="e">
            <v>#DIV/0!</v>
          </cell>
        </row>
        <row r="342">
          <cell r="H342" t="e">
            <v>#DIV/0!</v>
          </cell>
          <cell r="I342" t="e">
            <v>#DIV/0!</v>
          </cell>
          <cell r="J342" t="e">
            <v>#DIV/0!</v>
          </cell>
          <cell r="K342" t="e">
            <v>#DIV/0!</v>
          </cell>
          <cell r="L342" t="e">
            <v>#DIV/0!</v>
          </cell>
          <cell r="M342" t="e">
            <v>#DIV/0!</v>
          </cell>
          <cell r="N342" t="e">
            <v>#DIV/0!</v>
          </cell>
          <cell r="O342" t="e">
            <v>#DIV/0!</v>
          </cell>
          <cell r="P342" t="e">
            <v>#DIV/0!</v>
          </cell>
          <cell r="Q342" t="e">
            <v>#DIV/0!</v>
          </cell>
          <cell r="R342" t="e">
            <v>#DIV/0!</v>
          </cell>
          <cell r="S342" t="e">
            <v>#DIV/0!</v>
          </cell>
          <cell r="T342" t="e">
            <v>#DIV/0!</v>
          </cell>
          <cell r="U342">
            <v>75.504919925699056</v>
          </cell>
          <cell r="V342">
            <v>142.41876821444865</v>
          </cell>
          <cell r="W342">
            <v>60.599368063918767</v>
          </cell>
          <cell r="X342">
            <v>84.677561636395907</v>
          </cell>
          <cell r="Y342">
            <v>56.086920178780403</v>
          </cell>
          <cell r="Z342">
            <v>29.462047185628659</v>
          </cell>
          <cell r="AA342">
            <v>18.536786684089705</v>
          </cell>
          <cell r="AB342">
            <v>19.982262486254637</v>
          </cell>
          <cell r="AC342">
            <v>34.465296957431732</v>
          </cell>
          <cell r="AD342" t="e">
            <v>#DIV/0!</v>
          </cell>
          <cell r="AE342">
            <v>46.48769066035603</v>
          </cell>
          <cell r="AF342">
            <v>49.821284493886708</v>
          </cell>
          <cell r="AG342">
            <v>75.604776788915729</v>
          </cell>
          <cell r="AH342">
            <v>0</v>
          </cell>
          <cell r="AI342">
            <v>0</v>
          </cell>
          <cell r="AJ342">
            <v>88.100132337759732</v>
          </cell>
          <cell r="AK342">
            <v>0</v>
          </cell>
          <cell r="AL342">
            <v>37.06854479672689</v>
          </cell>
          <cell r="AM342">
            <v>56.152798726860979</v>
          </cell>
          <cell r="AN342">
            <v>46.245399669415441</v>
          </cell>
          <cell r="AO342" t="e">
            <v>#DIV/0!</v>
          </cell>
          <cell r="AP342">
            <v>0</v>
          </cell>
          <cell r="AQ342">
            <v>0</v>
          </cell>
          <cell r="AR342">
            <v>57.490491286528034</v>
          </cell>
          <cell r="AS342">
            <v>75.604776788915729</v>
          </cell>
          <cell r="AT342">
            <v>113.07913033368213</v>
          </cell>
          <cell r="AU342">
            <v>21.585394576367626</v>
          </cell>
          <cell r="AV342">
            <v>23.028541826063112</v>
          </cell>
          <cell r="AW342" t="e">
            <v>#DIV/0!</v>
          </cell>
          <cell r="AX342" t="e">
            <v>#DIV/0!</v>
          </cell>
          <cell r="AY342" t="e">
            <v>#DIV/0!</v>
          </cell>
          <cell r="AZ342" t="e">
            <v>#DIV/0!</v>
          </cell>
          <cell r="BA342" t="e">
            <v>#DIV/0!</v>
          </cell>
          <cell r="BB342" t="e">
            <v>#DIV/0!</v>
          </cell>
          <cell r="BC342" t="e">
            <v>#DIV/0!</v>
          </cell>
          <cell r="BD342" t="e">
            <v>#DIV/0!</v>
          </cell>
          <cell r="BE342" t="e">
            <v>#DIV/0!</v>
          </cell>
        </row>
        <row r="343">
          <cell r="H343" t="e">
            <v>#DIV/0!</v>
          </cell>
          <cell r="I343" t="e">
            <v>#DIV/0!</v>
          </cell>
          <cell r="J343" t="e">
            <v>#DIV/0!</v>
          </cell>
          <cell r="K343" t="e">
            <v>#DIV/0!</v>
          </cell>
          <cell r="L343" t="e">
            <v>#DIV/0!</v>
          </cell>
          <cell r="M343" t="e">
            <v>#DIV/0!</v>
          </cell>
          <cell r="N343" t="e">
            <v>#DIV/0!</v>
          </cell>
          <cell r="O343" t="e">
            <v>#DIV/0!</v>
          </cell>
          <cell r="P343">
            <v>0</v>
          </cell>
          <cell r="Q343" t="e">
            <v>#DIV/0!</v>
          </cell>
          <cell r="R343" t="e">
            <v>#DIV/0!</v>
          </cell>
          <cell r="S343" t="e">
            <v>#DIV/0!</v>
          </cell>
          <cell r="T343" t="e">
            <v>#DIV/0!</v>
          </cell>
          <cell r="U343">
            <v>2.4640100347356237</v>
          </cell>
          <cell r="V343" t="e">
            <v>#DIV/0!</v>
          </cell>
          <cell r="W343">
            <v>3.1927330194661949</v>
          </cell>
          <cell r="X343">
            <v>3.2764916894471545</v>
          </cell>
          <cell r="Y343">
            <v>11.303457791293573</v>
          </cell>
          <cell r="Z343">
            <v>7.1802045814174118</v>
          </cell>
          <cell r="AA343">
            <v>6.5265433661401726</v>
          </cell>
          <cell r="AB343">
            <v>6.7426007246327542</v>
          </cell>
          <cell r="AC343">
            <v>9.9703764377630222</v>
          </cell>
          <cell r="AD343" t="e">
            <v>#DIV/0!</v>
          </cell>
          <cell r="AE343">
            <v>8.030446782315428</v>
          </cell>
          <cell r="AF343">
            <v>6.4442341471385198</v>
          </cell>
          <cell r="AG343">
            <v>17.644835738734606</v>
          </cell>
          <cell r="AH343" t="e">
            <v>#DIV/0!</v>
          </cell>
          <cell r="AI343" t="e">
            <v>#DIV/0!</v>
          </cell>
          <cell r="AJ343">
            <v>12.415881197839962</v>
          </cell>
          <cell r="AK343" t="e">
            <v>#DIV/0!</v>
          </cell>
          <cell r="AL343">
            <v>5.237854073139169</v>
          </cell>
          <cell r="AM343">
            <v>1.3073320737173884</v>
          </cell>
          <cell r="AN343">
            <v>26.89027222893246</v>
          </cell>
          <cell r="AO343" t="e">
            <v>#DIV/0!</v>
          </cell>
          <cell r="AP343" t="e">
            <v>#DIV/0!</v>
          </cell>
          <cell r="AQ343" t="e">
            <v>#DIV/0!</v>
          </cell>
          <cell r="AR343">
            <v>5.8227891776362162</v>
          </cell>
          <cell r="AS343">
            <v>17.644835738734603</v>
          </cell>
          <cell r="AT343" t="e">
            <v>#DIV/0!</v>
          </cell>
          <cell r="AU343">
            <v>4.9258162490508726</v>
          </cell>
          <cell r="AV343">
            <v>4.990171164183522</v>
          </cell>
          <cell r="AW343" t="e">
            <v>#DIV/0!</v>
          </cell>
          <cell r="AX343" t="e">
            <v>#DIV/0!</v>
          </cell>
          <cell r="AY343" t="e">
            <v>#DIV/0!</v>
          </cell>
          <cell r="AZ343" t="e">
            <v>#DIV/0!</v>
          </cell>
          <cell r="BA343" t="e">
            <v>#DIV/0!</v>
          </cell>
          <cell r="BB343" t="e">
            <v>#DIV/0!</v>
          </cell>
          <cell r="BC343" t="e">
            <v>#DIV/0!</v>
          </cell>
          <cell r="BD343" t="e">
            <v>#DIV/0!</v>
          </cell>
          <cell r="BE343" t="e">
            <v>#DIV/0!</v>
          </cell>
        </row>
        <row r="344">
          <cell r="H344" t="e">
            <v>#DIV/0!</v>
          </cell>
          <cell r="I344" t="e">
            <v>#DIV/0!</v>
          </cell>
          <cell r="J344" t="e">
            <v>#DIV/0!</v>
          </cell>
          <cell r="K344" t="e">
            <v>#DIV/0!</v>
          </cell>
          <cell r="L344" t="e">
            <v>#DIV/0!</v>
          </cell>
          <cell r="M344" t="e">
            <v>#DIV/0!</v>
          </cell>
          <cell r="N344" t="e">
            <v>#DIV/0!</v>
          </cell>
          <cell r="O344" t="e">
            <v>#DIV/0!</v>
          </cell>
          <cell r="P344" t="e">
            <v>#DIV/0!</v>
          </cell>
          <cell r="Q344" t="e">
            <v>#DIV/0!</v>
          </cell>
          <cell r="R344" t="e">
            <v>#DIV/0!</v>
          </cell>
          <cell r="S344" t="e">
            <v>#DIV/0!</v>
          </cell>
          <cell r="T344" t="e">
            <v>#DIV/0!</v>
          </cell>
          <cell r="U344">
            <v>0.7386435272740759</v>
          </cell>
          <cell r="V344">
            <v>0.92904526134020449</v>
          </cell>
          <cell r="W344">
            <v>0.2775433408763463</v>
          </cell>
          <cell r="X344">
            <v>0.69034370736707718</v>
          </cell>
          <cell r="Y344">
            <v>2.206651487093291</v>
          </cell>
          <cell r="Z344">
            <v>3.7525759419016209</v>
          </cell>
          <cell r="AA344">
            <v>4.6171477009249502</v>
          </cell>
          <cell r="AB344">
            <v>3.5520666129633733</v>
          </cell>
          <cell r="AC344">
            <v>3.8670764498645527</v>
          </cell>
          <cell r="AD344" t="e">
            <v>#DIV/0!</v>
          </cell>
          <cell r="AE344">
            <v>2.6532207284501412</v>
          </cell>
          <cell r="AF344">
            <v>1.9941986332386166</v>
          </cell>
          <cell r="AG344">
            <v>1.3607427011075575</v>
          </cell>
          <cell r="AH344" t="e">
            <v>#DIV/0!</v>
          </cell>
          <cell r="AI344" t="e">
            <v>#DIV/0!</v>
          </cell>
          <cell r="AJ344">
            <v>1.6570307614330961</v>
          </cell>
          <cell r="AK344" t="e">
            <v>#DIV/0!</v>
          </cell>
          <cell r="AL344">
            <v>2.7534700401120342</v>
          </cell>
          <cell r="AM344">
            <v>0.81917305296144882</v>
          </cell>
          <cell r="AN344">
            <v>3.1049413054573636</v>
          </cell>
          <cell r="AO344" t="e">
            <v>#DIV/0!</v>
          </cell>
          <cell r="AP344" t="e">
            <v>#DIV/0!</v>
          </cell>
          <cell r="AQ344" t="e">
            <v>#DIV/0!</v>
          </cell>
          <cell r="AR344">
            <v>1.9276811751028688</v>
          </cell>
          <cell r="AS344">
            <v>1.3607427011075575</v>
          </cell>
          <cell r="AT344">
            <v>1.4008599628652396</v>
          </cell>
          <cell r="AU344">
            <v>2.6378802325223756</v>
          </cell>
          <cell r="AV344">
            <v>2.5820728041257168</v>
          </cell>
          <cell r="AW344" t="e">
            <v>#DIV/0!</v>
          </cell>
          <cell r="AX344" t="e">
            <v>#DIV/0!</v>
          </cell>
          <cell r="AY344" t="e">
            <v>#DIV/0!</v>
          </cell>
          <cell r="AZ344" t="e">
            <v>#DIV/0!</v>
          </cell>
          <cell r="BA344" t="e">
            <v>#DIV/0!</v>
          </cell>
          <cell r="BB344" t="e">
            <v>#DIV/0!</v>
          </cell>
          <cell r="BC344" t="e">
            <v>#DIV/0!</v>
          </cell>
          <cell r="BD344" t="e">
            <v>#DIV/0!</v>
          </cell>
          <cell r="BE344" t="e">
            <v>#DIV/0!</v>
          </cell>
        </row>
        <row r="345">
          <cell r="H345" t="e">
            <v>#DIV/0!</v>
          </cell>
          <cell r="I345" t="e">
            <v>#DIV/0!</v>
          </cell>
          <cell r="J345" t="e">
            <v>#DIV/0!</v>
          </cell>
          <cell r="K345" t="e">
            <v>#DIV/0!</v>
          </cell>
          <cell r="L345" t="e">
            <v>#DIV/0!</v>
          </cell>
          <cell r="M345" t="e">
            <v>#DIV/0!</v>
          </cell>
          <cell r="N345" t="e">
            <v>#DIV/0!</v>
          </cell>
          <cell r="O345" t="e">
            <v>#DIV/0!</v>
          </cell>
          <cell r="P345" t="e">
            <v>#DIV/0!</v>
          </cell>
          <cell r="Q345" t="e">
            <v>#DIV/0!</v>
          </cell>
          <cell r="R345" t="e">
            <v>#DIV/0!</v>
          </cell>
          <cell r="S345" t="e">
            <v>#DIV/0!</v>
          </cell>
          <cell r="T345" t="e">
            <v>#VALUE!</v>
          </cell>
          <cell r="U345">
            <v>27.408945083978104</v>
          </cell>
          <cell r="V345">
            <v>13.313445437991476</v>
          </cell>
          <cell r="W345">
            <v>74.208841920757138</v>
          </cell>
          <cell r="X345">
            <v>4.7245960228152333</v>
          </cell>
          <cell r="Y345" t="e">
            <v>#DIV/0!</v>
          </cell>
          <cell r="Z345" t="e">
            <v>#N/A</v>
          </cell>
          <cell r="AA345">
            <v>8.4690040552465558</v>
          </cell>
          <cell r="AB345">
            <v>6.8702200116394607</v>
          </cell>
          <cell r="AC345">
            <v>5.3781318159145979</v>
          </cell>
          <cell r="AD345" t="e">
            <v>#N/A</v>
          </cell>
          <cell r="AE345">
            <v>3.5168914285714279</v>
          </cell>
          <cell r="AF345">
            <v>8.3389177910696883</v>
          </cell>
          <cell r="AG345">
            <v>6.1387948293986812</v>
          </cell>
          <cell r="AH345" t="e">
            <v>#DIV/0!</v>
          </cell>
          <cell r="AI345" t="e">
            <v>#DIV/0!</v>
          </cell>
          <cell r="AJ345" t="e">
            <v>#VALUE!</v>
          </cell>
          <cell r="AK345">
            <v>3.6738530399104801</v>
          </cell>
          <cell r="AL345">
            <v>8.1037081700331601</v>
          </cell>
          <cell r="AM345">
            <v>7.4156834814035939</v>
          </cell>
          <cell r="AN345">
            <v>0.68241758241758177</v>
          </cell>
          <cell r="AO345" t="e">
            <v>#N/A</v>
          </cell>
          <cell r="AP345" t="e">
            <v>#DIV/0!</v>
          </cell>
          <cell r="AQ345" t="e">
            <v>#VALUE!</v>
          </cell>
          <cell r="AR345" t="e">
            <v>#DIV/0!</v>
          </cell>
          <cell r="AS345">
            <v>6.138794829398682</v>
          </cell>
          <cell r="AT345" t="e">
            <v>#N/A</v>
          </cell>
          <cell r="AU345" t="e">
            <v>#DIV/0!</v>
          </cell>
          <cell r="AV345">
            <v>9.5786474130330621</v>
          </cell>
          <cell r="AW345" t="e">
            <v>#VALUE!</v>
          </cell>
          <cell r="AX345" t="e">
            <v>#VALUE!</v>
          </cell>
          <cell r="AY345" t="e">
            <v>#VALUE!</v>
          </cell>
          <cell r="AZ345" t="e">
            <v>#VALUE!</v>
          </cell>
          <cell r="BA345" t="e">
            <v>#VALUE!</v>
          </cell>
          <cell r="BB345" t="e">
            <v>#VALUE!</v>
          </cell>
          <cell r="BC345" t="e">
            <v>#VALUE!</v>
          </cell>
          <cell r="BD345" t="e">
            <v>#VALUE!</v>
          </cell>
          <cell r="BE345" t="e">
            <v>#VALUE!</v>
          </cell>
        </row>
        <row r="346">
          <cell r="H346" t="e">
            <v>#DIV/0!</v>
          </cell>
          <cell r="I346" t="e">
            <v>#DIV/0!</v>
          </cell>
          <cell r="J346" t="e">
            <v>#DIV/0!</v>
          </cell>
          <cell r="K346" t="e">
            <v>#DIV/0!</v>
          </cell>
          <cell r="L346" t="e">
            <v>#DIV/0!</v>
          </cell>
          <cell r="M346" t="e">
            <v>#DIV/0!</v>
          </cell>
          <cell r="N346" t="e">
            <v>#DIV/0!</v>
          </cell>
          <cell r="O346" t="e">
            <v>#DIV/0!</v>
          </cell>
          <cell r="P346" t="e">
            <v>#DIV/0!</v>
          </cell>
          <cell r="Q346" t="e">
            <v>#DIV/0!</v>
          </cell>
          <cell r="R346" t="e">
            <v>#DIV/0!</v>
          </cell>
          <cell r="S346" t="e">
            <v>#DIV/0!</v>
          </cell>
          <cell r="T346" t="e">
            <v>#VALUE!</v>
          </cell>
          <cell r="U346">
            <v>3.3068320810763586E-2</v>
          </cell>
          <cell r="V346">
            <v>0.47698989924722007</v>
          </cell>
          <cell r="W346">
            <v>1.1277874807805904E-2</v>
          </cell>
          <cell r="X346">
            <v>1.0053782918395942</v>
          </cell>
          <cell r="Y346">
            <v>0</v>
          </cell>
          <cell r="Z346" t="e">
            <v>#N/A</v>
          </cell>
          <cell r="AA346">
            <v>0.48502187288828819</v>
          </cell>
          <cell r="AB346">
            <v>0.36984786218335464</v>
          </cell>
          <cell r="AC346">
            <v>0.63947481761564662</v>
          </cell>
          <cell r="AD346" t="e">
            <v>#N/A</v>
          </cell>
          <cell r="AE346">
            <v>0.3848782860908066</v>
          </cell>
          <cell r="AF346">
            <v>0.3629360002827155</v>
          </cell>
          <cell r="AG346">
            <v>0.88126700666416846</v>
          </cell>
          <cell r="AH346" t="e">
            <v>#DIV/0!</v>
          </cell>
          <cell r="AI346" t="e">
            <v>#DIV/0!</v>
          </cell>
          <cell r="AJ346" t="e">
            <v>#VALUE!</v>
          </cell>
          <cell r="AK346">
            <v>21.090308370044053</v>
          </cell>
          <cell r="AL346">
            <v>0.33343385605146769</v>
          </cell>
          <cell r="AM346">
            <v>0.55622296303024366</v>
          </cell>
          <cell r="AN346">
            <v>0.13773922256804186</v>
          </cell>
          <cell r="AO346" t="e">
            <v>#N/A</v>
          </cell>
          <cell r="AP346" t="e">
            <v>#DIV/0!</v>
          </cell>
          <cell r="AQ346" t="e">
            <v>#VALUE!</v>
          </cell>
          <cell r="AR346">
            <v>0</v>
          </cell>
          <cell r="AS346">
            <v>0.88126700666416846</v>
          </cell>
          <cell r="AT346" t="e">
            <v>#N/A</v>
          </cell>
          <cell r="AU346" t="e">
            <v>#DIV/0!</v>
          </cell>
          <cell r="AV346">
            <v>0.43445707843453052</v>
          </cell>
          <cell r="AW346" t="e">
            <v>#VALUE!</v>
          </cell>
          <cell r="AX346" t="e">
            <v>#VALUE!</v>
          </cell>
          <cell r="AY346" t="e">
            <v>#VALUE!</v>
          </cell>
          <cell r="AZ346" t="e">
            <v>#VALUE!</v>
          </cell>
          <cell r="BA346" t="e">
            <v>#VALUE!</v>
          </cell>
          <cell r="BB346" t="e">
            <v>#VALUE!</v>
          </cell>
          <cell r="BC346" t="e">
            <v>#VALUE!</v>
          </cell>
          <cell r="BD346" t="e">
            <v>#VALUE!</v>
          </cell>
          <cell r="BE346" t="e">
            <v>#VALUE!</v>
          </cell>
        </row>
        <row r="347">
          <cell r="H347" t="e">
            <v>#DIV/0!</v>
          </cell>
          <cell r="I347" t="e">
            <v>#DIV/0!</v>
          </cell>
          <cell r="J347" t="e">
            <v>#DIV/0!</v>
          </cell>
          <cell r="K347" t="e">
            <v>#DIV/0!</v>
          </cell>
          <cell r="L347" t="e">
            <v>#DIV/0!</v>
          </cell>
          <cell r="M347" t="e">
            <v>#DIV/0!</v>
          </cell>
          <cell r="N347" t="e">
            <v>#DIV/0!</v>
          </cell>
          <cell r="O347" t="e">
            <v>#DIV/0!</v>
          </cell>
          <cell r="P347" t="e">
            <v>#DIV/0!</v>
          </cell>
          <cell r="Q347" t="e">
            <v>#DIV/0!</v>
          </cell>
          <cell r="R347" t="e">
            <v>#DIV/0!</v>
          </cell>
          <cell r="S347" t="e">
            <v>#DIV/0!</v>
          </cell>
          <cell r="T347" t="e">
            <v>#VALUE!</v>
          </cell>
          <cell r="U347">
            <v>3.7433088971579043E-2</v>
          </cell>
          <cell r="V347">
            <v>0.47698989924722007</v>
          </cell>
          <cell r="W347">
            <v>3.3339900235620445E-2</v>
          </cell>
          <cell r="X347">
            <v>1.0871996220610349</v>
          </cell>
          <cell r="Y347">
            <v>0</v>
          </cell>
          <cell r="Z347" t="e">
            <v>#N/A</v>
          </cell>
          <cell r="AA347">
            <v>0.55246070855053886</v>
          </cell>
          <cell r="AB347">
            <v>1.0124909590921907</v>
          </cell>
          <cell r="AC347">
            <v>1.3435201376745218</v>
          </cell>
          <cell r="AD347" t="e">
            <v>#N/A</v>
          </cell>
          <cell r="AE347">
            <v>0.5047323707077559</v>
          </cell>
          <cell r="AF347">
            <v>0.61969159029636589</v>
          </cell>
          <cell r="AG347">
            <v>2.1141382949614984</v>
          </cell>
          <cell r="AH347" t="e">
            <v>#DIV/0!</v>
          </cell>
          <cell r="AI347" t="e">
            <v>#DIV/0!</v>
          </cell>
          <cell r="AJ347" t="e">
            <v>#VALUE!</v>
          </cell>
          <cell r="AK347">
            <v>21.090308370044053</v>
          </cell>
          <cell r="AL347">
            <v>0.44154547572298591</v>
          </cell>
          <cell r="AM347">
            <v>0.66090951676104215</v>
          </cell>
          <cell r="AN347">
            <v>0.22972256582435063</v>
          </cell>
          <cell r="AO347" t="e">
            <v>#N/A</v>
          </cell>
          <cell r="AP347" t="e">
            <v>#DIV/0!</v>
          </cell>
          <cell r="AQ347" t="e">
            <v>#VALUE!</v>
          </cell>
          <cell r="AR347">
            <v>0</v>
          </cell>
          <cell r="AS347">
            <v>2.1141382949614984</v>
          </cell>
          <cell r="AT347" t="e">
            <v>#N/A</v>
          </cell>
          <cell r="AU347" t="e">
            <v>#DIV/0!</v>
          </cell>
          <cell r="AV347">
            <v>0.55786835927749412</v>
          </cell>
          <cell r="AW347" t="e">
            <v>#VALUE!</v>
          </cell>
          <cell r="AX347" t="e">
            <v>#VALUE!</v>
          </cell>
          <cell r="AY347" t="e">
            <v>#VALUE!</v>
          </cell>
          <cell r="AZ347" t="e">
            <v>#VALUE!</v>
          </cell>
          <cell r="BA347" t="e">
            <v>#VALUE!</v>
          </cell>
          <cell r="BB347" t="e">
            <v>#VALUE!</v>
          </cell>
          <cell r="BC347" t="e">
            <v>#VALUE!</v>
          </cell>
          <cell r="BD347" t="e">
            <v>#VALUE!</v>
          </cell>
          <cell r="BE347" t="e">
            <v>#VALUE!</v>
          </cell>
        </row>
        <row r="348">
          <cell r="H348" t="e">
            <v>#DIV/0!</v>
          </cell>
          <cell r="I348" t="e">
            <v>#DIV/0!</v>
          </cell>
          <cell r="J348" t="e">
            <v>#DIV/0!</v>
          </cell>
          <cell r="K348" t="e">
            <v>#DIV/0!</v>
          </cell>
          <cell r="L348" t="e">
            <v>#DIV/0!</v>
          </cell>
          <cell r="M348" t="e">
            <v>#DIV/0!</v>
          </cell>
          <cell r="N348" t="e">
            <v>#DIV/0!</v>
          </cell>
          <cell r="O348" t="e">
            <v>#DIV/0!</v>
          </cell>
          <cell r="P348" t="e">
            <v>#DIV/0!</v>
          </cell>
          <cell r="Q348" t="e">
            <v>#DIV/0!</v>
          </cell>
          <cell r="R348" t="e">
            <v>#DIV/0!</v>
          </cell>
          <cell r="S348" t="e">
            <v>#DIV/0!</v>
          </cell>
          <cell r="T348" t="e">
            <v>#VALUE!</v>
          </cell>
          <cell r="U348">
            <v>3.2009810139963631E-2</v>
          </cell>
          <cell r="V348">
            <v>0.32294729942996109</v>
          </cell>
          <cell r="W348">
            <v>1.1152102788711038E-2</v>
          </cell>
          <cell r="X348">
            <v>0.50134096690421948</v>
          </cell>
          <cell r="Y348">
            <v>0</v>
          </cell>
          <cell r="Z348" t="e">
            <v>#N/A</v>
          </cell>
          <cell r="AA348">
            <v>0.3266092451183541</v>
          </cell>
          <cell r="AB348">
            <v>0.26999192566820268</v>
          </cell>
          <cell r="AC348">
            <v>0.39004857576626906</v>
          </cell>
          <cell r="AD348" t="e">
            <v>#N/A</v>
          </cell>
          <cell r="AE348">
            <v>0.27791488245312129</v>
          </cell>
          <cell r="AF348">
            <v>0.26628983327715405</v>
          </cell>
          <cell r="AG348">
            <v>0.4684433435245412</v>
          </cell>
          <cell r="AH348" t="e">
            <v>#DIV/0!</v>
          </cell>
          <cell r="AI348" t="e">
            <v>#DIV/0!</v>
          </cell>
          <cell r="AJ348" t="e">
            <v>#VALUE!</v>
          </cell>
          <cell r="AK348">
            <v>0.95473127929005885</v>
          </cell>
          <cell r="AL348">
            <v>0.25005653976630232</v>
          </cell>
          <cell r="AM348">
            <v>0.35741855520958149</v>
          </cell>
          <cell r="AN348">
            <v>0.12106396600896339</v>
          </cell>
          <cell r="AO348" t="e">
            <v>#N/A</v>
          </cell>
          <cell r="AP348" t="e">
            <v>#DIV/0!</v>
          </cell>
          <cell r="AQ348" t="e">
            <v>#VALUE!</v>
          </cell>
          <cell r="AR348">
            <v>0</v>
          </cell>
          <cell r="AS348">
            <v>0.4684433435245412</v>
          </cell>
          <cell r="AT348" t="e">
            <v>#N/A</v>
          </cell>
          <cell r="AU348" t="e">
            <v>#DIV/0!</v>
          </cell>
          <cell r="AV348">
            <v>0.30287213536473856</v>
          </cell>
          <cell r="AW348" t="e">
            <v>#VALUE!</v>
          </cell>
          <cell r="AX348" t="e">
            <v>#VALUE!</v>
          </cell>
          <cell r="AY348" t="e">
            <v>#VALUE!</v>
          </cell>
          <cell r="AZ348" t="e">
            <v>#VALUE!</v>
          </cell>
          <cell r="BA348" t="e">
            <v>#VALUE!</v>
          </cell>
          <cell r="BB348" t="e">
            <v>#VALUE!</v>
          </cell>
          <cell r="BC348" t="e">
            <v>#VALUE!</v>
          </cell>
          <cell r="BD348" t="e">
            <v>#VALUE!</v>
          </cell>
          <cell r="BE348" t="e">
            <v>#VALUE!</v>
          </cell>
        </row>
        <row r="349">
          <cell r="H349" t="e">
            <v>#DIV/0!</v>
          </cell>
          <cell r="I349" t="e">
            <v>#DIV/0!</v>
          </cell>
          <cell r="J349" t="e">
            <v>#DIV/0!</v>
          </cell>
          <cell r="K349" t="e">
            <v>#DIV/0!</v>
          </cell>
          <cell r="L349" t="e">
            <v>#DIV/0!</v>
          </cell>
          <cell r="M349" t="e">
            <v>#DIV/0!</v>
          </cell>
          <cell r="N349" t="e">
            <v>#DIV/0!</v>
          </cell>
          <cell r="O349" t="e">
            <v>#DIV/0!</v>
          </cell>
          <cell r="P349" t="e">
            <v>#DIV/0!</v>
          </cell>
          <cell r="Q349" t="e">
            <v>#DIV/0!</v>
          </cell>
          <cell r="R349" t="e">
            <v>#DIV/0!</v>
          </cell>
          <cell r="S349" t="e">
            <v>#DIV/0!</v>
          </cell>
          <cell r="T349" t="e">
            <v>#VALUE!</v>
          </cell>
          <cell r="U349" t="e">
            <v>#DIV/0!</v>
          </cell>
          <cell r="V349" t="e">
            <v>#DIV/0!</v>
          </cell>
          <cell r="W349" t="e">
            <v>#DIV/0!</v>
          </cell>
          <cell r="X349" t="e">
            <v>#DIV/0!</v>
          </cell>
          <cell r="Y349" t="e">
            <v>#DIV/0!</v>
          </cell>
          <cell r="Z349" t="e">
            <v>#N/A</v>
          </cell>
          <cell r="AA349" t="e">
            <v>#DIV/0!</v>
          </cell>
          <cell r="AB349" t="e">
            <v>#DIV/0!</v>
          </cell>
          <cell r="AC349" t="e">
            <v>#DIV/0!</v>
          </cell>
          <cell r="AD349" t="e">
            <v>#N/A</v>
          </cell>
          <cell r="AE349" t="e">
            <v>#DIV/0!</v>
          </cell>
          <cell r="AF349" t="e">
            <v>#DIV/0!</v>
          </cell>
          <cell r="AG349" t="e">
            <v>#DIV/0!</v>
          </cell>
          <cell r="AH349" t="e">
            <v>#DIV/0!</v>
          </cell>
          <cell r="AI349" t="e">
            <v>#DIV/0!</v>
          </cell>
          <cell r="AJ349" t="e">
            <v>#VALUE!</v>
          </cell>
          <cell r="AK349" t="e">
            <v>#DIV/0!</v>
          </cell>
          <cell r="AL349" t="e">
            <v>#DIV/0!</v>
          </cell>
          <cell r="AM349" t="e">
            <v>#DIV/0!</v>
          </cell>
          <cell r="AN349" t="e">
            <v>#DIV/0!</v>
          </cell>
          <cell r="AO349" t="e">
            <v>#N/A</v>
          </cell>
          <cell r="AP349" t="e">
            <v>#DIV/0!</v>
          </cell>
          <cell r="AQ349" t="e">
            <v>#VALUE!</v>
          </cell>
          <cell r="AR349" t="e">
            <v>#DIV/0!</v>
          </cell>
          <cell r="AS349" t="e">
            <v>#DIV/0!</v>
          </cell>
          <cell r="AT349" t="e">
            <v>#N/A</v>
          </cell>
          <cell r="AU349" t="e">
            <v>#DIV/0!</v>
          </cell>
          <cell r="AV349" t="e">
            <v>#DIV/0!</v>
          </cell>
          <cell r="AW349" t="e">
            <v>#VALUE!</v>
          </cell>
          <cell r="AX349" t="e">
            <v>#VALUE!</v>
          </cell>
          <cell r="AY349" t="e">
            <v>#VALUE!</v>
          </cell>
          <cell r="AZ349" t="e">
            <v>#VALUE!</v>
          </cell>
          <cell r="BA349" t="e">
            <v>#VALUE!</v>
          </cell>
          <cell r="BB349" t="e">
            <v>#VALUE!</v>
          </cell>
          <cell r="BC349" t="e">
            <v>#VALUE!</v>
          </cell>
          <cell r="BD349" t="e">
            <v>#VALUE!</v>
          </cell>
          <cell r="BE349" t="e">
            <v>#VALUE!</v>
          </cell>
        </row>
        <row r="350">
          <cell r="H350" t="e">
            <v>#DIV/0!</v>
          </cell>
          <cell r="I350" t="e">
            <v>#DIV/0!</v>
          </cell>
          <cell r="J350" t="e">
            <v>#DIV/0!</v>
          </cell>
          <cell r="K350" t="e">
            <v>#DIV/0!</v>
          </cell>
          <cell r="L350" t="e">
            <v>#DIV/0!</v>
          </cell>
          <cell r="M350" t="e">
            <v>#DIV/0!</v>
          </cell>
          <cell r="N350" t="e">
            <v>#DIV/0!</v>
          </cell>
          <cell r="O350" t="e">
            <v>#DIV/0!</v>
          </cell>
          <cell r="P350" t="e">
            <v>#DIV/0!</v>
          </cell>
          <cell r="Q350" t="e">
            <v>#DIV/0!</v>
          </cell>
          <cell r="R350" t="e">
            <v>#DIV/0!</v>
          </cell>
          <cell r="S350" t="e">
            <v>#DIV/0!</v>
          </cell>
          <cell r="T350" t="e">
            <v>#VALUE!</v>
          </cell>
          <cell r="U350" t="e">
            <v>#DIV/0!</v>
          </cell>
          <cell r="V350" t="e">
            <v>#DIV/0!</v>
          </cell>
          <cell r="W350" t="e">
            <v>#DIV/0!</v>
          </cell>
          <cell r="X350" t="e">
            <v>#DIV/0!</v>
          </cell>
          <cell r="Y350">
            <v>0</v>
          </cell>
          <cell r="Z350" t="e">
            <v>#N/A</v>
          </cell>
          <cell r="AA350" t="e">
            <v>#DIV/0!</v>
          </cell>
          <cell r="AB350" t="e">
            <v>#DIV/0!</v>
          </cell>
          <cell r="AC350" t="e">
            <v>#DIV/0!</v>
          </cell>
          <cell r="AD350" t="e">
            <v>#N/A</v>
          </cell>
          <cell r="AE350" t="e">
            <v>#DIV/0!</v>
          </cell>
          <cell r="AF350" t="e">
            <v>#DIV/0!</v>
          </cell>
          <cell r="AG350" t="e">
            <v>#DIV/0!</v>
          </cell>
          <cell r="AH350" t="e">
            <v>#DIV/0!</v>
          </cell>
          <cell r="AI350" t="e">
            <v>#DIV/0!</v>
          </cell>
          <cell r="AJ350" t="e">
            <v>#VALUE!</v>
          </cell>
          <cell r="AK350" t="e">
            <v>#DIV/0!</v>
          </cell>
          <cell r="AL350" t="e">
            <v>#DIV/0!</v>
          </cell>
          <cell r="AM350" t="e">
            <v>#DIV/0!</v>
          </cell>
          <cell r="AN350" t="e">
            <v>#DIV/0!</v>
          </cell>
          <cell r="AO350" t="e">
            <v>#N/A</v>
          </cell>
          <cell r="AP350" t="e">
            <v>#DIV/0!</v>
          </cell>
          <cell r="AQ350" t="e">
            <v>#VALUE!</v>
          </cell>
          <cell r="AR350" t="e">
            <v>#DIV/0!</v>
          </cell>
          <cell r="AS350" t="e">
            <v>#DIV/0!</v>
          </cell>
          <cell r="AT350" t="e">
            <v>#N/A</v>
          </cell>
          <cell r="AU350" t="e">
            <v>#DIV/0!</v>
          </cell>
          <cell r="AV350" t="e">
            <v>#DIV/0!</v>
          </cell>
          <cell r="AW350" t="e">
            <v>#VALUE!</v>
          </cell>
          <cell r="AX350" t="e">
            <v>#VALUE!</v>
          </cell>
          <cell r="AY350" t="e">
            <v>#VALUE!</v>
          </cell>
          <cell r="AZ350" t="e">
            <v>#VALUE!</v>
          </cell>
          <cell r="BA350" t="e">
            <v>#VALUE!</v>
          </cell>
          <cell r="BB350" t="e">
            <v>#VALUE!</v>
          </cell>
          <cell r="BC350" t="e">
            <v>#VALUE!</v>
          </cell>
          <cell r="BD350" t="e">
            <v>#VALUE!</v>
          </cell>
          <cell r="BE350" t="e">
            <v>#VALUE!</v>
          </cell>
        </row>
        <row r="351">
          <cell r="H351" t="e">
            <v>#DIV/0!</v>
          </cell>
          <cell r="I351" t="e">
            <v>#DIV/0!</v>
          </cell>
          <cell r="J351" t="e">
            <v>#DIV/0!</v>
          </cell>
          <cell r="K351" t="e">
            <v>#DIV/0!</v>
          </cell>
          <cell r="L351" t="e">
            <v>#DIV/0!</v>
          </cell>
          <cell r="M351" t="e">
            <v>#DIV/0!</v>
          </cell>
          <cell r="N351" t="e">
            <v>#DIV/0!</v>
          </cell>
          <cell r="O351" t="e">
            <v>#DIV/0!</v>
          </cell>
          <cell r="P351" t="e">
            <v>#DIV/0!</v>
          </cell>
          <cell r="Q351" t="e">
            <v>#DIV/0!</v>
          </cell>
          <cell r="R351" t="e">
            <v>#DIV/0!</v>
          </cell>
          <cell r="S351" t="e">
            <v>#DIV/0!</v>
          </cell>
          <cell r="T351" t="e">
            <v>#VALUE!</v>
          </cell>
          <cell r="U351">
            <v>0</v>
          </cell>
          <cell r="V351">
            <v>0</v>
          </cell>
          <cell r="W351">
            <v>0</v>
          </cell>
          <cell r="X351">
            <v>0</v>
          </cell>
          <cell r="Y351" t="e">
            <v>#DIV/0!</v>
          </cell>
          <cell r="Z351" t="e">
            <v>#N/A</v>
          </cell>
          <cell r="AA351">
            <v>0</v>
          </cell>
          <cell r="AB351">
            <v>0</v>
          </cell>
          <cell r="AC351">
            <v>0</v>
          </cell>
          <cell r="AD351" t="e">
            <v>#N/A</v>
          </cell>
          <cell r="AE351">
            <v>0</v>
          </cell>
          <cell r="AF351">
            <v>0</v>
          </cell>
          <cell r="AG351">
            <v>0</v>
          </cell>
          <cell r="AH351" t="e">
            <v>#DIV/0!</v>
          </cell>
          <cell r="AI351" t="e">
            <v>#DIV/0!</v>
          </cell>
          <cell r="AJ351" t="e">
            <v>#VALUE!</v>
          </cell>
          <cell r="AK351">
            <v>0</v>
          </cell>
          <cell r="AL351">
            <v>0</v>
          </cell>
          <cell r="AM351">
            <v>0</v>
          </cell>
          <cell r="AN351">
            <v>0</v>
          </cell>
          <cell r="AO351" t="e">
            <v>#N/A</v>
          </cell>
          <cell r="AP351" t="e">
            <v>#DIV/0!</v>
          </cell>
          <cell r="AQ351" t="e">
            <v>#VALUE!</v>
          </cell>
          <cell r="AR351" t="e">
            <v>#DIV/0!</v>
          </cell>
          <cell r="AS351">
            <v>0</v>
          </cell>
          <cell r="AT351" t="e">
            <v>#N/A</v>
          </cell>
          <cell r="AU351" t="e">
            <v>#DIV/0!</v>
          </cell>
          <cell r="AV351">
            <v>0</v>
          </cell>
          <cell r="AW351" t="e">
            <v>#VALUE!</v>
          </cell>
          <cell r="AX351" t="e">
            <v>#VALUE!</v>
          </cell>
          <cell r="AY351" t="e">
            <v>#VALUE!</v>
          </cell>
          <cell r="AZ351" t="e">
            <v>#VALUE!</v>
          </cell>
          <cell r="BA351" t="e">
            <v>#VALUE!</v>
          </cell>
          <cell r="BB351" t="e">
            <v>#VALUE!</v>
          </cell>
          <cell r="BC351" t="e">
            <v>#VALUE!</v>
          </cell>
          <cell r="BD351" t="e">
            <v>#VALUE!</v>
          </cell>
          <cell r="BE351" t="e">
            <v>#VALUE!</v>
          </cell>
        </row>
        <row r="352">
          <cell r="H352" t="e">
            <v>#DIV/0!</v>
          </cell>
          <cell r="I352" t="e">
            <v>#DIV/0!</v>
          </cell>
          <cell r="J352" t="e">
            <v>#DIV/0!</v>
          </cell>
          <cell r="K352" t="e">
            <v>#DIV/0!</v>
          </cell>
          <cell r="L352" t="e">
            <v>#DIV/0!</v>
          </cell>
          <cell r="M352" t="e">
            <v>#DIV/0!</v>
          </cell>
          <cell r="N352" t="e">
            <v>#DIV/0!</v>
          </cell>
          <cell r="O352" t="e">
            <v>#DIV/0!</v>
          </cell>
          <cell r="P352" t="e">
            <v>#DIV/0!</v>
          </cell>
          <cell r="Q352" t="e">
            <v>#DIV/0!</v>
          </cell>
          <cell r="R352" t="e">
            <v>#DIV/0!</v>
          </cell>
          <cell r="S352" t="e">
            <v>#DIV/0!</v>
          </cell>
          <cell r="T352" t="e">
            <v>#VALUE!</v>
          </cell>
          <cell r="U352" t="e">
            <v>#DIV/0!</v>
          </cell>
          <cell r="V352" t="e">
            <v>#DIV/0!</v>
          </cell>
          <cell r="W352" t="e">
            <v>#DIV/0!</v>
          </cell>
          <cell r="X352" t="e">
            <v>#DIV/0!</v>
          </cell>
          <cell r="Y352">
            <v>0</v>
          </cell>
          <cell r="Z352" t="e">
            <v>#N/A</v>
          </cell>
          <cell r="AA352" t="e">
            <v>#DIV/0!</v>
          </cell>
          <cell r="AB352" t="e">
            <v>#DIV/0!</v>
          </cell>
          <cell r="AC352" t="e">
            <v>#DIV/0!</v>
          </cell>
          <cell r="AD352" t="e">
            <v>#N/A</v>
          </cell>
          <cell r="AE352" t="e">
            <v>#DIV/0!</v>
          </cell>
          <cell r="AF352" t="e">
            <v>#DIV/0!</v>
          </cell>
          <cell r="AG352" t="e">
            <v>#DIV/0!</v>
          </cell>
          <cell r="AH352" t="e">
            <v>#DIV/0!</v>
          </cell>
          <cell r="AI352" t="e">
            <v>#DIV/0!</v>
          </cell>
          <cell r="AJ352" t="e">
            <v>#VALUE!</v>
          </cell>
          <cell r="AK352" t="e">
            <v>#DIV/0!</v>
          </cell>
          <cell r="AL352" t="e">
            <v>#DIV/0!</v>
          </cell>
          <cell r="AM352" t="e">
            <v>#DIV/0!</v>
          </cell>
          <cell r="AN352" t="e">
            <v>#DIV/0!</v>
          </cell>
          <cell r="AO352" t="e">
            <v>#N/A</v>
          </cell>
          <cell r="AP352" t="e">
            <v>#DIV/0!</v>
          </cell>
          <cell r="AQ352" t="e">
            <v>#VALUE!</v>
          </cell>
          <cell r="AR352" t="e">
            <v>#DIV/0!</v>
          </cell>
          <cell r="AS352" t="e">
            <v>#DIV/0!</v>
          </cell>
          <cell r="AT352" t="e">
            <v>#N/A</v>
          </cell>
          <cell r="AU352" t="e">
            <v>#DIV/0!</v>
          </cell>
          <cell r="AV352" t="e">
            <v>#DIV/0!</v>
          </cell>
          <cell r="AW352" t="e">
            <v>#VALUE!</v>
          </cell>
          <cell r="AX352" t="e">
            <v>#VALUE!</v>
          </cell>
          <cell r="AY352" t="e">
            <v>#VALUE!</v>
          </cell>
          <cell r="AZ352" t="e">
            <v>#VALUE!</v>
          </cell>
          <cell r="BA352" t="e">
            <v>#VALUE!</v>
          </cell>
          <cell r="BB352" t="e">
            <v>#VALUE!</v>
          </cell>
          <cell r="BC352" t="e">
            <v>#VALUE!</v>
          </cell>
          <cell r="BD352" t="e">
            <v>#VALUE!</v>
          </cell>
          <cell r="BE352" t="e">
            <v>#VALUE!</v>
          </cell>
        </row>
        <row r="355">
          <cell r="H355" t="str">
            <v>NA</v>
          </cell>
          <cell r="I355" t="str">
            <v>NA</v>
          </cell>
          <cell r="J355" t="str">
            <v>NA</v>
          </cell>
          <cell r="K355" t="str">
            <v>NA</v>
          </cell>
          <cell r="L355" t="str">
            <v>NA</v>
          </cell>
          <cell r="M355" t="str">
            <v>NA</v>
          </cell>
          <cell r="N355" t="str">
            <v>NA</v>
          </cell>
          <cell r="O355" t="str">
            <v>NA</v>
          </cell>
          <cell r="P355" t="str">
            <v>NA</v>
          </cell>
          <cell r="Q355" t="str">
            <v>NA</v>
          </cell>
          <cell r="R355" t="str">
            <v>NA</v>
          </cell>
          <cell r="S355" t="str">
            <v>NA</v>
          </cell>
          <cell r="T355" t="str">
            <v>NA</v>
          </cell>
          <cell r="U355">
            <v>0.20995586345605899</v>
          </cell>
          <cell r="V355">
            <v>0.10275023502492142</v>
          </cell>
          <cell r="W355">
            <v>0.10056437389770712</v>
          </cell>
          <cell r="X355">
            <v>6.3399138041506209E-2</v>
          </cell>
          <cell r="Y355">
            <v>0.58279376997374444</v>
          </cell>
          <cell r="Z355">
            <v>0.13959607886307257</v>
          </cell>
          <cell r="AA355">
            <v>0.20449890190537223</v>
          </cell>
          <cell r="AB355">
            <v>0.17130811424123071</v>
          </cell>
          <cell r="AC355">
            <v>4.5618858895758452E-2</v>
          </cell>
          <cell r="AD355" t="str">
            <v>NA</v>
          </cell>
          <cell r="AE355">
            <v>1.3168845155921094E-2</v>
          </cell>
          <cell r="AF355">
            <v>8.957475648052271E-2</v>
          </cell>
          <cell r="AG355">
            <v>0.18778939013096974</v>
          </cell>
          <cell r="AH355">
            <v>0.43624879304795638</v>
          </cell>
          <cell r="AI355">
            <v>-1.1964360020419562E-2</v>
          </cell>
          <cell r="AJ355">
            <v>0.17426680830826613</v>
          </cell>
          <cell r="AK355">
            <v>0.14263544018058694</v>
          </cell>
          <cell r="AL355">
            <v>0.20321891361665445</v>
          </cell>
          <cell r="AM355">
            <v>0.11318642402641155</v>
          </cell>
          <cell r="AN355">
            <v>0.48666539367322259</v>
          </cell>
          <cell r="AO355" t="str">
            <v>NA</v>
          </cell>
          <cell r="AP355">
            <v>0.12990297733669087</v>
          </cell>
          <cell r="AQ355">
            <v>0.12461481215605752</v>
          </cell>
          <cell r="AR355">
            <v>9.600139839123667E-2</v>
          </cell>
          <cell r="AS355">
            <v>0.18778939013096974</v>
          </cell>
          <cell r="AT355">
            <v>8.9152755768771463E-2</v>
          </cell>
          <cell r="AU355">
            <v>0.11680633237212357</v>
          </cell>
          <cell r="AV355">
            <v>0.11790497783355192</v>
          </cell>
          <cell r="AW355" t="str">
            <v>NA</v>
          </cell>
          <cell r="AX355" t="str">
            <v>NA</v>
          </cell>
          <cell r="AY355" t="str">
            <v>NA</v>
          </cell>
          <cell r="AZ355" t="str">
            <v>NA</v>
          </cell>
          <cell r="BA355" t="str">
            <v>NA</v>
          </cell>
          <cell r="BB355" t="str">
            <v>NA</v>
          </cell>
          <cell r="BC355" t="str">
            <v>NA</v>
          </cell>
          <cell r="BD355" t="str">
            <v>NA</v>
          </cell>
          <cell r="BE355" t="str">
            <v>NA</v>
          </cell>
        </row>
        <row r="356">
          <cell r="H356" t="str">
            <v>NA</v>
          </cell>
          <cell r="I356" t="str">
            <v>NA</v>
          </cell>
          <cell r="J356" t="str">
            <v>NA</v>
          </cell>
          <cell r="K356" t="str">
            <v>NA</v>
          </cell>
          <cell r="L356" t="str">
            <v>NA</v>
          </cell>
          <cell r="M356" t="str">
            <v>NA</v>
          </cell>
          <cell r="N356" t="str">
            <v>NA</v>
          </cell>
          <cell r="O356" t="str">
            <v>NA</v>
          </cell>
          <cell r="P356" t="str">
            <v>NA</v>
          </cell>
          <cell r="Q356" t="str">
            <v>NA</v>
          </cell>
          <cell r="R356" t="str">
            <v>NA</v>
          </cell>
          <cell r="S356" t="str">
            <v>NA</v>
          </cell>
          <cell r="T356" t="str">
            <v>NA</v>
          </cell>
          <cell r="U356" t="str">
            <v>NM</v>
          </cell>
          <cell r="V356">
            <v>0.15825544253408919</v>
          </cell>
          <cell r="W356">
            <v>0.10056437389770712</v>
          </cell>
          <cell r="X356">
            <v>9.0451419029002889E-3</v>
          </cell>
          <cell r="Y356">
            <v>8.5606160047799751E-2</v>
          </cell>
          <cell r="Z356">
            <v>0.64688017921677488</v>
          </cell>
          <cell r="AA356">
            <v>0.2096406524266361</v>
          </cell>
          <cell r="AB356">
            <v>-2.7622055860919703E-2</v>
          </cell>
          <cell r="AC356">
            <v>0.1512625224898354</v>
          </cell>
          <cell r="AD356" t="str">
            <v>NA</v>
          </cell>
          <cell r="AE356" t="str">
            <v>NM</v>
          </cell>
          <cell r="AF356">
            <v>0.21062712675200901</v>
          </cell>
          <cell r="AG356">
            <v>-5.9426053346557373E-3</v>
          </cell>
          <cell r="AH356" t="str">
            <v>NA</v>
          </cell>
          <cell r="AI356" t="str">
            <v>NA</v>
          </cell>
          <cell r="AJ356">
            <v>0.65257109552308123</v>
          </cell>
          <cell r="AK356">
            <v>0.5193474392623767</v>
          </cell>
          <cell r="AL356">
            <v>0.58974533339506641</v>
          </cell>
          <cell r="AM356">
            <v>9.7560975609756184E-2</v>
          </cell>
          <cell r="AN356" t="str">
            <v>NM</v>
          </cell>
          <cell r="AO356" t="str">
            <v>NA</v>
          </cell>
          <cell r="AP356">
            <v>0.16269030049301803</v>
          </cell>
          <cell r="AQ356">
            <v>0.21516485718497758</v>
          </cell>
          <cell r="AR356">
            <v>0.17410371280984438</v>
          </cell>
          <cell r="AS356">
            <v>-1.9477426139478782E-2</v>
          </cell>
          <cell r="AT356">
            <v>0.35565154787616993</v>
          </cell>
          <cell r="AU356" t="str">
            <v>NA</v>
          </cell>
          <cell r="AV356">
            <v>0.20532727299434717</v>
          </cell>
          <cell r="AW356" t="str">
            <v>NA</v>
          </cell>
          <cell r="AX356" t="str">
            <v>NA</v>
          </cell>
          <cell r="AY356" t="str">
            <v>NA</v>
          </cell>
          <cell r="AZ356" t="str">
            <v>NA</v>
          </cell>
          <cell r="BA356" t="str">
            <v>NA</v>
          </cell>
          <cell r="BB356" t="str">
            <v>NA</v>
          </cell>
          <cell r="BC356" t="str">
            <v>NA</v>
          </cell>
          <cell r="BD356" t="str">
            <v>NA</v>
          </cell>
          <cell r="BE356" t="str">
            <v>NA</v>
          </cell>
        </row>
        <row r="360">
          <cell r="H360">
            <v>0.10465116279069764</v>
          </cell>
          <cell r="I360">
            <v>-7.999999999999996E-2</v>
          </cell>
          <cell r="J360">
            <v>9.375E-2</v>
          </cell>
          <cell r="K360">
            <v>0.27064220183486221</v>
          </cell>
          <cell r="L360">
            <v>-1.5</v>
          </cell>
          <cell r="M360">
            <v>-8.7912087912087933E-2</v>
          </cell>
          <cell r="N360">
            <v>6.9306930693069368E-2</v>
          </cell>
          <cell r="O360">
            <v>0.1333333333333333</v>
          </cell>
          <cell r="P360">
            <v>-0.69724770642201839</v>
          </cell>
          <cell r="Q360">
            <v>4.39560439560438E-2</v>
          </cell>
          <cell r="R360">
            <v>5.6994818652849721E-2</v>
          </cell>
          <cell r="S360">
            <v>5.5118110236220597E-2</v>
          </cell>
          <cell r="T360" t="e">
            <v>#VALUE!</v>
          </cell>
          <cell r="U360">
            <v>2.5555555555555558</v>
          </cell>
          <cell r="V360">
            <v>0.75</v>
          </cell>
          <cell r="W360">
            <v>9.3023255813953432E-2</v>
          </cell>
          <cell r="X360">
            <v>0.14102564102564097</v>
          </cell>
          <cell r="Y360">
            <v>0.4027777777777779</v>
          </cell>
          <cell r="Z360" t="e">
            <v>#N/A</v>
          </cell>
          <cell r="AA360">
            <v>0.35586481113320079</v>
          </cell>
          <cell r="AB360">
            <v>0.35586481113320079</v>
          </cell>
          <cell r="AC360">
            <v>0.24271844660194164</v>
          </cell>
          <cell r="AD360" t="e">
            <v>#N/A</v>
          </cell>
          <cell r="AE360">
            <v>-0.35582822085889565</v>
          </cell>
          <cell r="AF360">
            <v>0.2736318407960201</v>
          </cell>
          <cell r="AG360">
            <v>0.30000000000000004</v>
          </cell>
          <cell r="AH360">
            <v>0.43577981651376141</v>
          </cell>
          <cell r="AI360">
            <v>-0.7303370786516854</v>
          </cell>
          <cell r="AJ360" t="e">
            <v>#VALUE!</v>
          </cell>
          <cell r="AK360">
            <v>0.34351145038167941</v>
          </cell>
          <cell r="AL360">
            <v>0.30347349177330907</v>
          </cell>
          <cell r="AM360">
            <v>0.21276595744680837</v>
          </cell>
          <cell r="AN360">
            <v>-0.48062015503875966</v>
          </cell>
          <cell r="AO360" t="e">
            <v>#N/A</v>
          </cell>
          <cell r="AP360">
            <v>0.25789473684210518</v>
          </cell>
          <cell r="AQ360" t="e">
            <v>#VALUE!</v>
          </cell>
          <cell r="AR360">
            <v>0.25789473684210518</v>
          </cell>
          <cell r="AS360">
            <v>0.30000000000000004</v>
          </cell>
          <cell r="AT360" t="e">
            <v>#N/A</v>
          </cell>
          <cell r="AU360">
            <v>0.59890109890109899</v>
          </cell>
          <cell r="AV360">
            <v>0.59890109890109899</v>
          </cell>
          <cell r="AW360" t="e">
            <v>#VALUE!</v>
          </cell>
          <cell r="AX360" t="e">
            <v>#VALUE!</v>
          </cell>
          <cell r="AY360" t="e">
            <v>#VALUE!</v>
          </cell>
          <cell r="AZ360" t="e">
            <v>#VALUE!</v>
          </cell>
          <cell r="BA360" t="e">
            <v>#VALUE!</v>
          </cell>
          <cell r="BB360" t="e">
            <v>#VALUE!</v>
          </cell>
          <cell r="BC360" t="e">
            <v>#VALUE!</v>
          </cell>
          <cell r="BD360" t="e">
            <v>#VALUE!</v>
          </cell>
          <cell r="BE360" t="e">
            <v>#VALUE!</v>
          </cell>
        </row>
        <row r="361">
          <cell r="H361">
            <v>0.12631578947368438</v>
          </cell>
          <cell r="I361">
            <v>0.47826086956521752</v>
          </cell>
          <cell r="J361">
            <v>0.1333333333333333</v>
          </cell>
          <cell r="K361">
            <v>0.12635379061371843</v>
          </cell>
          <cell r="L361">
            <v>3.5</v>
          </cell>
          <cell r="M361">
            <v>0.22891566265060259</v>
          </cell>
          <cell r="N361">
            <v>0.1064814814814814</v>
          </cell>
          <cell r="O361">
            <v>0.43137254901960786</v>
          </cell>
          <cell r="P361">
            <v>1.1212121212121211</v>
          </cell>
          <cell r="Q361">
            <v>0.16842105263157903</v>
          </cell>
          <cell r="R361">
            <v>0.16394558823529404</v>
          </cell>
          <cell r="S361">
            <v>0.15671641791044766</v>
          </cell>
          <cell r="T361">
            <v>0.15340909090909083</v>
          </cell>
          <cell r="U361">
            <v>1.03125</v>
          </cell>
          <cell r="V361">
            <v>0.48051948051948035</v>
          </cell>
          <cell r="W361">
            <v>0.13829787234042556</v>
          </cell>
          <cell r="X361">
            <v>0.15730337078651679</v>
          </cell>
          <cell r="Y361">
            <v>0.25742574257425743</v>
          </cell>
          <cell r="Z361" t="e">
            <v>#N/A</v>
          </cell>
          <cell r="AA361">
            <v>0.19648093841642233</v>
          </cell>
          <cell r="AB361">
            <v>0.19648093841642233</v>
          </cell>
          <cell r="AC361">
            <v>0.109375</v>
          </cell>
          <cell r="AD361" t="e">
            <v>#N/A</v>
          </cell>
          <cell r="AE361">
            <v>0.4095238095238094</v>
          </cell>
          <cell r="AF361">
            <v>0.15625</v>
          </cell>
          <cell r="AG361">
            <v>0.19780219780219777</v>
          </cell>
          <cell r="AH361">
            <v>0.41533546325878601</v>
          </cell>
          <cell r="AI361">
            <v>1</v>
          </cell>
          <cell r="AJ361" t="e">
            <v>#VALUE!</v>
          </cell>
          <cell r="AK361">
            <v>0.15340909090909083</v>
          </cell>
          <cell r="AL361">
            <v>0.21879382889200549</v>
          </cell>
          <cell r="AM361">
            <v>0.11403508771929838</v>
          </cell>
          <cell r="AN361">
            <v>0.49731343283582086</v>
          </cell>
          <cell r="AO361" t="e">
            <v>#N/A</v>
          </cell>
          <cell r="AP361">
            <v>0.19874476987447709</v>
          </cell>
          <cell r="AQ361" t="e">
            <v>#VALUE!</v>
          </cell>
          <cell r="AR361">
            <v>0.19874476987447709</v>
          </cell>
          <cell r="AS361">
            <v>0.19780219780219777</v>
          </cell>
          <cell r="AT361" t="e">
            <v>#N/A</v>
          </cell>
          <cell r="AU361">
            <v>0.20274914089347074</v>
          </cell>
          <cell r="AV361">
            <v>0.20274914089347074</v>
          </cell>
          <cell r="AW361" t="e">
            <v>#VALUE!</v>
          </cell>
          <cell r="AX361" t="e">
            <v>#VALUE!</v>
          </cell>
          <cell r="AY361" t="e">
            <v>#VALUE!</v>
          </cell>
          <cell r="AZ361" t="e">
            <v>#VALUE!</v>
          </cell>
          <cell r="BA361" t="e">
            <v>#VALUE!</v>
          </cell>
          <cell r="BB361" t="e">
            <v>#VALUE!</v>
          </cell>
          <cell r="BC361" t="e">
            <v>#VALUE!</v>
          </cell>
          <cell r="BD361" t="e">
            <v>#VALUE!</v>
          </cell>
          <cell r="BE361" t="e">
            <v>#VALUE!</v>
          </cell>
        </row>
        <row r="362">
          <cell r="H362">
            <v>-0.50345323741007197</v>
          </cell>
          <cell r="I362">
            <v>-0.68642659279778395</v>
          </cell>
          <cell r="J362">
            <v>-2.8714524207011705E-2</v>
          </cell>
          <cell r="K362">
            <v>0.63133640552995396</v>
          </cell>
          <cell r="L362">
            <v>-9.5238095238095122E-2</v>
          </cell>
          <cell r="M362">
            <v>-0.21292460646230327</v>
          </cell>
          <cell r="N362">
            <v>-0.34760869565217389</v>
          </cell>
          <cell r="O362">
            <v>-0.48140321217244297</v>
          </cell>
          <cell r="P362">
            <v>-0.81860006572461386</v>
          </cell>
          <cell r="Q362">
            <v>-0.18022705771050151</v>
          </cell>
          <cell r="R362">
            <v>0.18976545842217463</v>
          </cell>
          <cell r="S362">
            <v>-0.3235708251196846</v>
          </cell>
          <cell r="T362" t="e">
            <v>#VALUE!</v>
          </cell>
          <cell r="U362">
            <v>-0.20848845867460897</v>
          </cell>
          <cell r="V362">
            <v>0.51308139534883712</v>
          </cell>
          <cell r="W362">
            <v>-0.50345323741007197</v>
          </cell>
          <cell r="X362">
            <v>-0.41168478260869568</v>
          </cell>
          <cell r="Y362">
            <v>-8.5178236397748575E-2</v>
          </cell>
          <cell r="Z362" t="str">
            <v>NA</v>
          </cell>
          <cell r="AA362">
            <v>8.9791635436966111E-2</v>
          </cell>
          <cell r="AB362">
            <v>8.9791635436966111E-2</v>
          </cell>
          <cell r="AC362">
            <v>-0.27339901477832518</v>
          </cell>
          <cell r="AD362" t="str">
            <v>NA</v>
          </cell>
          <cell r="AE362">
            <v>-4.5066991473812545E-2</v>
          </cell>
          <cell r="AF362">
            <v>0.50169204737732653</v>
          </cell>
          <cell r="AG362">
            <v>-1.9562043795620543E-2</v>
          </cell>
          <cell r="AH362">
            <v>0.51308139534883712</v>
          </cell>
          <cell r="AI362">
            <v>-0.57641025641025645</v>
          </cell>
          <cell r="AJ362" t="e">
            <v>#VALUE!</v>
          </cell>
          <cell r="AK362">
            <v>0.14455445544554446</v>
          </cell>
          <cell r="AL362">
            <v>-0.20732618988288076</v>
          </cell>
          <cell r="AM362">
            <v>9.5517841601392428E-2</v>
          </cell>
          <cell r="AN362">
            <v>7.0815450643776812E-2</v>
          </cell>
          <cell r="AO362" t="str">
            <v>NA</v>
          </cell>
          <cell r="AP362">
            <v>0.35375886524822686</v>
          </cell>
          <cell r="AQ362" t="e">
            <v>#VALUE!</v>
          </cell>
          <cell r="AR362">
            <v>0.35375886524822686</v>
          </cell>
          <cell r="AS362">
            <v>-1.9562043795620543E-2</v>
          </cell>
          <cell r="AT362" t="str">
            <v>NA</v>
          </cell>
          <cell r="AU362">
            <v>-0.11770321876704848</v>
          </cell>
          <cell r="AV362">
            <v>-0.11770321876704848</v>
          </cell>
          <cell r="AW362" t="e">
            <v>#VALUE!</v>
          </cell>
          <cell r="AX362" t="e">
            <v>#VALUE!</v>
          </cell>
          <cell r="AY362" t="e">
            <v>#VALUE!</v>
          </cell>
          <cell r="AZ362" t="e">
            <v>#VALUE!</v>
          </cell>
          <cell r="BA362" t="e">
            <v>#VALUE!</v>
          </cell>
          <cell r="BB362" t="e">
            <v>#VALUE!</v>
          </cell>
          <cell r="BC362" t="e">
            <v>#VALUE!</v>
          </cell>
          <cell r="BD362" t="e">
            <v>#VALUE!</v>
          </cell>
          <cell r="BE362" t="e">
            <v>#VALUE!</v>
          </cell>
        </row>
        <row r="363">
          <cell r="H363">
            <v>2.8985507246370723E-4</v>
          </cell>
          <cell r="I363">
            <v>-0.17971014492753623</v>
          </cell>
          <cell r="J363">
            <v>8.788332086761419E-2</v>
          </cell>
          <cell r="K363">
            <v>9.2322883238706632E-2</v>
          </cell>
          <cell r="L363">
            <v>8.8004822182037534E-2</v>
          </cell>
          <cell r="M363">
            <v>0.1124121779859486</v>
          </cell>
          <cell r="N363">
            <v>9.6055514974433986E-2</v>
          </cell>
          <cell r="O363">
            <v>-0.11343930635838151</v>
          </cell>
          <cell r="P363">
            <v>-0.24487004103967169</v>
          </cell>
          <cell r="Q363">
            <v>4.5235223160434268E-2</v>
          </cell>
          <cell r="R363">
            <v>3.4930448222565635E-2</v>
          </cell>
          <cell r="S363">
            <v>0.11203703703703694</v>
          </cell>
          <cell r="T363" t="e">
            <v>#VALUE!</v>
          </cell>
          <cell r="U363">
            <v>-3.3636363636363575E-2</v>
          </cell>
          <cell r="V363">
            <v>0.15950100245043441</v>
          </cell>
          <cell r="W363">
            <v>2.8985507246370723E-4</v>
          </cell>
          <cell r="X363">
            <v>6.7488443759630146E-2</v>
          </cell>
          <cell r="Y363">
            <v>0.16372315035799523</v>
          </cell>
          <cell r="Z363" t="str">
            <v>NA</v>
          </cell>
          <cell r="AA363">
            <v>0.14236329352608434</v>
          </cell>
          <cell r="AB363">
            <v>0.14236329352608434</v>
          </cell>
          <cell r="AC363">
            <v>1.7241379310344751E-2</v>
          </cell>
          <cell r="AD363" t="str">
            <v>NA</v>
          </cell>
          <cell r="AE363">
            <v>9.3444909344490901E-2</v>
          </cell>
          <cell r="AF363">
            <v>0.24068033550792167</v>
          </cell>
          <cell r="AG363">
            <v>0.16395147313691494</v>
          </cell>
          <cell r="AH363">
            <v>0.15950100245043441</v>
          </cell>
          <cell r="AI363">
            <v>0</v>
          </cell>
          <cell r="AJ363" t="e">
            <v>#VALUE!</v>
          </cell>
          <cell r="AK363">
            <v>8.0373831775700788E-2</v>
          </cell>
          <cell r="AL363">
            <v>2.1515735388567769E-2</v>
          </cell>
          <cell r="AM363">
            <v>4.2011589403973426E-2</v>
          </cell>
          <cell r="AN363">
            <v>7.3118279569892364E-2</v>
          </cell>
          <cell r="AO363" t="str">
            <v>NA</v>
          </cell>
          <cell r="AP363">
            <v>5.5985837574684671E-2</v>
          </cell>
          <cell r="AQ363" t="e">
            <v>#VALUE!</v>
          </cell>
          <cell r="AR363">
            <v>5.5985837574684671E-2</v>
          </cell>
          <cell r="AS363">
            <v>0.16395147313691494</v>
          </cell>
          <cell r="AT363" t="str">
            <v>NA</v>
          </cell>
          <cell r="AU363">
            <v>0.16119188655537608</v>
          </cell>
          <cell r="AV363">
            <v>0.16119188655537608</v>
          </cell>
          <cell r="AW363" t="e">
            <v>#VALUE!</v>
          </cell>
          <cell r="AX363" t="e">
            <v>#VALUE!</v>
          </cell>
          <cell r="AY363" t="e">
            <v>#VALUE!</v>
          </cell>
          <cell r="AZ363" t="e">
            <v>#VALUE!</v>
          </cell>
          <cell r="BA363" t="e">
            <v>#VALUE!</v>
          </cell>
          <cell r="BB363" t="e">
            <v>#VALUE!</v>
          </cell>
          <cell r="BC363" t="e">
            <v>#VALUE!</v>
          </cell>
          <cell r="BD363" t="e">
            <v>#VALUE!</v>
          </cell>
          <cell r="BE363" t="e">
            <v>#VALUE!</v>
          </cell>
        </row>
        <row r="364">
          <cell r="H364">
            <v>7.4408468244084647E-2</v>
          </cell>
          <cell r="I364">
            <v>-0.59015206372194062</v>
          </cell>
          <cell r="J364">
            <v>3.1034482758620641E-3</v>
          </cell>
          <cell r="K364">
            <v>0.10184262948207179</v>
          </cell>
          <cell r="L364">
            <v>-0.21041119860017488</v>
          </cell>
          <cell r="M364">
            <v>3.4858387799564294E-2</v>
          </cell>
          <cell r="N364">
            <v>-0.22932717000513603</v>
          </cell>
          <cell r="O364">
            <v>-0.34664536741214069</v>
          </cell>
          <cell r="P364">
            <v>-0.58651685393258424</v>
          </cell>
          <cell r="Q364">
            <v>-2.0903954802259928E-2</v>
          </cell>
          <cell r="R364">
            <v>5.1507537688442184E-2</v>
          </cell>
          <cell r="S364">
            <v>-1.1115685467270486E-2</v>
          </cell>
          <cell r="T364" t="e">
            <v>#VALUE!</v>
          </cell>
          <cell r="U364">
            <v>4.4717444717444765E-2</v>
          </cell>
          <cell r="V364">
            <v>5.2152819890842972E-2</v>
          </cell>
          <cell r="W364">
            <v>7.4408468244084647E-2</v>
          </cell>
          <cell r="X364">
            <v>-8.5533262935586163E-2</v>
          </cell>
          <cell r="Y364">
            <v>8.6884567645841848E-3</v>
          </cell>
          <cell r="Z364" t="str">
            <v>NA</v>
          </cell>
          <cell r="AA364">
            <v>-4.6557377049180282E-2</v>
          </cell>
          <cell r="AB364">
            <v>-4.6557377049180282E-2</v>
          </cell>
          <cell r="AC364">
            <v>-0.19089413055403182</v>
          </cell>
          <cell r="AD364" t="str">
            <v>NA</v>
          </cell>
          <cell r="AE364">
            <v>-1.0101010101010055E-2</v>
          </cell>
          <cell r="AF364">
            <v>0.11262014208106974</v>
          </cell>
          <cell r="AG364">
            <v>0.11896034655114951</v>
          </cell>
          <cell r="AH364">
            <v>5.2152819890842972E-2</v>
          </cell>
          <cell r="AI364">
            <v>-0.66368078175895762</v>
          </cell>
          <cell r="AJ364" t="e">
            <v>#VALUE!</v>
          </cell>
          <cell r="AK364">
            <v>-1.7006802721088454E-2</v>
          </cell>
          <cell r="AL364">
            <v>-0.12344998622209979</v>
          </cell>
          <cell r="AM364">
            <v>4.939558149228862E-2</v>
          </cell>
          <cell r="AN364">
            <v>3.9583333333333526E-2</v>
          </cell>
          <cell r="AO364" t="str">
            <v>NA</v>
          </cell>
          <cell r="AP364">
            <v>-3.1065989847715803E-2</v>
          </cell>
          <cell r="AQ364" t="e">
            <v>#VALUE!</v>
          </cell>
          <cell r="AR364">
            <v>-3.1065989847715803E-2</v>
          </cell>
          <cell r="AS364">
            <v>0.11896034655114951</v>
          </cell>
          <cell r="AT364" t="str">
            <v>NA</v>
          </cell>
          <cell r="AU364">
            <v>2.6336665080120447E-2</v>
          </cell>
          <cell r="AV364">
            <v>2.6336665080120447E-2</v>
          </cell>
          <cell r="AW364" t="e">
            <v>#VALUE!</v>
          </cell>
          <cell r="AX364" t="e">
            <v>#VALUE!</v>
          </cell>
          <cell r="AY364" t="e">
            <v>#VALUE!</v>
          </cell>
          <cell r="AZ364" t="e">
            <v>#VALUE!</v>
          </cell>
          <cell r="BA364" t="e">
            <v>#VALUE!</v>
          </cell>
          <cell r="BB364" t="e">
            <v>#VALUE!</v>
          </cell>
          <cell r="BC364" t="e">
            <v>#VALUE!</v>
          </cell>
          <cell r="BD364" t="e">
            <v>#VALUE!</v>
          </cell>
          <cell r="BE364" t="e">
            <v>#VALUE!</v>
          </cell>
        </row>
        <row r="365">
          <cell r="H365">
            <v>-6.7297297297297387E-2</v>
          </cell>
          <cell r="I365">
            <v>-0.63717948717948714</v>
          </cell>
          <cell r="J365">
            <v>6.0904449307074948E-2</v>
          </cell>
          <cell r="K365">
            <v>0.32089552238805963</v>
          </cell>
          <cell r="L365">
            <v>-0.33123379029270095</v>
          </cell>
          <cell r="M365">
            <v>-0.20634920634920639</v>
          </cell>
          <cell r="N365">
            <v>-0.33664898320070735</v>
          </cell>
          <cell r="O365">
            <v>-0.39076464746772599</v>
          </cell>
          <cell r="P365">
            <v>-0.67529411764705882</v>
          </cell>
          <cell r="Q365">
            <v>-0.17001915708812265</v>
          </cell>
          <cell r="R365">
            <v>4.4617784711388442E-2</v>
          </cell>
          <cell r="S365">
            <v>-0.20986842105263159</v>
          </cell>
          <cell r="T365" t="e">
            <v>#VALUE!</v>
          </cell>
          <cell r="U365">
            <v>0.16174863387978156</v>
          </cell>
          <cell r="V365">
            <v>-3.0545725460979667E-2</v>
          </cell>
          <cell r="W365">
            <v>-6.7297297297297387E-2</v>
          </cell>
          <cell r="X365">
            <v>-0.26297872340425532</v>
          </cell>
          <cell r="Y365">
            <v>-8.9430894308943909E-3</v>
          </cell>
          <cell r="Z365" t="str">
            <v>NA</v>
          </cell>
          <cell r="AA365">
            <v>9.7192876546936313E-2</v>
          </cell>
          <cell r="AB365">
            <v>9.7192876546936313E-2</v>
          </cell>
          <cell r="AC365">
            <v>-0.22895974908520644</v>
          </cell>
          <cell r="AD365" t="str">
            <v>NA</v>
          </cell>
          <cell r="AE365">
            <v>-0.15969989281886388</v>
          </cell>
          <cell r="AF365">
            <v>0.24068033550792167</v>
          </cell>
          <cell r="AG365">
            <v>0.23365172667156497</v>
          </cell>
          <cell r="AH365">
            <v>-3.0545725460979667E-2</v>
          </cell>
          <cell r="AI365">
            <v>-0.65938144329896908</v>
          </cell>
          <cell r="AJ365" t="e">
            <v>#VALUE!</v>
          </cell>
          <cell r="AK365">
            <v>6.25E-2</v>
          </cell>
          <cell r="AL365">
            <v>-8.1072653570315456E-3</v>
          </cell>
          <cell r="AM365">
            <v>8.0008580008580132E-2</v>
          </cell>
          <cell r="AN365">
            <v>-0.25522388059701495</v>
          </cell>
          <cell r="AO365" t="str">
            <v>NA</v>
          </cell>
          <cell r="AP365">
            <v>0.19569030318215996</v>
          </cell>
          <cell r="AQ365" t="e">
            <v>#VALUE!</v>
          </cell>
          <cell r="AR365">
            <v>0.19569030318215996</v>
          </cell>
          <cell r="AS365">
            <v>0.23365172667156497</v>
          </cell>
          <cell r="AT365" t="str">
            <v>NA</v>
          </cell>
          <cell r="AU365">
            <v>-1.4623000761614713E-2</v>
          </cell>
          <cell r="AV365">
            <v>-1.4623000761614713E-2</v>
          </cell>
          <cell r="AW365" t="e">
            <v>#VALUE!</v>
          </cell>
          <cell r="AX365" t="e">
            <v>#VALUE!</v>
          </cell>
          <cell r="AY365" t="e">
            <v>#VALUE!</v>
          </cell>
          <cell r="AZ365" t="e">
            <v>#VALUE!</v>
          </cell>
          <cell r="BA365" t="e">
            <v>#VALUE!</v>
          </cell>
          <cell r="BB365" t="e">
            <v>#VALUE!</v>
          </cell>
          <cell r="BC365" t="e">
            <v>#VALUE!</v>
          </cell>
          <cell r="BD365" t="e">
            <v>#VALUE!</v>
          </cell>
          <cell r="BE365" t="e">
            <v>#VALUE!</v>
          </cell>
        </row>
        <row r="368">
          <cell r="H368" t="str">
            <v>NA</v>
          </cell>
          <cell r="I368" t="str">
            <v>NA</v>
          </cell>
          <cell r="J368" t="str">
            <v>NA</v>
          </cell>
          <cell r="K368" t="str">
            <v>NA</v>
          </cell>
          <cell r="L368" t="str">
            <v>NA</v>
          </cell>
          <cell r="M368" t="str">
            <v>NA</v>
          </cell>
          <cell r="N368" t="str">
            <v>NA</v>
          </cell>
          <cell r="O368" t="str">
            <v>NA</v>
          </cell>
          <cell r="P368" t="str">
            <v>NA</v>
          </cell>
          <cell r="Q368" t="str">
            <v>NA</v>
          </cell>
          <cell r="R368" t="str">
            <v>NA</v>
          </cell>
          <cell r="S368" t="str">
            <v>NA</v>
          </cell>
          <cell r="T368" t="str">
            <v>NA</v>
          </cell>
          <cell r="U368">
            <v>1.0693307896982774E-2</v>
          </cell>
          <cell r="V368">
            <v>0.26962970549622445</v>
          </cell>
          <cell r="W368">
            <v>0.18696819790456437</v>
          </cell>
          <cell r="X368">
            <v>0.19380520277577651</v>
          </cell>
          <cell r="Y368">
            <v>5.2594519010087125E-2</v>
          </cell>
          <cell r="Z368">
            <v>1.6443183851760568E-2</v>
          </cell>
          <cell r="AA368">
            <v>1.7640908278226348E-2</v>
          </cell>
          <cell r="AB368">
            <v>1.8085483627143288E-2</v>
          </cell>
          <cell r="AC368">
            <v>2.3776764772298026E-2</v>
          </cell>
          <cell r="AD368" t="str">
            <v>NA</v>
          </cell>
          <cell r="AE368">
            <v>9.4951978503645881E-3</v>
          </cell>
          <cell r="AF368">
            <v>6.1589367709245585E-2</v>
          </cell>
          <cell r="AG368">
            <v>9.1801786875638308E-2</v>
          </cell>
          <cell r="AH368">
            <v>0.12840506567192247</v>
          </cell>
          <cell r="AI368">
            <v>-0.3762399904386326</v>
          </cell>
          <cell r="AJ368">
            <v>5.7014234155848866E-2</v>
          </cell>
          <cell r="AK368">
            <v>7.4016158457127973E-2</v>
          </cell>
          <cell r="AL368">
            <v>2.0259684636452783E-2</v>
          </cell>
          <cell r="AM368">
            <v>0.18599818389465572</v>
          </cell>
          <cell r="AN368">
            <v>-1.0550700285228106E-2</v>
          </cell>
          <cell r="AO368" t="str">
            <v>NA</v>
          </cell>
          <cell r="AP368">
            <v>0.10256708201011942</v>
          </cell>
          <cell r="AQ368">
            <v>7.0224324920313538E-2</v>
          </cell>
          <cell r="AR368">
            <v>9.8081181987959801E-2</v>
          </cell>
          <cell r="AS368">
            <v>9.1801786875638308E-2</v>
          </cell>
          <cell r="AT368">
            <v>5.6732938030461574E-2</v>
          </cell>
          <cell r="AU368">
            <v>4.2896086300536124E-2</v>
          </cell>
          <cell r="AV368">
            <v>4.3864724300229654E-2</v>
          </cell>
          <cell r="AW368" t="str">
            <v>NA</v>
          </cell>
          <cell r="AX368" t="str">
            <v>NA</v>
          </cell>
          <cell r="AY368" t="str">
            <v>NA</v>
          </cell>
          <cell r="AZ368" t="str">
            <v>NA</v>
          </cell>
          <cell r="BA368" t="str">
            <v>NA</v>
          </cell>
          <cell r="BB368" t="str">
            <v>NA</v>
          </cell>
          <cell r="BC368" t="str">
            <v>NA</v>
          </cell>
          <cell r="BD368" t="str">
            <v>NA</v>
          </cell>
          <cell r="BE368" t="str">
            <v>NA</v>
          </cell>
        </row>
        <row r="369">
          <cell r="H369" t="str">
            <v>NA</v>
          </cell>
          <cell r="I369" t="str">
            <v>NA</v>
          </cell>
          <cell r="J369" t="str">
            <v>NA</v>
          </cell>
          <cell r="K369" t="str">
            <v>NA</v>
          </cell>
          <cell r="L369" t="str">
            <v>NA</v>
          </cell>
          <cell r="M369" t="str">
            <v>NA</v>
          </cell>
          <cell r="N369" t="str">
            <v>NA</v>
          </cell>
          <cell r="O369" t="str">
            <v>NA</v>
          </cell>
          <cell r="P369" t="str">
            <v>NA</v>
          </cell>
          <cell r="Q369" t="str">
            <v>NA</v>
          </cell>
          <cell r="R369" t="str">
            <v>NA</v>
          </cell>
          <cell r="S369" t="str">
            <v>NA</v>
          </cell>
          <cell r="T369" t="str">
            <v>NA</v>
          </cell>
          <cell r="U369">
            <v>9.1144133741653657E-2</v>
          </cell>
          <cell r="V369">
            <v>0.30463519892738433</v>
          </cell>
          <cell r="W369">
            <v>0.22234099810657673</v>
          </cell>
          <cell r="X369">
            <v>0.24490529491447746</v>
          </cell>
          <cell r="Y369">
            <v>5.6626710110702583E-2</v>
          </cell>
          <cell r="Z369">
            <v>2.0562085830529934E-2</v>
          </cell>
          <cell r="AA369">
            <v>1.8947336685949608E-2</v>
          </cell>
          <cell r="AB369">
            <v>1.9779493010378759E-2</v>
          </cell>
          <cell r="AC369">
            <v>2.9526577653195909E-2</v>
          </cell>
          <cell r="AD369" t="str">
            <v>NA</v>
          </cell>
          <cell r="AE369">
            <v>2.1632449686811436E-2</v>
          </cell>
          <cell r="AF369">
            <v>7.1737787681207435E-2</v>
          </cell>
          <cell r="AG369">
            <v>0.14368201229991615</v>
          </cell>
          <cell r="AH369">
            <v>0.13140653897996923</v>
          </cell>
          <cell r="AI369">
            <v>-0.10923867574997122</v>
          </cell>
          <cell r="AJ369">
            <v>6.8400569678198769E-2</v>
          </cell>
          <cell r="AK369">
            <v>0.10027365129007038</v>
          </cell>
          <cell r="AL369">
            <v>2.6509473304554627E-2</v>
          </cell>
          <cell r="AM369">
            <v>0.24651213661995836</v>
          </cell>
          <cell r="AN369">
            <v>1.8903591682419645E-3</v>
          </cell>
          <cell r="AO369" t="str">
            <v>NA</v>
          </cell>
          <cell r="AP369">
            <v>0.1109593136397737</v>
          </cell>
          <cell r="AQ369">
            <v>7.4231050658540979E-2</v>
          </cell>
          <cell r="AR369">
            <v>0.10599003507698727</v>
          </cell>
          <cell r="AS369">
            <v>0.1436820122999162</v>
          </cell>
          <cell r="AT369">
            <v>8.5055226136495757E-2</v>
          </cell>
          <cell r="AU369">
            <v>4.9586429958934496E-2</v>
          </cell>
          <cell r="AV369">
            <v>5.1493433399889148E-2</v>
          </cell>
          <cell r="AW369" t="str">
            <v>NA</v>
          </cell>
          <cell r="AX369" t="str">
            <v>NA</v>
          </cell>
          <cell r="AY369" t="str">
            <v>NA</v>
          </cell>
          <cell r="AZ369" t="str">
            <v>NA</v>
          </cell>
          <cell r="BA369" t="str">
            <v>NA</v>
          </cell>
          <cell r="BB369" t="str">
            <v>NA</v>
          </cell>
          <cell r="BC369" t="str">
            <v>NA</v>
          </cell>
          <cell r="BD369" t="str">
            <v>NA</v>
          </cell>
          <cell r="BE369" t="str">
            <v>NA</v>
          </cell>
        </row>
        <row r="370">
          <cell r="H370" t="str">
            <v>NA</v>
          </cell>
          <cell r="I370" t="str">
            <v>NA</v>
          </cell>
          <cell r="J370" t="str">
            <v>NA</v>
          </cell>
          <cell r="K370" t="str">
            <v>NA</v>
          </cell>
          <cell r="L370" t="str">
            <v>NA</v>
          </cell>
          <cell r="M370" t="str">
            <v>NA</v>
          </cell>
          <cell r="N370" t="str">
            <v>NA</v>
          </cell>
          <cell r="O370" t="str">
            <v>NA</v>
          </cell>
          <cell r="P370" t="str">
            <v>NA</v>
          </cell>
          <cell r="Q370" t="str">
            <v>NA</v>
          </cell>
          <cell r="R370" t="str">
            <v>NA</v>
          </cell>
          <cell r="S370" t="str">
            <v>NA</v>
          </cell>
          <cell r="T370" t="str">
            <v>NA</v>
          </cell>
          <cell r="U370" t="str">
            <v>NA</v>
          </cell>
          <cell r="V370" t="str">
            <v>NA</v>
          </cell>
          <cell r="W370" t="str">
            <v>NA</v>
          </cell>
          <cell r="X370" t="str">
            <v>NA</v>
          </cell>
          <cell r="Y370" t="str">
            <v>NA</v>
          </cell>
          <cell r="Z370" t="str">
            <v>NA</v>
          </cell>
          <cell r="AA370" t="str">
            <v>NA</v>
          </cell>
          <cell r="AB370" t="str">
            <v>NA</v>
          </cell>
          <cell r="AC370" t="str">
            <v>NA</v>
          </cell>
          <cell r="AD370" t="str">
            <v>NA</v>
          </cell>
          <cell r="AE370" t="str">
            <v>NA</v>
          </cell>
          <cell r="AF370" t="str">
            <v>NA</v>
          </cell>
          <cell r="AG370" t="str">
            <v>NA</v>
          </cell>
          <cell r="AH370" t="str">
            <v>NA</v>
          </cell>
          <cell r="AI370" t="str">
            <v>NA</v>
          </cell>
          <cell r="AJ370" t="str">
            <v>NA</v>
          </cell>
          <cell r="AK370" t="str">
            <v>NA</v>
          </cell>
          <cell r="AL370" t="str">
            <v>NA</v>
          </cell>
          <cell r="AM370" t="str">
            <v>NA</v>
          </cell>
          <cell r="AN370" t="str">
            <v>NA</v>
          </cell>
          <cell r="AO370" t="str">
            <v>NA</v>
          </cell>
          <cell r="AP370" t="str">
            <v>NA</v>
          </cell>
          <cell r="AQ370" t="str">
            <v>NA</v>
          </cell>
          <cell r="AR370" t="str">
            <v>NA</v>
          </cell>
          <cell r="AS370" t="str">
            <v>NA</v>
          </cell>
          <cell r="AT370" t="str">
            <v>NA</v>
          </cell>
          <cell r="AU370" t="str">
            <v>NA</v>
          </cell>
          <cell r="AV370" t="str">
            <v>NA</v>
          </cell>
          <cell r="AW370" t="str">
            <v>NA</v>
          </cell>
          <cell r="AX370" t="str">
            <v>NA</v>
          </cell>
          <cell r="AY370" t="str">
            <v>NA</v>
          </cell>
          <cell r="AZ370" t="str">
            <v>NA</v>
          </cell>
          <cell r="BA370" t="str">
            <v>NA</v>
          </cell>
          <cell r="BB370" t="str">
            <v>NA</v>
          </cell>
          <cell r="BC370" t="str">
            <v>NA</v>
          </cell>
          <cell r="BD370" t="str">
            <v>NA</v>
          </cell>
          <cell r="BE370" t="str">
            <v>NA</v>
          </cell>
        </row>
        <row r="371">
          <cell r="H371" t="str">
            <v>NA</v>
          </cell>
          <cell r="I371" t="str">
            <v>NA</v>
          </cell>
          <cell r="J371" t="str">
            <v>NA</v>
          </cell>
          <cell r="K371" t="str">
            <v>NA</v>
          </cell>
          <cell r="L371" t="str">
            <v>NA</v>
          </cell>
          <cell r="M371" t="str">
            <v>NA</v>
          </cell>
          <cell r="N371" t="str">
            <v>NA</v>
          </cell>
          <cell r="O371" t="str">
            <v>NA</v>
          </cell>
          <cell r="P371" t="str">
            <v>NA</v>
          </cell>
          <cell r="Q371" t="str">
            <v>NA</v>
          </cell>
          <cell r="R371" t="str">
            <v>NA</v>
          </cell>
          <cell r="S371" t="str">
            <v>NA</v>
          </cell>
          <cell r="T371" t="str">
            <v>NA</v>
          </cell>
          <cell r="U371">
            <v>2.5678999949796662E-2</v>
          </cell>
          <cell r="V371">
            <v>0.27540828297688108</v>
          </cell>
          <cell r="W371">
            <v>0.20063708001654312</v>
          </cell>
          <cell r="X371">
            <v>0.15859158068885848</v>
          </cell>
          <cell r="Y371">
            <v>5.809255882492962E-2</v>
          </cell>
          <cell r="Z371">
            <v>7.4723437100795318E-3</v>
          </cell>
          <cell r="AA371">
            <v>1.5289612129255312E-2</v>
          </cell>
          <cell r="AB371">
            <v>1.317572296661065E-2</v>
          </cell>
          <cell r="AC371">
            <v>1.9621385529127709E-2</v>
          </cell>
          <cell r="AD371" t="str">
            <v>NA</v>
          </cell>
          <cell r="AE371">
            <v>1.7287513736093773E-3</v>
          </cell>
          <cell r="AF371">
            <v>5.9480187375475835E-2</v>
          </cell>
          <cell r="AG371">
            <v>7.8066385916670172E-2</v>
          </cell>
          <cell r="AH371">
            <v>0.11831133820256415</v>
          </cell>
          <cell r="AI371">
            <v>-1.1728616389785422</v>
          </cell>
          <cell r="AJ371">
            <v>4.9451750360423978E-2</v>
          </cell>
          <cell r="AK371">
            <v>4.2839457909825393E-2</v>
          </cell>
          <cell r="AL371">
            <v>1.7205234268453502E-2</v>
          </cell>
          <cell r="AM371">
            <v>0.17197296699215819</v>
          </cell>
          <cell r="AN371">
            <v>-8.7516628159350282E-3</v>
          </cell>
          <cell r="AO371" t="str">
            <v>NA</v>
          </cell>
          <cell r="AP371">
            <v>9.4578724412380202E-2</v>
          </cell>
          <cell r="AQ371">
            <v>6.934894319374002E-2</v>
          </cell>
          <cell r="AR371">
            <v>9.4715979021457106E-2</v>
          </cell>
          <cell r="AS371">
            <v>7.8066385916670186E-2</v>
          </cell>
          <cell r="AT371">
            <v>5.864899430298802E-2</v>
          </cell>
          <cell r="AU371">
            <v>3.9514769359205469E-2</v>
          </cell>
          <cell r="AV371">
            <v>4.0318621536564375E-2</v>
          </cell>
          <cell r="AW371" t="str">
            <v>NA</v>
          </cell>
          <cell r="AX371" t="str">
            <v>NA</v>
          </cell>
          <cell r="AY371" t="str">
            <v>NA</v>
          </cell>
          <cell r="AZ371" t="str">
            <v>NA</v>
          </cell>
          <cell r="BA371" t="str">
            <v>NA</v>
          </cell>
          <cell r="BB371" t="str">
            <v>NA</v>
          </cell>
          <cell r="BC371" t="str">
            <v>NA</v>
          </cell>
          <cell r="BD371" t="str">
            <v>NA</v>
          </cell>
          <cell r="BE371" t="str">
            <v>NA</v>
          </cell>
        </row>
        <row r="372">
          <cell r="H372" t="str">
            <v>NA</v>
          </cell>
          <cell r="I372" t="str">
            <v>NA</v>
          </cell>
          <cell r="J372" t="str">
            <v>NA</v>
          </cell>
          <cell r="K372" t="str">
            <v>NA</v>
          </cell>
          <cell r="L372" t="str">
            <v>NA</v>
          </cell>
          <cell r="M372" t="str">
            <v>NA</v>
          </cell>
          <cell r="N372" t="str">
            <v>NA</v>
          </cell>
          <cell r="O372" t="str">
            <v>NA</v>
          </cell>
          <cell r="P372" t="str">
            <v>NA</v>
          </cell>
          <cell r="Q372" t="str">
            <v>NA</v>
          </cell>
          <cell r="R372" t="str">
            <v>NA</v>
          </cell>
          <cell r="S372" t="str">
            <v>NA</v>
          </cell>
          <cell r="T372" t="str">
            <v>NA</v>
          </cell>
          <cell r="U372">
            <v>-4.3927908027512038E-3</v>
          </cell>
          <cell r="V372">
            <v>0.20653206128125329</v>
          </cell>
          <cell r="W372">
            <v>0.12526303691905261</v>
          </cell>
          <cell r="X372">
            <v>0.1468841579511618</v>
          </cell>
          <cell r="Y372">
            <v>3.6255398674314765E-2</v>
          </cell>
          <cell r="Z372">
            <v>3.9994658745698764E-3</v>
          </cell>
          <cell r="AA372">
            <v>7.3751108439257503E-3</v>
          </cell>
          <cell r="AB372">
            <v>8.028278223140747E-3</v>
          </cell>
          <cell r="AC372">
            <v>9.3050110067772526E-3</v>
          </cell>
          <cell r="AD372" t="str">
            <v>NA</v>
          </cell>
          <cell r="AE372">
            <v>6.0696381994441457E-3</v>
          </cell>
          <cell r="AF372">
            <v>3.7696811836836451E-2</v>
          </cell>
          <cell r="AG372">
            <v>4.6554960150150961E-2</v>
          </cell>
          <cell r="AH372">
            <v>6.8077803203661316E-2</v>
          </cell>
          <cell r="AI372">
            <v>-0.83697860643003408</v>
          </cell>
          <cell r="AJ372">
            <v>3.2146262804111009E-2</v>
          </cell>
          <cell r="AK372">
            <v>2.8448788115715409E-2</v>
          </cell>
          <cell r="AL372">
            <v>1.1051249394181891E-2</v>
          </cell>
          <cell r="AM372">
            <v>0.11997147815883208</v>
          </cell>
          <cell r="AN372">
            <v>-9.3482979157344243E-3</v>
          </cell>
          <cell r="AO372" t="str">
            <v>NA</v>
          </cell>
          <cell r="AP372">
            <v>7.5426295809524882E-2</v>
          </cell>
          <cell r="AQ372">
            <v>5.1325100735721586E-2</v>
          </cell>
          <cell r="AR372">
            <v>5.7305606632530051E-2</v>
          </cell>
          <cell r="AS372">
            <v>4.6554960150150967E-2</v>
          </cell>
          <cell r="AT372">
            <v>3.3876991047552617E-2</v>
          </cell>
          <cell r="AU372">
            <v>3.0233637340932366E-2</v>
          </cell>
          <cell r="AV372">
            <v>3.0552129273036521E-2</v>
          </cell>
          <cell r="AW372" t="str">
            <v>NA</v>
          </cell>
          <cell r="AX372" t="str">
            <v>NA</v>
          </cell>
          <cell r="AY372" t="str">
            <v>NA</v>
          </cell>
          <cell r="AZ372" t="str">
            <v>NA</v>
          </cell>
          <cell r="BA372" t="str">
            <v>NA</v>
          </cell>
          <cell r="BB372" t="str">
            <v>NA</v>
          </cell>
          <cell r="BC372" t="str">
            <v>NA</v>
          </cell>
          <cell r="BD372" t="str">
            <v>NA</v>
          </cell>
          <cell r="BE372" t="str">
            <v>NA</v>
          </cell>
        </row>
        <row r="373">
          <cell r="H373" t="str">
            <v>NA</v>
          </cell>
          <cell r="I373" t="str">
            <v>NA</v>
          </cell>
          <cell r="J373" t="str">
            <v>NA</v>
          </cell>
          <cell r="K373" t="str">
            <v>NA</v>
          </cell>
          <cell r="L373" t="str">
            <v>NA</v>
          </cell>
          <cell r="M373" t="str">
            <v>NA</v>
          </cell>
          <cell r="N373" t="str">
            <v>NA</v>
          </cell>
          <cell r="O373" t="str">
            <v>NA</v>
          </cell>
          <cell r="P373" t="str">
            <v>NA</v>
          </cell>
          <cell r="Q373" t="str">
            <v>NA</v>
          </cell>
          <cell r="R373" t="str">
            <v>NA</v>
          </cell>
          <cell r="S373" t="str">
            <v>NA</v>
          </cell>
          <cell r="T373" t="str">
            <v>NA</v>
          </cell>
          <cell r="U373">
            <v>0.67948943220041169</v>
          </cell>
          <cell r="V373">
            <v>0.63776873585907012</v>
          </cell>
          <cell r="W373">
            <v>0.55173963082656829</v>
          </cell>
          <cell r="X373">
            <v>0.5541208916263658</v>
          </cell>
          <cell r="Y373">
            <v>0.11112218247602222</v>
          </cell>
          <cell r="Z373">
            <v>6.3213027440768607E-2</v>
          </cell>
          <cell r="AA373">
            <v>4.2909573555369403E-2</v>
          </cell>
          <cell r="AB373">
            <v>5.1639957459606381E-2</v>
          </cell>
          <cell r="AC373">
            <v>0.10691364573343819</v>
          </cell>
          <cell r="AD373" t="str">
            <v>NA</v>
          </cell>
          <cell r="AE373">
            <v>0.2260176519349755</v>
          </cell>
          <cell r="AF373">
            <v>0.27508069299670168</v>
          </cell>
          <cell r="AG373">
            <v>0.38174374927360266</v>
          </cell>
          <cell r="AH373">
            <v>0.19715682893953174</v>
          </cell>
          <cell r="AI373">
            <v>9.2147723198266154E-2</v>
          </cell>
          <cell r="AJ373">
            <v>0.23024886993596916</v>
          </cell>
          <cell r="AK373">
            <v>0.26081574146468567</v>
          </cell>
          <cell r="AL373">
            <v>7.61893759228158E-2</v>
          </cell>
          <cell r="AM373">
            <v>0.48022929389790292</v>
          </cell>
          <cell r="AN373">
            <v>0.11898912967376826</v>
          </cell>
          <cell r="AO373" t="str">
            <v>NA</v>
          </cell>
          <cell r="AP373">
            <v>0.35655872249454262</v>
          </cell>
          <cell r="AQ373">
            <v>0.25830443237174988</v>
          </cell>
          <cell r="AR373">
            <v>0.3461197772604111</v>
          </cell>
          <cell r="AS373">
            <v>0.38174374927360272</v>
          </cell>
          <cell r="AT373">
            <v>0.30281595163353076</v>
          </cell>
          <cell r="AU373">
            <v>9.2319280269199513E-2</v>
          </cell>
          <cell r="AV373">
            <v>9.8681537232598676E-2</v>
          </cell>
          <cell r="AW373" t="str">
            <v>NA</v>
          </cell>
          <cell r="AX373" t="str">
            <v>NA</v>
          </cell>
          <cell r="AY373" t="str">
            <v>NA</v>
          </cell>
          <cell r="AZ373" t="str">
            <v>NA</v>
          </cell>
          <cell r="BA373" t="str">
            <v>NA</v>
          </cell>
          <cell r="BB373" t="str">
            <v>NA</v>
          </cell>
          <cell r="BC373" t="str">
            <v>NA</v>
          </cell>
          <cell r="BD373" t="str">
            <v>NA</v>
          </cell>
          <cell r="BE373" t="str">
            <v>NA</v>
          </cell>
        </row>
        <row r="374">
          <cell r="H374" t="e">
            <v>#DIV/0!</v>
          </cell>
          <cell r="I374" t="e">
            <v>#DIV/0!</v>
          </cell>
          <cell r="J374" t="e">
            <v>#DIV/0!</v>
          </cell>
          <cell r="K374" t="e">
            <v>#DIV/0!</v>
          </cell>
          <cell r="L374" t="e">
            <v>#DIV/0!</v>
          </cell>
          <cell r="M374" t="e">
            <v>#DIV/0!</v>
          </cell>
          <cell r="N374" t="e">
            <v>#DIV/0!</v>
          </cell>
          <cell r="O374" t="e">
            <v>#DIV/0!</v>
          </cell>
          <cell r="P374" t="e">
            <v>#DIV/0!</v>
          </cell>
          <cell r="Q374" t="e">
            <v>#DIV/0!</v>
          </cell>
          <cell r="R374" t="e">
            <v>#DIV/0!</v>
          </cell>
          <cell r="S374" t="e">
            <v>#DIV/0!</v>
          </cell>
          <cell r="T374" t="e">
            <v>#VALUE!</v>
          </cell>
          <cell r="U374">
            <v>-3.822295998602186E-3</v>
          </cell>
          <cell r="V374">
            <v>0.37671689298751965</v>
          </cell>
          <cell r="W374">
            <v>4.1256688141224546E-2</v>
          </cell>
          <cell r="X374">
            <v>0.24927516928699672</v>
          </cell>
          <cell r="Y374">
            <v>0.12074273725816977</v>
          </cell>
          <cell r="Z374" t="e">
            <v>#N/A</v>
          </cell>
          <cell r="AA374">
            <v>0.13990141195717892</v>
          </cell>
          <cell r="AB374">
            <v>9.0242074426385918E-2</v>
          </cell>
          <cell r="AC374">
            <v>9.4834579175022929E-2</v>
          </cell>
          <cell r="AD374" t="e">
            <v>#N/A</v>
          </cell>
          <cell r="AE374">
            <v>3.3231314928966874E-2</v>
          </cell>
          <cell r="AF374">
            <v>0.13915680107431885</v>
          </cell>
          <cell r="AG374">
            <v>0.1533777068091832</v>
          </cell>
          <cell r="AH374" t="e">
            <v>#DIV/0!</v>
          </cell>
          <cell r="AI374" t="e">
            <v>#DIV/0!</v>
          </cell>
          <cell r="AJ374" t="e">
            <v>#VALUE!</v>
          </cell>
          <cell r="AK374">
            <v>1.9234889867841412</v>
          </cell>
          <cell r="AL374">
            <v>9.8562525130679521E-2</v>
          </cell>
          <cell r="AM374">
            <v>0.17564987941666813</v>
          </cell>
          <cell r="AN374">
            <v>-4.0672803125620827E-2</v>
          </cell>
          <cell r="AO374" t="e">
            <v>#N/A</v>
          </cell>
          <cell r="AP374" t="e">
            <v>#DIV/0!</v>
          </cell>
          <cell r="AQ374" t="e">
            <v>#VALUE!</v>
          </cell>
          <cell r="AR374">
            <v>0.14656633835404384</v>
          </cell>
          <cell r="AS374">
            <v>0.1533777068091832</v>
          </cell>
          <cell r="AT374" t="e">
            <v>#N/A</v>
          </cell>
          <cell r="AU374" t="e">
            <v>#DIV/0!</v>
          </cell>
          <cell r="AV374">
            <v>0.2160472539861491</v>
          </cell>
          <cell r="AW374" t="e">
            <v>#VALUE!</v>
          </cell>
          <cell r="AX374" t="e">
            <v>#VALUE!</v>
          </cell>
          <cell r="AY374" t="e">
            <v>#VALUE!</v>
          </cell>
          <cell r="AZ374" t="e">
            <v>#VALUE!</v>
          </cell>
          <cell r="BA374" t="e">
            <v>#VALUE!</v>
          </cell>
          <cell r="BB374" t="e">
            <v>#VALUE!</v>
          </cell>
          <cell r="BC374" t="e">
            <v>#VALUE!</v>
          </cell>
          <cell r="BD374" t="e">
            <v>#VALUE!</v>
          </cell>
          <cell r="BE374" t="e">
            <v>#VALUE!</v>
          </cell>
        </row>
        <row r="375">
          <cell r="H375" t="e">
            <v>#DIV/0!</v>
          </cell>
          <cell r="I375" t="e">
            <v>#DIV/0!</v>
          </cell>
          <cell r="J375" t="e">
            <v>#DIV/0!</v>
          </cell>
          <cell r="K375" t="e">
            <v>#DIV/0!</v>
          </cell>
          <cell r="L375" t="e">
            <v>#DIV/0!</v>
          </cell>
          <cell r="M375" t="e">
            <v>#DIV/0!</v>
          </cell>
          <cell r="N375" t="e">
            <v>#DIV/0!</v>
          </cell>
          <cell r="O375" t="e">
            <v>#DIV/0!</v>
          </cell>
          <cell r="P375" t="e">
            <v>#DIV/0!</v>
          </cell>
          <cell r="Q375" t="e">
            <v>#DIV/0!</v>
          </cell>
          <cell r="R375" t="e">
            <v>#DIV/0!</v>
          </cell>
          <cell r="S375" t="e">
            <v>#DIV/0!</v>
          </cell>
          <cell r="T375" t="e">
            <v>#DIV/0!</v>
          </cell>
          <cell r="U375">
            <v>-3.2447064931212686E-3</v>
          </cell>
          <cell r="V375">
            <v>0.19187763284817308</v>
          </cell>
          <cell r="W375">
            <v>3.4765921754830974E-2</v>
          </cell>
          <cell r="X375">
            <v>0.10140055415349639</v>
          </cell>
          <cell r="Y375">
            <v>8.0003029399836806E-2</v>
          </cell>
          <cell r="Z375">
            <v>1.5008299421367445E-2</v>
          </cell>
          <cell r="AA375">
            <v>3.405197607709845E-2</v>
          </cell>
          <cell r="AB375">
            <v>2.8516979035999163E-2</v>
          </cell>
          <cell r="AC375">
            <v>3.5983188930038768E-2</v>
          </cell>
          <cell r="AD375" t="e">
            <v>#DIV/0!</v>
          </cell>
          <cell r="AE375">
            <v>1.6104089884958001E-2</v>
          </cell>
          <cell r="AF375">
            <v>7.5174930642472548E-2</v>
          </cell>
          <cell r="AG375">
            <v>6.3349322224671129E-2</v>
          </cell>
          <cell r="AH375" t="e">
            <v>#DIV/0!</v>
          </cell>
          <cell r="AI375" t="e">
            <v>#DIV/0!</v>
          </cell>
          <cell r="AJ375">
            <v>5.3267346331524482E-2</v>
          </cell>
          <cell r="AK375" t="e">
            <v>#DIV/0!</v>
          </cell>
          <cell r="AL375">
            <v>3.0429284112686104E-2</v>
          </cell>
          <cell r="AM375">
            <v>9.8277402031668251E-2</v>
          </cell>
          <cell r="AN375">
            <v>-2.9025916334284797E-2</v>
          </cell>
          <cell r="AO375" t="e">
            <v>#DIV/0!</v>
          </cell>
          <cell r="AP375" t="e">
            <v>#DIV/0!</v>
          </cell>
          <cell r="AQ375" t="e">
            <v>#DIV/0!</v>
          </cell>
          <cell r="AR375">
            <v>0.11046693913337828</v>
          </cell>
          <cell r="AS375">
            <v>6.3349322224671129E-2</v>
          </cell>
          <cell r="AT375">
            <v>4.7456920420860617E-2</v>
          </cell>
          <cell r="AU375">
            <v>7.9752714298895841E-2</v>
          </cell>
          <cell r="AV375">
            <v>7.88878221040408E-2</v>
          </cell>
          <cell r="AW375" t="e">
            <v>#DIV/0!</v>
          </cell>
          <cell r="AX375" t="e">
            <v>#DIV/0!</v>
          </cell>
          <cell r="AY375" t="e">
            <v>#DIV/0!</v>
          </cell>
          <cell r="AZ375" t="e">
            <v>#DIV/0!</v>
          </cell>
          <cell r="BA375" t="e">
            <v>#DIV/0!</v>
          </cell>
          <cell r="BB375" t="e">
            <v>#DIV/0!</v>
          </cell>
          <cell r="BC375" t="e">
            <v>#DIV/0!</v>
          </cell>
          <cell r="BD375" t="e">
            <v>#DIV/0!</v>
          </cell>
          <cell r="BE375" t="e">
            <v>#DIV/0!</v>
          </cell>
        </row>
        <row r="376">
          <cell r="H376">
            <v>0.46767854722862168</v>
          </cell>
          <cell r="I376">
            <v>0.26498127340823974</v>
          </cell>
          <cell r="J376">
            <v>0.76431949553336831</v>
          </cell>
          <cell r="K376">
            <v>0.86764705882352944</v>
          </cell>
          <cell r="L376">
            <v>0.43027413587604291</v>
          </cell>
          <cell r="M376">
            <v>0.47006432459178621</v>
          </cell>
          <cell r="N376">
            <v>0.57733743747595234</v>
          </cell>
          <cell r="O376">
            <v>0.51018711018711016</v>
          </cell>
          <cell r="P376">
            <v>0.15206611570247933</v>
          </cell>
          <cell r="Q376">
            <v>0.70447154471544704</v>
          </cell>
          <cell r="R376">
            <v>0.84545454545454535</v>
          </cell>
          <cell r="S376">
            <v>0.58656898656898648</v>
          </cell>
          <cell r="T376" t="e">
            <v>#VALUE!</v>
          </cell>
          <cell r="U376">
            <v>0.79151154132539103</v>
          </cell>
          <cell r="V376">
            <v>0.80299290342486895</v>
          </cell>
          <cell r="W376">
            <v>0.46767854722862168</v>
          </cell>
          <cell r="X376">
            <v>0.61584225762367029</v>
          </cell>
          <cell r="Y376">
            <v>0.67797552836484976</v>
          </cell>
          <cell r="Z376" t="e">
            <v>#N/A</v>
          </cell>
          <cell r="AA376">
            <v>0.87748943874471952</v>
          </cell>
          <cell r="AB376">
            <v>0.87748943874471952</v>
          </cell>
          <cell r="AC376">
            <v>0.70574162679425845</v>
          </cell>
          <cell r="AD376" t="e">
            <v>#N/A</v>
          </cell>
          <cell r="AE376">
            <v>0.74809160305343503</v>
          </cell>
          <cell r="AF376">
            <v>0.99812558575445176</v>
          </cell>
          <cell r="AG376">
            <v>0.93798882681564244</v>
          </cell>
          <cell r="AH376">
            <v>0.80299290342486895</v>
          </cell>
          <cell r="AI376">
            <v>0.86938217029786347</v>
          </cell>
          <cell r="AJ376" t="e">
            <v>#VALUE!</v>
          </cell>
          <cell r="AK376">
            <v>0.86449297038588091</v>
          </cell>
          <cell r="AL376">
            <v>0.75576146353052975</v>
          </cell>
          <cell r="AM376">
            <v>0.95359848484848497</v>
          </cell>
          <cell r="AN376">
            <v>0.61226993865030677</v>
          </cell>
          <cell r="AO376" t="e">
            <v>#N/A</v>
          </cell>
          <cell r="AP376">
            <v>0.89246306340003745</v>
          </cell>
          <cell r="AQ376" t="e">
            <v>#VALUE!</v>
          </cell>
          <cell r="AR376">
            <v>0.89246306340003745</v>
          </cell>
          <cell r="AS376">
            <v>0.93798882681564244</v>
          </cell>
          <cell r="AT376" t="e">
            <v>#N/A</v>
          </cell>
          <cell r="AU376">
            <v>0.84451697127937342</v>
          </cell>
          <cell r="AV376">
            <v>0.84451697127937342</v>
          </cell>
          <cell r="AW376" t="e">
            <v>#VALUE!</v>
          </cell>
          <cell r="AX376" t="e">
            <v>#VALUE!</v>
          </cell>
          <cell r="AY376" t="e">
            <v>#VALUE!</v>
          </cell>
          <cell r="AZ376" t="e">
            <v>#VALUE!</v>
          </cell>
          <cell r="BA376" t="e">
            <v>#VALUE!</v>
          </cell>
          <cell r="BB376" t="e">
            <v>#VALUE!</v>
          </cell>
          <cell r="BC376" t="e">
            <v>#VALUE!</v>
          </cell>
          <cell r="BD376" t="e">
            <v>#VALUE!</v>
          </cell>
          <cell r="BE376" t="e">
            <v>#VALUE!</v>
          </cell>
        </row>
        <row r="377">
          <cell r="H377">
            <v>1.298344620015049</v>
          </cell>
          <cell r="I377">
            <v>1.0884615384615384</v>
          </cell>
          <cell r="J377">
            <v>1.3344036697247705</v>
          </cell>
          <cell r="K377">
            <v>2.1071428571428572</v>
          </cell>
          <cell r="L377">
            <v>1.3079710144927537</v>
          </cell>
          <cell r="M377">
            <v>1.4615384615384615</v>
          </cell>
          <cell r="N377">
            <v>1.2076458752515091</v>
          </cell>
          <cell r="O377">
            <v>1.2331658291457286</v>
          </cell>
          <cell r="P377">
            <v>1.2897196261682242</v>
          </cell>
          <cell r="Q377">
            <v>1.2093510118632238</v>
          </cell>
          <cell r="R377">
            <v>1.4993282579489475</v>
          </cell>
          <cell r="S377">
            <v>1.3449048152295633</v>
          </cell>
          <cell r="T377" t="e">
            <v>#VALUE!</v>
          </cell>
          <cell r="U377">
            <v>1.1811111111111112</v>
          </cell>
          <cell r="V377">
            <v>1.7794871794871794</v>
          </cell>
          <cell r="W377">
            <v>1.298344620015049</v>
          </cell>
          <cell r="X377">
            <v>1.2711926605504587</v>
          </cell>
          <cell r="Y377">
            <v>1.3425110132158589</v>
          </cell>
          <cell r="Z377" t="e">
            <v>#N/A</v>
          </cell>
          <cell r="AA377">
            <v>1.3500213552208873</v>
          </cell>
          <cell r="AB377">
            <v>1.3500213552208873</v>
          </cell>
          <cell r="AC377">
            <v>1.1115297663903543</v>
          </cell>
          <cell r="AD377" t="e">
            <v>#N/A</v>
          </cell>
          <cell r="AE377">
            <v>1.7230769230769232</v>
          </cell>
          <cell r="AF377">
            <v>1.6692789968652038</v>
          </cell>
          <cell r="AG377">
            <v>1.6380487804878048</v>
          </cell>
          <cell r="AH377">
            <v>1.7794871794871794</v>
          </cell>
          <cell r="AI377">
            <v>1.6920612419647574</v>
          </cell>
          <cell r="AJ377" t="e">
            <v>#VALUE!</v>
          </cell>
          <cell r="AK377">
            <v>1.3761904761904762</v>
          </cell>
          <cell r="AL377">
            <v>1.2003773584905659</v>
          </cell>
          <cell r="AM377">
            <v>1.3889655172413793</v>
          </cell>
          <cell r="AN377">
            <v>2.8514285714285714</v>
          </cell>
          <cell r="AO377" t="e">
            <v>#N/A</v>
          </cell>
          <cell r="AP377">
            <v>1.454878048780488</v>
          </cell>
          <cell r="AQ377" t="e">
            <v>#VALUE!</v>
          </cell>
          <cell r="AR377">
            <v>1.454878048780488</v>
          </cell>
          <cell r="AS377">
            <v>1.6380487804878048</v>
          </cell>
          <cell r="AT377" t="e">
            <v>#N/A</v>
          </cell>
          <cell r="AU377">
            <v>1.3881974248927038</v>
          </cell>
          <cell r="AV377">
            <v>1.3881974248927038</v>
          </cell>
          <cell r="AW377" t="e">
            <v>#VALUE!</v>
          </cell>
          <cell r="AX377" t="e">
            <v>#VALUE!</v>
          </cell>
          <cell r="AY377" t="e">
            <v>#VALUE!</v>
          </cell>
          <cell r="AZ377" t="e">
            <v>#VALUE!</v>
          </cell>
          <cell r="BA377" t="e">
            <v>#VALUE!</v>
          </cell>
          <cell r="BB377" t="e">
            <v>#VALUE!</v>
          </cell>
          <cell r="BC377" t="e">
            <v>#VALUE!</v>
          </cell>
          <cell r="BD377" t="e">
            <v>#VALUE!</v>
          </cell>
          <cell r="BE377" t="e">
            <v>#VALUE!</v>
          </cell>
        </row>
        <row r="378">
          <cell r="H378">
            <v>0.29834462001504902</v>
          </cell>
          <cell r="I378">
            <v>8.8461538461538369E-2</v>
          </cell>
          <cell r="J378">
            <v>0.33440366972477054</v>
          </cell>
          <cell r="K378">
            <v>1.1071428571428572</v>
          </cell>
          <cell r="L378">
            <v>0.30797101449275366</v>
          </cell>
          <cell r="M378">
            <v>0.46153846153846145</v>
          </cell>
          <cell r="N378">
            <v>0.20764587525150913</v>
          </cell>
          <cell r="O378">
            <v>0.23316582914572859</v>
          </cell>
          <cell r="P378">
            <v>0.28971962616822422</v>
          </cell>
          <cell r="Q378">
            <v>0.2093510118632238</v>
          </cell>
          <cell r="R378">
            <v>0.49932825794894753</v>
          </cell>
          <cell r="S378">
            <v>0.34490481522956329</v>
          </cell>
          <cell r="T378" t="e">
            <v>#VALUE!</v>
          </cell>
          <cell r="U378">
            <v>0.18111111111111122</v>
          </cell>
          <cell r="V378">
            <v>0.77948717948717938</v>
          </cell>
          <cell r="W378">
            <v>0.29834462001504902</v>
          </cell>
          <cell r="X378">
            <v>0.27119266055045865</v>
          </cell>
          <cell r="Y378">
            <v>0.34251101321585886</v>
          </cell>
          <cell r="Z378" t="e">
            <v>#N/A</v>
          </cell>
          <cell r="AA378">
            <v>0.35002135522088729</v>
          </cell>
          <cell r="AB378">
            <v>0.35002135522088729</v>
          </cell>
          <cell r="AC378">
            <v>0.11152976639035428</v>
          </cell>
          <cell r="AD378" t="e">
            <v>#N/A</v>
          </cell>
          <cell r="AE378">
            <v>0.72307692307692317</v>
          </cell>
          <cell r="AF378">
            <v>0.66927899686520376</v>
          </cell>
          <cell r="AG378">
            <v>0.63804878048780478</v>
          </cell>
          <cell r="AH378">
            <v>0.77948717948717938</v>
          </cell>
          <cell r="AI378">
            <v>0.69206124196475738</v>
          </cell>
          <cell r="AJ378" t="e">
            <v>#VALUE!</v>
          </cell>
          <cell r="AK378">
            <v>0.37619047619047619</v>
          </cell>
          <cell r="AL378">
            <v>0.20037735849056593</v>
          </cell>
          <cell r="AM378">
            <v>0.38896551724137929</v>
          </cell>
          <cell r="AN378">
            <v>1.8514285714285714</v>
          </cell>
          <cell r="AO378" t="e">
            <v>#N/A</v>
          </cell>
          <cell r="AP378">
            <v>0.45487804878048799</v>
          </cell>
          <cell r="AQ378" t="e">
            <v>#VALUE!</v>
          </cell>
          <cell r="AR378">
            <v>0.45487804878048799</v>
          </cell>
          <cell r="AS378">
            <v>0.63804878048780478</v>
          </cell>
          <cell r="AT378" t="e">
            <v>#N/A</v>
          </cell>
          <cell r="AU378">
            <v>0.38819742489270381</v>
          </cell>
          <cell r="AV378">
            <v>0.38819742489270381</v>
          </cell>
          <cell r="AW378" t="e">
            <v>#VALUE!</v>
          </cell>
          <cell r="AX378" t="e">
            <v>#VALUE!</v>
          </cell>
          <cell r="AY378" t="e">
            <v>#VALUE!</v>
          </cell>
          <cell r="AZ378" t="e">
            <v>#VALUE!</v>
          </cell>
          <cell r="BA378" t="e">
            <v>#VALUE!</v>
          </cell>
          <cell r="BB378" t="e">
            <v>#VALUE!</v>
          </cell>
          <cell r="BC378" t="e">
            <v>#VALUE!</v>
          </cell>
          <cell r="BD378" t="e">
            <v>#VALUE!</v>
          </cell>
          <cell r="BE378" t="e">
            <v>#VALUE!</v>
          </cell>
        </row>
        <row r="379">
          <cell r="H379" t="e">
            <v>#DIV/0!</v>
          </cell>
          <cell r="I379" t="e">
            <v>#DIV/0!</v>
          </cell>
          <cell r="J379" t="e">
            <v>#DIV/0!</v>
          </cell>
          <cell r="K379" t="e">
            <v>#DIV/0!</v>
          </cell>
          <cell r="L379" t="e">
            <v>#DIV/0!</v>
          </cell>
          <cell r="M379" t="e">
            <v>#DIV/0!</v>
          </cell>
          <cell r="N379" t="e">
            <v>#DIV/0!</v>
          </cell>
          <cell r="O379" t="e">
            <v>#DIV/0!</v>
          </cell>
          <cell r="P379" t="e">
            <v>#DIV/0!</v>
          </cell>
          <cell r="Q379" t="e">
            <v>#DIV/0!</v>
          </cell>
          <cell r="R379" t="e">
            <v>#DIV/0!</v>
          </cell>
          <cell r="S379" t="e">
            <v>#DIV/0!</v>
          </cell>
          <cell r="T379" t="e">
            <v>#DIV/0!</v>
          </cell>
          <cell r="U379" t="e">
            <v>#DIV/0!</v>
          </cell>
          <cell r="V379" t="e">
            <v>#DIV/0!</v>
          </cell>
          <cell r="W379" t="e">
            <v>#DIV/0!</v>
          </cell>
          <cell r="X379" t="e">
            <v>#DIV/0!</v>
          </cell>
          <cell r="Y379">
            <v>9.6752147494687746E-2</v>
          </cell>
          <cell r="Z379" t="e">
            <v>#DIV/0!</v>
          </cell>
          <cell r="AA379" t="e">
            <v>#DIV/0!</v>
          </cell>
          <cell r="AB379" t="e">
            <v>#DIV/0!</v>
          </cell>
          <cell r="AC379" t="e">
            <v>#DIV/0!</v>
          </cell>
          <cell r="AD379" t="e">
            <v>#DIV/0!</v>
          </cell>
          <cell r="AE379" t="e">
            <v>#DIV/0!</v>
          </cell>
          <cell r="AF379" t="e">
            <v>#DIV/0!</v>
          </cell>
          <cell r="AG379" t="e">
            <v>#DIV/0!</v>
          </cell>
          <cell r="AH379" t="e">
            <v>#DIV/0!</v>
          </cell>
          <cell r="AI379" t="e">
            <v>#DIV/0!</v>
          </cell>
          <cell r="AJ379" t="e">
            <v>#DIV/0!</v>
          </cell>
          <cell r="AK379" t="e">
            <v>#DIV/0!</v>
          </cell>
          <cell r="AL379" t="e">
            <v>#DIV/0!</v>
          </cell>
          <cell r="AM379" t="e">
            <v>#DIV/0!</v>
          </cell>
          <cell r="AN379" t="e">
            <v>#DIV/0!</v>
          </cell>
          <cell r="AO379" t="e">
            <v>#DIV/0!</v>
          </cell>
          <cell r="AP379" t="e">
            <v>#DIV/0!</v>
          </cell>
          <cell r="AQ379" t="e">
            <v>#DIV/0!</v>
          </cell>
          <cell r="AR379" t="e">
            <v>#DIV/0!</v>
          </cell>
          <cell r="AS379" t="e">
            <v>#DIV/0!</v>
          </cell>
          <cell r="AT379" t="e">
            <v>#DIV/0!</v>
          </cell>
          <cell r="AU379" t="e">
            <v>#DIV/0!</v>
          </cell>
          <cell r="AV379" t="e">
            <v>#DIV/0!</v>
          </cell>
          <cell r="AW379" t="e">
            <v>#DIV/0!</v>
          </cell>
          <cell r="AX379" t="e">
            <v>#DIV/0!</v>
          </cell>
          <cell r="AY379" t="e">
            <v>#DIV/0!</v>
          </cell>
          <cell r="AZ379" t="e">
            <v>#DIV/0!</v>
          </cell>
          <cell r="BA379" t="e">
            <v>#DIV/0!</v>
          </cell>
          <cell r="BB379" t="e">
            <v>#DIV/0!</v>
          </cell>
          <cell r="BC379" t="e">
            <v>#DIV/0!</v>
          </cell>
          <cell r="BD379" t="e">
            <v>#DIV/0!</v>
          </cell>
          <cell r="BE379" t="e">
            <v>#DIV/0!</v>
          </cell>
        </row>
        <row r="380">
          <cell r="H380" t="e">
            <v>#DIV/0!</v>
          </cell>
          <cell r="I380" t="e">
            <v>#DIV/0!</v>
          </cell>
          <cell r="J380" t="e">
            <v>#DIV/0!</v>
          </cell>
          <cell r="K380" t="e">
            <v>#DIV/0!</v>
          </cell>
          <cell r="L380" t="e">
            <v>#DIV/0!</v>
          </cell>
          <cell r="M380" t="e">
            <v>#DIV/0!</v>
          </cell>
          <cell r="N380" t="e">
            <v>#DIV/0!</v>
          </cell>
          <cell r="O380" t="e">
            <v>#DIV/0!</v>
          </cell>
          <cell r="P380" t="e">
            <v>#DIV/0!</v>
          </cell>
          <cell r="Q380" t="e">
            <v>#DIV/0!</v>
          </cell>
          <cell r="R380" t="e">
            <v>#DIV/0!</v>
          </cell>
          <cell r="S380" t="e">
            <v>#DIV/0!</v>
          </cell>
          <cell r="T380" t="e">
            <v>#DIV/0!</v>
          </cell>
          <cell r="U380" t="e">
            <v>#DIV/0!</v>
          </cell>
          <cell r="V380" t="e">
            <v>#DIV/0!</v>
          </cell>
          <cell r="W380" t="e">
            <v>#DIV/0!</v>
          </cell>
          <cell r="X380" t="e">
            <v>#DIV/0!</v>
          </cell>
          <cell r="Y380">
            <v>9.6752147494687746E-2</v>
          </cell>
          <cell r="Z380" t="e">
            <v>#DIV/0!</v>
          </cell>
          <cell r="AA380" t="e">
            <v>#DIV/0!</v>
          </cell>
          <cell r="AB380" t="e">
            <v>#DIV/0!</v>
          </cell>
          <cell r="AC380" t="e">
            <v>#DIV/0!</v>
          </cell>
          <cell r="AD380" t="e">
            <v>#DIV/0!</v>
          </cell>
          <cell r="AE380" t="e">
            <v>#DIV/0!</v>
          </cell>
          <cell r="AF380" t="e">
            <v>#DIV/0!</v>
          </cell>
          <cell r="AG380" t="e">
            <v>#DIV/0!</v>
          </cell>
          <cell r="AH380" t="e">
            <v>#DIV/0!</v>
          </cell>
          <cell r="AI380" t="e">
            <v>#DIV/0!</v>
          </cell>
          <cell r="AJ380" t="e">
            <v>#DIV/0!</v>
          </cell>
          <cell r="AK380" t="e">
            <v>#DIV/0!</v>
          </cell>
          <cell r="AL380" t="e">
            <v>#DIV/0!</v>
          </cell>
          <cell r="AM380" t="e">
            <v>#DIV/0!</v>
          </cell>
          <cell r="AN380" t="e">
            <v>#DIV/0!</v>
          </cell>
          <cell r="AO380" t="e">
            <v>#DIV/0!</v>
          </cell>
          <cell r="AP380" t="e">
            <v>#DIV/0!</v>
          </cell>
          <cell r="AQ380" t="e">
            <v>#DIV/0!</v>
          </cell>
          <cell r="AR380" t="e">
            <v>#DIV/0!</v>
          </cell>
          <cell r="AS380" t="e">
            <v>#DIV/0!</v>
          </cell>
          <cell r="AT380" t="e">
            <v>#DIV/0!</v>
          </cell>
          <cell r="AU380" t="e">
            <v>#DIV/0!</v>
          </cell>
          <cell r="AV380" t="e">
            <v>#DIV/0!</v>
          </cell>
          <cell r="AW380" t="e">
            <v>#DIV/0!</v>
          </cell>
          <cell r="AX380" t="e">
            <v>#DIV/0!</v>
          </cell>
          <cell r="AY380" t="e">
            <v>#DIV/0!</v>
          </cell>
          <cell r="AZ380" t="e">
            <v>#DIV/0!</v>
          </cell>
          <cell r="BA380" t="e">
            <v>#DIV/0!</v>
          </cell>
          <cell r="BB380" t="e">
            <v>#DIV/0!</v>
          </cell>
          <cell r="BC380" t="e">
            <v>#DIV/0!</v>
          </cell>
          <cell r="BD380" t="e">
            <v>#DIV/0!</v>
          </cell>
          <cell r="BE380" t="e">
            <v>#DIV/0!</v>
          </cell>
        </row>
        <row r="381">
          <cell r="H381" t="e">
            <v>#DIV/0!</v>
          </cell>
          <cell r="I381" t="e">
            <v>#DIV/0!</v>
          </cell>
          <cell r="J381" t="e">
            <v>#DIV/0!</v>
          </cell>
          <cell r="K381" t="e">
            <v>#DIV/0!</v>
          </cell>
          <cell r="L381" t="e">
            <v>#DIV/0!</v>
          </cell>
          <cell r="M381" t="e">
            <v>#DIV/0!</v>
          </cell>
          <cell r="N381" t="e">
            <v>#DIV/0!</v>
          </cell>
          <cell r="O381" t="e">
            <v>#DIV/0!</v>
          </cell>
          <cell r="P381" t="e">
            <v>#DIV/0!</v>
          </cell>
          <cell r="Q381" t="e">
            <v>#DIV/0!</v>
          </cell>
          <cell r="R381" t="e">
            <v>#DIV/0!</v>
          </cell>
          <cell r="S381" t="e">
            <v>#DIV/0!</v>
          </cell>
          <cell r="T381" t="e">
            <v>#DIV/0!</v>
          </cell>
          <cell r="U381" t="e">
            <v>#DIV/0!</v>
          </cell>
          <cell r="V381" t="e">
            <v>#DIV/0!</v>
          </cell>
          <cell r="W381" t="e">
            <v>#DIV/0!</v>
          </cell>
          <cell r="X381" t="e">
            <v>#DIV/0!</v>
          </cell>
          <cell r="Y381">
            <v>9.6752147494687746E-2</v>
          </cell>
          <cell r="Z381" t="e">
            <v>#DIV/0!</v>
          </cell>
          <cell r="AA381" t="e">
            <v>#DIV/0!</v>
          </cell>
          <cell r="AB381" t="e">
            <v>#DIV/0!</v>
          </cell>
          <cell r="AC381" t="e">
            <v>#DIV/0!</v>
          </cell>
          <cell r="AD381" t="e">
            <v>#DIV/0!</v>
          </cell>
          <cell r="AE381" t="e">
            <v>#DIV/0!</v>
          </cell>
          <cell r="AF381" t="e">
            <v>#DIV/0!</v>
          </cell>
          <cell r="AG381" t="e">
            <v>#DIV/0!</v>
          </cell>
          <cell r="AH381" t="e">
            <v>#DIV/0!</v>
          </cell>
          <cell r="AI381" t="e">
            <v>#DIV/0!</v>
          </cell>
          <cell r="AJ381" t="e">
            <v>#DIV/0!</v>
          </cell>
          <cell r="AK381" t="e">
            <v>#DIV/0!</v>
          </cell>
          <cell r="AL381" t="e">
            <v>#DIV/0!</v>
          </cell>
          <cell r="AM381" t="e">
            <v>#DIV/0!</v>
          </cell>
          <cell r="AN381" t="e">
            <v>#DIV/0!</v>
          </cell>
          <cell r="AO381" t="e">
            <v>#DIV/0!</v>
          </cell>
          <cell r="AP381" t="e">
            <v>#DIV/0!</v>
          </cell>
          <cell r="AQ381" t="e">
            <v>#DIV/0!</v>
          </cell>
          <cell r="AR381" t="e">
            <v>#DIV/0!</v>
          </cell>
          <cell r="AS381" t="e">
            <v>#DIV/0!</v>
          </cell>
          <cell r="AT381" t="e">
            <v>#DIV/0!</v>
          </cell>
          <cell r="AU381" t="e">
            <v>#DIV/0!</v>
          </cell>
          <cell r="AV381" t="e">
            <v>#DIV/0!</v>
          </cell>
          <cell r="AW381" t="e">
            <v>#DIV/0!</v>
          </cell>
          <cell r="AX381" t="e">
            <v>#DIV/0!</v>
          </cell>
          <cell r="AY381" t="e">
            <v>#DIV/0!</v>
          </cell>
          <cell r="AZ381" t="e">
            <v>#DIV/0!</v>
          </cell>
          <cell r="BA381" t="e">
            <v>#DIV/0!</v>
          </cell>
          <cell r="BB381" t="e">
            <v>#DIV/0!</v>
          </cell>
          <cell r="BC381" t="e">
            <v>#DIV/0!</v>
          </cell>
          <cell r="BD381" t="e">
            <v>#DIV/0!</v>
          </cell>
          <cell r="BE381" t="e">
            <v>#DIV/0!</v>
          </cell>
        </row>
        <row r="382">
          <cell r="H382" t="e">
            <v>#DIV/0!</v>
          </cell>
          <cell r="I382" t="e">
            <v>#DIV/0!</v>
          </cell>
          <cell r="J382" t="e">
            <v>#DIV/0!</v>
          </cell>
          <cell r="K382" t="e">
            <v>#DIV/0!</v>
          </cell>
          <cell r="L382" t="e">
            <v>#DIV/0!</v>
          </cell>
          <cell r="M382" t="e">
            <v>#DIV/0!</v>
          </cell>
          <cell r="N382" t="e">
            <v>#DIV/0!</v>
          </cell>
          <cell r="O382" t="e">
            <v>#DIV/0!</v>
          </cell>
          <cell r="P382" t="e">
            <v>#DIV/0!</v>
          </cell>
          <cell r="Q382" t="e">
            <v>#DIV/0!</v>
          </cell>
          <cell r="R382" t="e">
            <v>#DIV/0!</v>
          </cell>
          <cell r="S382" t="e">
            <v>#DIV/0!</v>
          </cell>
          <cell r="T382" t="e">
            <v>#DIV/0!</v>
          </cell>
          <cell r="U382" t="e">
            <v>#DIV/0!</v>
          </cell>
          <cell r="V382" t="e">
            <v>#DIV/0!</v>
          </cell>
          <cell r="W382" t="e">
            <v>#DIV/0!</v>
          </cell>
          <cell r="X382" t="e">
            <v>#DIV/0!</v>
          </cell>
          <cell r="Y382">
            <v>8.6972061948397295E-2</v>
          </cell>
          <cell r="Z382" t="e">
            <v>#DIV/0!</v>
          </cell>
          <cell r="AA382" t="e">
            <v>#DIV/0!</v>
          </cell>
          <cell r="AB382" t="e">
            <v>#DIV/0!</v>
          </cell>
          <cell r="AC382" t="e">
            <v>#DIV/0!</v>
          </cell>
          <cell r="AD382" t="e">
            <v>#DIV/0!</v>
          </cell>
          <cell r="AE382" t="e">
            <v>#DIV/0!</v>
          </cell>
          <cell r="AF382" t="e">
            <v>#DIV/0!</v>
          </cell>
          <cell r="AG382" t="e">
            <v>#DIV/0!</v>
          </cell>
          <cell r="AH382" t="e">
            <v>#DIV/0!</v>
          </cell>
          <cell r="AI382" t="e">
            <v>#DIV/0!</v>
          </cell>
          <cell r="AJ382" t="e">
            <v>#DIV/0!</v>
          </cell>
          <cell r="AK382" t="e">
            <v>#DIV/0!</v>
          </cell>
          <cell r="AL382" t="e">
            <v>#DIV/0!</v>
          </cell>
          <cell r="AM382" t="e">
            <v>#DIV/0!</v>
          </cell>
          <cell r="AN382" t="e">
            <v>#DIV/0!</v>
          </cell>
          <cell r="AO382" t="e">
            <v>#DIV/0!</v>
          </cell>
          <cell r="AP382" t="e">
            <v>#DIV/0!</v>
          </cell>
          <cell r="AQ382" t="e">
            <v>#DIV/0!</v>
          </cell>
          <cell r="AR382" t="e">
            <v>#DIV/0!</v>
          </cell>
          <cell r="AS382" t="e">
            <v>#DIV/0!</v>
          </cell>
          <cell r="AT382" t="e">
            <v>#DIV/0!</v>
          </cell>
          <cell r="AU382" t="e">
            <v>#DIV/0!</v>
          </cell>
          <cell r="AV382" t="e">
            <v>#DIV/0!</v>
          </cell>
          <cell r="AW382" t="e">
            <v>#DIV/0!</v>
          </cell>
          <cell r="AX382" t="e">
            <v>#DIV/0!</v>
          </cell>
          <cell r="AY382" t="e">
            <v>#DIV/0!</v>
          </cell>
          <cell r="AZ382" t="e">
            <v>#DIV/0!</v>
          </cell>
          <cell r="BA382" t="e">
            <v>#DIV/0!</v>
          </cell>
          <cell r="BB382" t="e">
            <v>#DIV/0!</v>
          </cell>
          <cell r="BC382" t="e">
            <v>#DIV/0!</v>
          </cell>
          <cell r="BD382" t="e">
            <v>#DIV/0!</v>
          </cell>
          <cell r="BE382" t="e">
            <v>#DIV/0!</v>
          </cell>
        </row>
        <row r="383">
          <cell r="H383" t="e">
            <v>#DIV/0!</v>
          </cell>
          <cell r="I383" t="e">
            <v>#DIV/0!</v>
          </cell>
          <cell r="J383" t="e">
            <v>#DIV/0!</v>
          </cell>
          <cell r="K383" t="e">
            <v>#DIV/0!</v>
          </cell>
          <cell r="L383" t="e">
            <v>#DIV/0!</v>
          </cell>
          <cell r="M383" t="e">
            <v>#DIV/0!</v>
          </cell>
          <cell r="N383" t="e">
            <v>#DIV/0!</v>
          </cell>
          <cell r="O383" t="e">
            <v>#DIV/0!</v>
          </cell>
          <cell r="P383" t="e">
            <v>#DIV/0!</v>
          </cell>
          <cell r="Q383" t="e">
            <v>#DIV/0!</v>
          </cell>
          <cell r="R383" t="e">
            <v>#DIV/0!</v>
          </cell>
          <cell r="S383" t="e">
            <v>#DIV/0!</v>
          </cell>
          <cell r="T383" t="e">
            <v>#DIV/0!</v>
          </cell>
          <cell r="U383" t="e">
            <v>#DIV/0!</v>
          </cell>
          <cell r="V383" t="e">
            <v>#DIV/0!</v>
          </cell>
          <cell r="W383" t="e">
            <v>#DIV/0!</v>
          </cell>
          <cell r="X383" t="e">
            <v>#DIV/0!</v>
          </cell>
          <cell r="Y383">
            <v>5.6909100192852294E-2</v>
          </cell>
          <cell r="Z383" t="e">
            <v>#DIV/0!</v>
          </cell>
          <cell r="AA383" t="e">
            <v>#DIV/0!</v>
          </cell>
          <cell r="AB383" t="e">
            <v>#DIV/0!</v>
          </cell>
          <cell r="AC383" t="e">
            <v>#DIV/0!</v>
          </cell>
          <cell r="AD383" t="e">
            <v>#DIV/0!</v>
          </cell>
          <cell r="AE383" t="e">
            <v>#DIV/0!</v>
          </cell>
          <cell r="AF383" t="e">
            <v>#DIV/0!</v>
          </cell>
          <cell r="AG383" t="e">
            <v>#DIV/0!</v>
          </cell>
          <cell r="AH383" t="e">
            <v>#DIV/0!</v>
          </cell>
          <cell r="AI383" t="e">
            <v>#DIV/0!</v>
          </cell>
          <cell r="AJ383" t="e">
            <v>#DIV/0!</v>
          </cell>
          <cell r="AK383" t="e">
            <v>#DIV/0!</v>
          </cell>
          <cell r="AL383" t="e">
            <v>#DIV/0!</v>
          </cell>
          <cell r="AM383" t="e">
            <v>#DIV/0!</v>
          </cell>
          <cell r="AN383" t="e">
            <v>#DIV/0!</v>
          </cell>
          <cell r="AO383" t="e">
            <v>#DIV/0!</v>
          </cell>
          <cell r="AP383" t="e">
            <v>#DIV/0!</v>
          </cell>
          <cell r="AQ383" t="e">
            <v>#DIV/0!</v>
          </cell>
          <cell r="AR383" t="e">
            <v>#DIV/0!</v>
          </cell>
          <cell r="AS383" t="e">
            <v>#DIV/0!</v>
          </cell>
          <cell r="AT383" t="e">
            <v>#DIV/0!</v>
          </cell>
          <cell r="AU383" t="e">
            <v>#DIV/0!</v>
          </cell>
          <cell r="AV383" t="e">
            <v>#DIV/0!</v>
          </cell>
          <cell r="AW383" t="e">
            <v>#DIV/0!</v>
          </cell>
          <cell r="AX383" t="e">
            <v>#DIV/0!</v>
          </cell>
          <cell r="AY383" t="e">
            <v>#DIV/0!</v>
          </cell>
          <cell r="AZ383" t="e">
            <v>#DIV/0!</v>
          </cell>
          <cell r="BA383" t="e">
            <v>#DIV/0!</v>
          </cell>
          <cell r="BB383" t="e">
            <v>#DIV/0!</v>
          </cell>
          <cell r="BC383" t="e">
            <v>#DIV/0!</v>
          </cell>
          <cell r="BD383" t="e">
            <v>#DIV/0!</v>
          </cell>
          <cell r="BE383" t="e">
            <v>#DIV/0!</v>
          </cell>
        </row>
        <row r="389">
          <cell r="H389">
            <v>34.51</v>
          </cell>
          <cell r="I389">
            <v>5.66</v>
          </cell>
          <cell r="J389">
            <v>29.09</v>
          </cell>
          <cell r="K389">
            <v>44.25</v>
          </cell>
          <cell r="L389">
            <v>18.05</v>
          </cell>
          <cell r="M389">
            <v>19</v>
          </cell>
          <cell r="N389">
            <v>30.01</v>
          </cell>
          <cell r="O389">
            <v>12.27</v>
          </cell>
          <cell r="P389">
            <v>5.52</v>
          </cell>
          <cell r="Q389">
            <v>17.329999999999998</v>
          </cell>
          <cell r="R389">
            <v>33.479999999999997</v>
          </cell>
          <cell r="S389">
            <v>24.02</v>
          </cell>
          <cell r="T389" t="e">
            <v>#VALUE!</v>
          </cell>
          <cell r="U389">
            <v>21.26</v>
          </cell>
          <cell r="V389">
            <v>52.05</v>
          </cell>
          <cell r="W389">
            <v>34.51</v>
          </cell>
          <cell r="X389">
            <v>34.64</v>
          </cell>
          <cell r="Y389">
            <v>24.38</v>
          </cell>
          <cell r="Z389" t="e">
            <v>#N/A</v>
          </cell>
          <cell r="AA389">
            <v>72.7</v>
          </cell>
          <cell r="AB389">
            <v>72.7</v>
          </cell>
          <cell r="AC389">
            <v>14.75</v>
          </cell>
          <cell r="AD389" t="e">
            <v>#N/A</v>
          </cell>
          <cell r="AE389">
            <v>7.84</v>
          </cell>
          <cell r="AF389">
            <v>53.25</v>
          </cell>
          <cell r="AG389">
            <v>33.58</v>
          </cell>
          <cell r="AH389">
            <v>52.05</v>
          </cell>
          <cell r="AI389">
            <v>8.26</v>
          </cell>
          <cell r="AJ389" t="e">
            <v>#VALUE!</v>
          </cell>
          <cell r="AK389">
            <v>28.9</v>
          </cell>
          <cell r="AL389">
            <v>31.81</v>
          </cell>
          <cell r="AM389">
            <v>50.35</v>
          </cell>
          <cell r="AN389">
            <v>4.99</v>
          </cell>
          <cell r="AO389" t="e">
            <v>#N/A</v>
          </cell>
          <cell r="AP389">
            <v>47.72</v>
          </cell>
          <cell r="AQ389" t="e">
            <v>#VALUE!</v>
          </cell>
          <cell r="AR389">
            <v>47.72</v>
          </cell>
          <cell r="AS389">
            <v>33.58</v>
          </cell>
          <cell r="AT389" t="e">
            <v>#N/A</v>
          </cell>
          <cell r="AU389">
            <v>64.69</v>
          </cell>
          <cell r="AV389">
            <v>64.69</v>
          </cell>
          <cell r="AW389" t="e">
            <v>#VALUE!</v>
          </cell>
          <cell r="AX389" t="e">
            <v>#VALUE!</v>
          </cell>
          <cell r="AY389" t="e">
            <v>#VALUE!</v>
          </cell>
          <cell r="AZ389" t="e">
            <v>#VALUE!</v>
          </cell>
          <cell r="BA389" t="e">
            <v>#VALUE!</v>
          </cell>
          <cell r="BB389" t="e">
            <v>#VALUE!</v>
          </cell>
          <cell r="BC389" t="e">
            <v>#VALUE!</v>
          </cell>
          <cell r="BD389" t="e">
            <v>#VALUE!</v>
          </cell>
          <cell r="BE389" t="e">
            <v>#VALUE!</v>
          </cell>
        </row>
        <row r="390">
          <cell r="H390">
            <v>59.207999999999998</v>
          </cell>
          <cell r="I390">
            <v>145.916</v>
          </cell>
          <cell r="J390">
            <v>42.494525000000003</v>
          </cell>
          <cell r="K390">
            <v>26.085000000000001</v>
          </cell>
          <cell r="L390">
            <v>60.100999999999999</v>
          </cell>
          <cell r="M390">
            <v>213.28299999999999</v>
          </cell>
          <cell r="N390">
            <v>45.409689999999998</v>
          </cell>
          <cell r="O390">
            <v>15.414</v>
          </cell>
          <cell r="P390">
            <v>125.556</v>
          </cell>
          <cell r="Q390">
            <v>186.74</v>
          </cell>
          <cell r="R390">
            <v>35.048999999999999</v>
          </cell>
          <cell r="S390">
            <v>136.77799999999999</v>
          </cell>
          <cell r="T390">
            <v>57.9</v>
          </cell>
          <cell r="U390">
            <v>16.077313</v>
          </cell>
          <cell r="V390">
            <v>28.199946000000001</v>
          </cell>
          <cell r="W390">
            <v>52.961227999999998</v>
          </cell>
          <cell r="X390">
            <v>47.744526999999998</v>
          </cell>
          <cell r="Y390">
            <v>44.61</v>
          </cell>
          <cell r="Z390">
            <v>135.58958899999999</v>
          </cell>
          <cell r="AA390">
            <v>53.001061999999997</v>
          </cell>
          <cell r="AB390">
            <v>112.89100000000001</v>
          </cell>
          <cell r="AC390">
            <v>40.850999999999999</v>
          </cell>
          <cell r="AD390">
            <v>0</v>
          </cell>
          <cell r="AE390">
            <v>71.217195000000004</v>
          </cell>
          <cell r="AF390">
            <v>44.747</v>
          </cell>
          <cell r="AG390">
            <v>24.778272999999999</v>
          </cell>
          <cell r="AH390">
            <v>26.098680000000002</v>
          </cell>
          <cell r="AI390">
            <v>0</v>
          </cell>
          <cell r="AJ390">
            <v>31.284690000000001</v>
          </cell>
          <cell r="AK390">
            <v>57.9</v>
          </cell>
          <cell r="AL390">
            <v>301</v>
          </cell>
          <cell r="AM390">
            <v>73.771000000000001</v>
          </cell>
          <cell r="AN390">
            <v>12.315314000000001</v>
          </cell>
          <cell r="AO390">
            <v>0</v>
          </cell>
          <cell r="AP390">
            <v>0</v>
          </cell>
          <cell r="AQ390">
            <v>0</v>
          </cell>
          <cell r="AR390">
            <v>68.506</v>
          </cell>
          <cell r="AS390">
            <v>12.884701959999999</v>
          </cell>
          <cell r="AT390">
            <v>0</v>
          </cell>
          <cell r="AU390">
            <v>0</v>
          </cell>
          <cell r="AV390">
            <v>460</v>
          </cell>
          <cell r="AW390">
            <v>0</v>
          </cell>
          <cell r="AX390">
            <v>0</v>
          </cell>
          <cell r="AY390">
            <v>0</v>
          </cell>
          <cell r="AZ390">
            <v>0</v>
          </cell>
          <cell r="BA390">
            <v>0</v>
          </cell>
          <cell r="BB390">
            <v>0</v>
          </cell>
          <cell r="BC390">
            <v>0</v>
          </cell>
          <cell r="BD390">
            <v>0</v>
          </cell>
          <cell r="BE390">
            <v>0</v>
          </cell>
        </row>
        <row r="393">
          <cell r="H393">
            <v>0</v>
          </cell>
          <cell r="I393">
            <v>0</v>
          </cell>
          <cell r="J393">
            <v>0</v>
          </cell>
          <cell r="K393">
            <v>0</v>
          </cell>
          <cell r="L393">
            <v>0</v>
          </cell>
          <cell r="M393">
            <v>0</v>
          </cell>
          <cell r="N393">
            <v>0</v>
          </cell>
          <cell r="O393">
            <v>0</v>
          </cell>
          <cell r="P393">
            <v>0</v>
          </cell>
          <cell r="Q393">
            <v>0</v>
          </cell>
          <cell r="R393">
            <v>0</v>
          </cell>
          <cell r="S393">
            <v>0</v>
          </cell>
          <cell r="T393">
            <v>0</v>
          </cell>
          <cell r="U393">
            <v>2.5030000000000001</v>
          </cell>
          <cell r="V393">
            <v>0</v>
          </cell>
          <cell r="W393">
            <v>5.6609999999999996</v>
          </cell>
          <cell r="X393">
            <v>5.0519999999999996</v>
          </cell>
          <cell r="Y393">
            <v>5.1552319999999998</v>
          </cell>
          <cell r="Z393">
            <v>8.721584</v>
          </cell>
          <cell r="AA393">
            <v>3.6339999999999999</v>
          </cell>
          <cell r="AB393">
            <v>0</v>
          </cell>
          <cell r="AC393">
            <v>2.2189999999999999</v>
          </cell>
          <cell r="AD393">
            <v>0</v>
          </cell>
          <cell r="AE393">
            <v>6.3520000000000012</v>
          </cell>
          <cell r="AF393">
            <v>0</v>
          </cell>
          <cell r="AG393">
            <v>7.7510000000000003</v>
          </cell>
          <cell r="AH393">
            <v>1.796775</v>
          </cell>
          <cell r="AI393">
            <v>0</v>
          </cell>
          <cell r="AJ393">
            <v>1.796775</v>
          </cell>
          <cell r="AK393">
            <v>0</v>
          </cell>
          <cell r="AL393">
            <v>60.732304999999997</v>
          </cell>
          <cell r="AM393">
            <v>3.5651830000000002</v>
          </cell>
          <cell r="AN393">
            <v>2.4042520000000001</v>
          </cell>
          <cell r="AO393">
            <v>0</v>
          </cell>
          <cell r="AP393">
            <v>0</v>
          </cell>
          <cell r="AQ393">
            <v>0</v>
          </cell>
          <cell r="AR393">
            <v>0.95021299999999997</v>
          </cell>
          <cell r="AS393">
            <v>4.0305200000000001</v>
          </cell>
          <cell r="AT393">
            <v>0</v>
          </cell>
          <cell r="AU393">
            <v>0</v>
          </cell>
          <cell r="AV393">
            <v>0</v>
          </cell>
          <cell r="AW393">
            <v>0</v>
          </cell>
          <cell r="AX393">
            <v>0</v>
          </cell>
          <cell r="AY393">
            <v>0</v>
          </cell>
          <cell r="AZ393">
            <v>0</v>
          </cell>
          <cell r="BA393">
            <v>0</v>
          </cell>
          <cell r="BB393">
            <v>0</v>
          </cell>
          <cell r="BC393">
            <v>0</v>
          </cell>
          <cell r="BD393">
            <v>0</v>
          </cell>
          <cell r="BE393">
            <v>0</v>
          </cell>
        </row>
        <row r="394">
          <cell r="H394">
            <v>0</v>
          </cell>
          <cell r="I394">
            <v>0</v>
          </cell>
          <cell r="J394">
            <v>0</v>
          </cell>
          <cell r="K394">
            <v>0</v>
          </cell>
          <cell r="L394">
            <v>0</v>
          </cell>
          <cell r="M394">
            <v>0</v>
          </cell>
          <cell r="N394">
            <v>0</v>
          </cell>
          <cell r="O394">
            <v>0</v>
          </cell>
          <cell r="P394">
            <v>0</v>
          </cell>
          <cell r="Q394">
            <v>0</v>
          </cell>
          <cell r="R394">
            <v>0</v>
          </cell>
          <cell r="S394">
            <v>0</v>
          </cell>
          <cell r="T394">
            <v>0</v>
          </cell>
          <cell r="U394">
            <v>18.14</v>
          </cell>
          <cell r="V394">
            <v>0</v>
          </cell>
          <cell r="W394">
            <v>46.72</v>
          </cell>
          <cell r="X394">
            <v>36.450000000000003</v>
          </cell>
          <cell r="Y394">
            <v>22.4</v>
          </cell>
          <cell r="Z394">
            <v>13.83</v>
          </cell>
          <cell r="AA394">
            <v>24</v>
          </cell>
          <cell r="AB394">
            <v>42</v>
          </cell>
          <cell r="AC394">
            <v>13.46</v>
          </cell>
          <cell r="AD394">
            <v>0</v>
          </cell>
          <cell r="AE394">
            <v>10.304480478589419</v>
          </cell>
          <cell r="AF394">
            <v>26.04</v>
          </cell>
          <cell r="AG394">
            <v>18.55</v>
          </cell>
          <cell r="AH394">
            <v>13.52</v>
          </cell>
          <cell r="AI394">
            <v>0</v>
          </cell>
          <cell r="AJ394">
            <v>13.52</v>
          </cell>
          <cell r="AK394">
            <v>0</v>
          </cell>
          <cell r="AL394">
            <v>39.36</v>
          </cell>
          <cell r="AM394">
            <v>32.39</v>
          </cell>
          <cell r="AN394">
            <v>9.9</v>
          </cell>
          <cell r="AO394">
            <v>0</v>
          </cell>
          <cell r="AP394">
            <v>0</v>
          </cell>
          <cell r="AQ394">
            <v>0</v>
          </cell>
          <cell r="AR394">
            <v>20.514070571545538</v>
          </cell>
          <cell r="AS394">
            <v>9.6460000000000008</v>
          </cell>
          <cell r="AT394">
            <v>0</v>
          </cell>
          <cell r="AU394">
            <v>0</v>
          </cell>
          <cell r="AV394">
            <v>34.83</v>
          </cell>
          <cell r="AW394">
            <v>0</v>
          </cell>
          <cell r="AX394">
            <v>0</v>
          </cell>
          <cell r="AY394">
            <v>0</v>
          </cell>
          <cell r="AZ394">
            <v>0</v>
          </cell>
          <cell r="BA394">
            <v>0</v>
          </cell>
          <cell r="BB394">
            <v>0</v>
          </cell>
          <cell r="BC394">
            <v>0</v>
          </cell>
          <cell r="BD394">
            <v>0</v>
          </cell>
          <cell r="BE394">
            <v>0</v>
          </cell>
        </row>
        <row r="395">
          <cell r="H395">
            <v>0</v>
          </cell>
          <cell r="I395">
            <v>0</v>
          </cell>
          <cell r="J395">
            <v>0</v>
          </cell>
          <cell r="K395">
            <v>0</v>
          </cell>
          <cell r="L395">
            <v>0</v>
          </cell>
          <cell r="M395">
            <v>0</v>
          </cell>
          <cell r="N395">
            <v>0</v>
          </cell>
          <cell r="O395">
            <v>0</v>
          </cell>
          <cell r="P395">
            <v>0</v>
          </cell>
          <cell r="Q395">
            <v>0</v>
          </cell>
          <cell r="R395">
            <v>0</v>
          </cell>
          <cell r="S395">
            <v>0</v>
          </cell>
          <cell r="T395" t="e">
            <v>#VALUE!</v>
          </cell>
          <cell r="U395">
            <v>0.36732643461900283</v>
          </cell>
          <cell r="V395">
            <v>0</v>
          </cell>
          <cell r="W395">
            <v>0</v>
          </cell>
          <cell r="X395">
            <v>0</v>
          </cell>
          <cell r="Y395">
            <v>0.41867757834290398</v>
          </cell>
          <cell r="Z395" t="e">
            <v>#N/A</v>
          </cell>
          <cell r="AA395">
            <v>2.4343301237964239</v>
          </cell>
          <cell r="AB395">
            <v>0</v>
          </cell>
          <cell r="AC395">
            <v>0.19406847457627086</v>
          </cell>
          <cell r="AD395" t="e">
            <v>#N/A</v>
          </cell>
          <cell r="AE395">
            <v>0</v>
          </cell>
          <cell r="AF395">
            <v>0</v>
          </cell>
          <cell r="AG395">
            <v>3.4692534246575333</v>
          </cell>
          <cell r="AH395">
            <v>1.3300622622478386</v>
          </cell>
          <cell r="AI395">
            <v>0</v>
          </cell>
          <cell r="AJ395" t="e">
            <v>#VALUE!</v>
          </cell>
          <cell r="AK395">
            <v>0</v>
          </cell>
          <cell r="AL395">
            <v>0</v>
          </cell>
          <cell r="AM395">
            <v>1.2717117513406158</v>
          </cell>
          <cell r="AN395">
            <v>0</v>
          </cell>
          <cell r="AO395" t="e">
            <v>#N/A</v>
          </cell>
          <cell r="AP395">
            <v>0</v>
          </cell>
          <cell r="AQ395" t="e">
            <v>#VALUE!</v>
          </cell>
          <cell r="AR395">
            <v>0.54173151341156744</v>
          </cell>
          <cell r="AS395">
            <v>2.8727357260273969</v>
          </cell>
          <cell r="AT395" t="e">
            <v>#N/A</v>
          </cell>
          <cell r="AU395">
            <v>0</v>
          </cell>
          <cell r="AV395">
            <v>0</v>
          </cell>
          <cell r="AW395" t="e">
            <v>#VALUE!</v>
          </cell>
          <cell r="AX395" t="e">
            <v>#VALUE!</v>
          </cell>
          <cell r="AY395" t="e">
            <v>#VALUE!</v>
          </cell>
          <cell r="AZ395" t="e">
            <v>#VALUE!</v>
          </cell>
          <cell r="BA395" t="e">
            <v>#VALUE!</v>
          </cell>
          <cell r="BB395" t="e">
            <v>#VALUE!</v>
          </cell>
          <cell r="BC395" t="e">
            <v>#VALUE!</v>
          </cell>
          <cell r="BD395" t="e">
            <v>#VALUE!</v>
          </cell>
          <cell r="BE395" t="e">
            <v>#VALUE!</v>
          </cell>
        </row>
        <row r="398">
          <cell r="H398">
            <v>0</v>
          </cell>
          <cell r="I398">
            <v>0</v>
          </cell>
          <cell r="J398">
            <v>0</v>
          </cell>
          <cell r="K398">
            <v>0</v>
          </cell>
          <cell r="L398">
            <v>0</v>
          </cell>
          <cell r="M398">
            <v>0</v>
          </cell>
          <cell r="N398">
            <v>0</v>
          </cell>
          <cell r="O398">
            <v>0</v>
          </cell>
          <cell r="P398">
            <v>0</v>
          </cell>
          <cell r="Q398">
            <v>0</v>
          </cell>
          <cell r="R398">
            <v>0</v>
          </cell>
          <cell r="S398">
            <v>0</v>
          </cell>
          <cell r="T398">
            <v>0</v>
          </cell>
          <cell r="U398">
            <v>0.44</v>
          </cell>
          <cell r="V398">
            <v>0</v>
          </cell>
          <cell r="W398">
            <v>0</v>
          </cell>
          <cell r="X398">
            <v>0</v>
          </cell>
          <cell r="Y398">
            <v>0</v>
          </cell>
          <cell r="Z398">
            <v>0</v>
          </cell>
          <cell r="AA398">
            <v>0</v>
          </cell>
          <cell r="AB398">
            <v>0</v>
          </cell>
          <cell r="AC398">
            <v>0</v>
          </cell>
          <cell r="AD398">
            <v>0</v>
          </cell>
          <cell r="AE398">
            <v>0.78749999999999998</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row>
        <row r="399">
          <cell r="H399">
            <v>0</v>
          </cell>
          <cell r="I399">
            <v>0</v>
          </cell>
          <cell r="J399">
            <v>0</v>
          </cell>
          <cell r="K399">
            <v>0</v>
          </cell>
          <cell r="L399">
            <v>0</v>
          </cell>
          <cell r="M399">
            <v>0</v>
          </cell>
          <cell r="N399">
            <v>0</v>
          </cell>
          <cell r="O399">
            <v>0</v>
          </cell>
          <cell r="P399">
            <v>0</v>
          </cell>
          <cell r="Q399">
            <v>0</v>
          </cell>
          <cell r="R399">
            <v>0</v>
          </cell>
          <cell r="S399">
            <v>0</v>
          </cell>
          <cell r="T399">
            <v>0</v>
          </cell>
          <cell r="U399">
            <v>5.82</v>
          </cell>
          <cell r="V399">
            <v>0</v>
          </cell>
          <cell r="W399">
            <v>0</v>
          </cell>
          <cell r="X399">
            <v>0</v>
          </cell>
          <cell r="Y399">
            <v>0</v>
          </cell>
          <cell r="Z399">
            <v>0</v>
          </cell>
          <cell r="AA399">
            <v>0</v>
          </cell>
          <cell r="AB399">
            <v>0</v>
          </cell>
          <cell r="AC399">
            <v>0</v>
          </cell>
          <cell r="AD399">
            <v>0</v>
          </cell>
          <cell r="AE399">
            <v>14.8</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row>
        <row r="400">
          <cell r="H400">
            <v>0</v>
          </cell>
          <cell r="I400">
            <v>0</v>
          </cell>
          <cell r="J400">
            <v>0</v>
          </cell>
          <cell r="K400">
            <v>0</v>
          </cell>
          <cell r="L400">
            <v>0</v>
          </cell>
          <cell r="M400">
            <v>0</v>
          </cell>
          <cell r="N400">
            <v>0</v>
          </cell>
          <cell r="O400">
            <v>0</v>
          </cell>
          <cell r="P400">
            <v>0</v>
          </cell>
          <cell r="Q400">
            <v>0</v>
          </cell>
          <cell r="R400">
            <v>0</v>
          </cell>
          <cell r="S400">
            <v>0</v>
          </cell>
          <cell r="T400" t="e">
            <v>#VALUE!</v>
          </cell>
          <cell r="U400">
            <v>0.31954844778927566</v>
          </cell>
          <cell r="V400">
            <v>0</v>
          </cell>
          <cell r="W400">
            <v>0</v>
          </cell>
          <cell r="X400">
            <v>0</v>
          </cell>
          <cell r="Y400">
            <v>0</v>
          </cell>
          <cell r="Z400" t="e">
            <v>#N/A</v>
          </cell>
          <cell r="AA400">
            <v>0</v>
          </cell>
          <cell r="AB400">
            <v>0</v>
          </cell>
          <cell r="AC400">
            <v>0</v>
          </cell>
          <cell r="AD400" t="e">
            <v>#N/A</v>
          </cell>
          <cell r="AE400">
            <v>0</v>
          </cell>
          <cell r="AF400">
            <v>0</v>
          </cell>
          <cell r="AG400">
            <v>0</v>
          </cell>
          <cell r="AH400">
            <v>0</v>
          </cell>
          <cell r="AI400">
            <v>0</v>
          </cell>
          <cell r="AJ400" t="e">
            <v>#VALUE!</v>
          </cell>
          <cell r="AK400">
            <v>0</v>
          </cell>
          <cell r="AL400">
            <v>0</v>
          </cell>
          <cell r="AM400">
            <v>0</v>
          </cell>
          <cell r="AN400">
            <v>0</v>
          </cell>
          <cell r="AO400" t="e">
            <v>#N/A</v>
          </cell>
          <cell r="AP400">
            <v>0</v>
          </cell>
          <cell r="AQ400" t="e">
            <v>#VALUE!</v>
          </cell>
          <cell r="AR400">
            <v>0</v>
          </cell>
          <cell r="AS400">
            <v>0</v>
          </cell>
          <cell r="AT400" t="e">
            <v>#N/A</v>
          </cell>
          <cell r="AU400">
            <v>0</v>
          </cell>
          <cell r="AV400">
            <v>0</v>
          </cell>
          <cell r="AW400" t="e">
            <v>#VALUE!</v>
          </cell>
          <cell r="AX400" t="e">
            <v>#VALUE!</v>
          </cell>
          <cell r="AY400" t="e">
            <v>#VALUE!</v>
          </cell>
          <cell r="AZ400" t="e">
            <v>#VALUE!</v>
          </cell>
          <cell r="BA400" t="e">
            <v>#VALUE!</v>
          </cell>
          <cell r="BB400" t="e">
            <v>#VALUE!</v>
          </cell>
          <cell r="BC400" t="e">
            <v>#VALUE!</v>
          </cell>
          <cell r="BD400" t="e">
            <v>#VALUE!</v>
          </cell>
          <cell r="BE400" t="e">
            <v>#VALUE!</v>
          </cell>
        </row>
        <row r="403">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172.5</v>
          </cell>
          <cell r="X403">
            <v>0</v>
          </cell>
          <cell r="Y403">
            <v>0</v>
          </cell>
          <cell r="Z403">
            <v>0</v>
          </cell>
          <cell r="AA403">
            <v>300</v>
          </cell>
          <cell r="AB403">
            <v>300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row>
        <row r="404">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5.5E-2</v>
          </cell>
          <cell r="X404">
            <v>0</v>
          </cell>
          <cell r="Y404">
            <v>0</v>
          </cell>
          <cell r="Z404">
            <v>0</v>
          </cell>
          <cell r="AA404">
            <v>0.05</v>
          </cell>
          <cell r="AB404">
            <v>0.05</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row>
        <row r="405">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85.2</v>
          </cell>
          <cell r="X405">
            <v>0</v>
          </cell>
          <cell r="Y405">
            <v>0</v>
          </cell>
          <cell r="Z405">
            <v>0</v>
          </cell>
          <cell r="AA405">
            <v>52.968800000000002</v>
          </cell>
          <cell r="AB405">
            <v>52.97</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row>
        <row r="406">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2.0246478873239435</v>
          </cell>
          <cell r="X406">
            <v>0</v>
          </cell>
          <cell r="Y406">
            <v>0</v>
          </cell>
          <cell r="Z406">
            <v>0</v>
          </cell>
          <cell r="AA406">
            <v>5.6637114678829796</v>
          </cell>
          <cell r="AB406">
            <v>5.6635831602794031</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row>
        <row r="407">
          <cell r="H407">
            <v>0</v>
          </cell>
          <cell r="I407">
            <v>0</v>
          </cell>
          <cell r="J407">
            <v>0</v>
          </cell>
          <cell r="K407">
            <v>0</v>
          </cell>
          <cell r="L407">
            <v>0</v>
          </cell>
          <cell r="M407">
            <v>0</v>
          </cell>
          <cell r="N407">
            <v>0</v>
          </cell>
          <cell r="O407">
            <v>0</v>
          </cell>
          <cell r="P407">
            <v>0</v>
          </cell>
          <cell r="Q407">
            <v>0</v>
          </cell>
          <cell r="R407">
            <v>0</v>
          </cell>
          <cell r="S407">
            <v>0</v>
          </cell>
          <cell r="T407" t="e">
            <v>#VALUE!</v>
          </cell>
          <cell r="U407">
            <v>-2.0877838070956129E-2</v>
          </cell>
          <cell r="V407">
            <v>6.2927070608341964</v>
          </cell>
          <cell r="W407">
            <v>1.4611726903311231</v>
          </cell>
          <cell r="X407">
            <v>1.959960772048281</v>
          </cell>
          <cell r="Y407">
            <v>0.7272476510780338</v>
          </cell>
          <cell r="Z407" t="e">
            <v>#N/A</v>
          </cell>
          <cell r="AA407">
            <v>1.7739605734255479</v>
          </cell>
          <cell r="AB407">
            <v>2.6776822155884878</v>
          </cell>
          <cell r="AC407">
            <v>0.87442904431335655</v>
          </cell>
          <cell r="AD407" t="e">
            <v>#N/A</v>
          </cell>
          <cell r="AE407">
            <v>0.15154767047480602</v>
          </cell>
          <cell r="AF407">
            <v>2.1999910608532418</v>
          </cell>
          <cell r="AG407">
            <v>1.3329662723010089</v>
          </cell>
          <cell r="AH407">
            <v>0.31671156908847936</v>
          </cell>
          <cell r="AI407" t="e">
            <v>#DIV/0!</v>
          </cell>
          <cell r="AJ407" t="e">
            <v>#VALUE!</v>
          </cell>
          <cell r="AK407">
            <v>1.5082279792746116</v>
          </cell>
          <cell r="AL407">
            <v>1.3029900332225912</v>
          </cell>
          <cell r="AM407">
            <v>1.8855928403663016</v>
          </cell>
          <cell r="AN407">
            <v>-0.24936432802281777</v>
          </cell>
          <cell r="AO407" t="e">
            <v>#N/A</v>
          </cell>
          <cell r="AP407" t="e">
            <v>#DIV/0!</v>
          </cell>
          <cell r="AQ407" t="e">
            <v>#VALUE!</v>
          </cell>
          <cell r="AR407">
            <v>1.1532167423130122</v>
          </cell>
          <cell r="AS407">
            <v>2.3895382453828815</v>
          </cell>
          <cell r="AT407" t="e">
            <v>#N/A</v>
          </cell>
          <cell r="AU407" t="e">
            <v>#DIV/0!</v>
          </cell>
          <cell r="AV407">
            <v>2.9161682608695649</v>
          </cell>
          <cell r="AW407" t="e">
            <v>#VALUE!</v>
          </cell>
          <cell r="AX407" t="e">
            <v>#VALUE!</v>
          </cell>
          <cell r="AY407" t="e">
            <v>#VALUE!</v>
          </cell>
          <cell r="AZ407" t="e">
            <v>#VALUE!</v>
          </cell>
          <cell r="BA407" t="e">
            <v>#VALUE!</v>
          </cell>
          <cell r="BB407" t="e">
            <v>#VALUE!</v>
          </cell>
          <cell r="BC407" t="e">
            <v>#VALUE!</v>
          </cell>
          <cell r="BD407" t="e">
            <v>#VALUE!</v>
          </cell>
          <cell r="BE407" t="e">
            <v>#VALUE!</v>
          </cell>
        </row>
        <row r="408">
          <cell r="H408">
            <v>0</v>
          </cell>
          <cell r="I408">
            <v>0</v>
          </cell>
          <cell r="J408">
            <v>0</v>
          </cell>
          <cell r="K408">
            <v>0</v>
          </cell>
          <cell r="L408">
            <v>0</v>
          </cell>
          <cell r="M408">
            <v>0</v>
          </cell>
          <cell r="N408">
            <v>0</v>
          </cell>
          <cell r="O408">
            <v>0</v>
          </cell>
          <cell r="P408">
            <v>0</v>
          </cell>
          <cell r="Q408">
            <v>0</v>
          </cell>
          <cell r="R408">
            <v>0</v>
          </cell>
          <cell r="S408">
            <v>0</v>
          </cell>
          <cell r="T408" t="e">
            <v>#VALUE!</v>
          </cell>
          <cell r="U408">
            <v>-2.0877838070956129E-2</v>
          </cell>
          <cell r="V408">
            <v>6.2927070608341964</v>
          </cell>
          <cell r="W408">
            <v>1.4073705065383875</v>
          </cell>
          <cell r="X408">
            <v>1.959960772048281</v>
          </cell>
          <cell r="Y408">
            <v>0.7272476510780338</v>
          </cell>
          <cell r="Z408" t="e">
            <v>#N/A</v>
          </cell>
          <cell r="AA408">
            <v>1.6095195218771126</v>
          </cell>
          <cell r="AB408">
            <v>2.5878253171566397</v>
          </cell>
          <cell r="AC408">
            <v>0.87442904431335655</v>
          </cell>
          <cell r="AD408" t="e">
            <v>#N/A</v>
          </cell>
          <cell r="AE408">
            <v>0.15154767047480602</v>
          </cell>
          <cell r="AF408">
            <v>2.1999910608532418</v>
          </cell>
          <cell r="AG408">
            <v>1.3329662723010089</v>
          </cell>
          <cell r="AH408">
            <v>0.31671156908847936</v>
          </cell>
          <cell r="AI408" t="e">
            <v>#DIV/0!</v>
          </cell>
          <cell r="AJ408" t="e">
            <v>#VALUE!</v>
          </cell>
          <cell r="AK408">
            <v>1.5082279792746116</v>
          </cell>
          <cell r="AL408">
            <v>1.3029900332225912</v>
          </cell>
          <cell r="AM408">
            <v>1.8855928403663016</v>
          </cell>
          <cell r="AN408">
            <v>-0.24936432802281777</v>
          </cell>
          <cell r="AO408" t="e">
            <v>#N/A</v>
          </cell>
          <cell r="AP408" t="e">
            <v>#DIV/0!</v>
          </cell>
          <cell r="AQ408" t="e">
            <v>#VALUE!</v>
          </cell>
          <cell r="AR408">
            <v>1.1532167423130122</v>
          </cell>
          <cell r="AS408">
            <v>2.3895382453828815</v>
          </cell>
          <cell r="AT408" t="e">
            <v>#N/A</v>
          </cell>
          <cell r="AU408" t="e">
            <v>#DIV/0!</v>
          </cell>
          <cell r="AV408">
            <v>2.9161682608695649</v>
          </cell>
          <cell r="AW408" t="e">
            <v>#VALUE!</v>
          </cell>
          <cell r="AX408" t="e">
            <v>#VALUE!</v>
          </cell>
          <cell r="AY408" t="e">
            <v>#VALUE!</v>
          </cell>
          <cell r="AZ408" t="e">
            <v>#VALUE!</v>
          </cell>
          <cell r="BA408" t="e">
            <v>#VALUE!</v>
          </cell>
          <cell r="BB408" t="e">
            <v>#VALUE!</v>
          </cell>
          <cell r="BC408" t="e">
            <v>#VALUE!</v>
          </cell>
          <cell r="BD408" t="e">
            <v>#VALUE!</v>
          </cell>
          <cell r="BE408" t="e">
            <v>#VALUE!</v>
          </cell>
        </row>
        <row r="409">
          <cell r="H409" t="str">
            <v>No</v>
          </cell>
          <cell r="I409" t="str">
            <v>No</v>
          </cell>
          <cell r="J409" t="str">
            <v>No</v>
          </cell>
          <cell r="K409" t="str">
            <v>No</v>
          </cell>
          <cell r="L409" t="str">
            <v>No</v>
          </cell>
          <cell r="M409" t="str">
            <v>No</v>
          </cell>
          <cell r="N409" t="str">
            <v>No</v>
          </cell>
          <cell r="O409" t="str">
            <v>No</v>
          </cell>
          <cell r="P409" t="str">
            <v>No</v>
          </cell>
          <cell r="Q409" t="str">
            <v>No</v>
          </cell>
          <cell r="R409" t="str">
            <v>No</v>
          </cell>
          <cell r="S409" t="str">
            <v>No</v>
          </cell>
          <cell r="T409" t="e">
            <v>#VALUE!</v>
          </cell>
          <cell r="U409" t="str">
            <v>No</v>
          </cell>
          <cell r="V409" t="str">
            <v>No</v>
          </cell>
          <cell r="W409" t="str">
            <v>Yes</v>
          </cell>
          <cell r="X409" t="str">
            <v>No</v>
          </cell>
          <cell r="Y409" t="str">
            <v>No</v>
          </cell>
          <cell r="Z409" t="e">
            <v>#N/A</v>
          </cell>
          <cell r="AA409" t="str">
            <v>Yes</v>
          </cell>
          <cell r="AB409" t="str">
            <v>Yes</v>
          </cell>
          <cell r="AC409" t="str">
            <v>No</v>
          </cell>
          <cell r="AD409" t="e">
            <v>#N/A</v>
          </cell>
          <cell r="AE409" t="str">
            <v>No</v>
          </cell>
          <cell r="AF409" t="str">
            <v>No</v>
          </cell>
          <cell r="AG409" t="str">
            <v>No</v>
          </cell>
          <cell r="AH409" t="str">
            <v>No</v>
          </cell>
          <cell r="AI409" t="e">
            <v>#DIV/0!</v>
          </cell>
          <cell r="AJ409" t="e">
            <v>#VALUE!</v>
          </cell>
          <cell r="AK409" t="str">
            <v>No</v>
          </cell>
          <cell r="AL409" t="str">
            <v>No</v>
          </cell>
          <cell r="AM409" t="str">
            <v>No</v>
          </cell>
          <cell r="AN409" t="str">
            <v>No</v>
          </cell>
          <cell r="AO409" t="e">
            <v>#N/A</v>
          </cell>
          <cell r="AP409" t="e">
            <v>#DIV/0!</v>
          </cell>
          <cell r="AQ409" t="e">
            <v>#VALUE!</v>
          </cell>
          <cell r="AR409" t="str">
            <v>No</v>
          </cell>
          <cell r="AS409" t="str">
            <v>No</v>
          </cell>
          <cell r="AT409" t="e">
            <v>#N/A</v>
          </cell>
          <cell r="AU409" t="e">
            <v>#DIV/0!</v>
          </cell>
          <cell r="AV409" t="str">
            <v>No</v>
          </cell>
          <cell r="AW409" t="e">
            <v>#VALUE!</v>
          </cell>
          <cell r="AX409" t="e">
            <v>#VALUE!</v>
          </cell>
          <cell r="AY409" t="e">
            <v>#VALUE!</v>
          </cell>
          <cell r="AZ409" t="e">
            <v>#VALUE!</v>
          </cell>
          <cell r="BA409" t="e">
            <v>#VALUE!</v>
          </cell>
          <cell r="BB409" t="e">
            <v>#VALUE!</v>
          </cell>
          <cell r="BC409" t="e">
            <v>#VALUE!</v>
          </cell>
          <cell r="BD409" t="e">
            <v>#VALUE!</v>
          </cell>
          <cell r="BE409" t="e">
            <v>#VALUE!</v>
          </cell>
        </row>
        <row r="410">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4.5123287671232877</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row>
        <row r="411">
          <cell r="H411">
            <v>0</v>
          </cell>
          <cell r="I411">
            <v>0</v>
          </cell>
          <cell r="J411">
            <v>0</v>
          </cell>
          <cell r="K411">
            <v>0</v>
          </cell>
          <cell r="L411">
            <v>0</v>
          </cell>
          <cell r="M411">
            <v>0</v>
          </cell>
          <cell r="N411">
            <v>0</v>
          </cell>
          <cell r="O411">
            <v>0</v>
          </cell>
          <cell r="P411">
            <v>0</v>
          </cell>
          <cell r="Q411">
            <v>0</v>
          </cell>
          <cell r="R411">
            <v>0</v>
          </cell>
          <cell r="S411">
            <v>0</v>
          </cell>
          <cell r="T411" t="e">
            <v>#VALUE!</v>
          </cell>
          <cell r="U411">
            <v>0</v>
          </cell>
          <cell r="V411">
            <v>0</v>
          </cell>
          <cell r="W411">
            <v>2.0246478873239435</v>
          </cell>
          <cell r="X411">
            <v>0</v>
          </cell>
          <cell r="Y411">
            <v>0</v>
          </cell>
          <cell r="Z411" t="e">
            <v>#N/A</v>
          </cell>
          <cell r="AA411">
            <v>5.6637114678829796</v>
          </cell>
          <cell r="AB411">
            <v>5.6635831602794031</v>
          </cell>
          <cell r="AC411">
            <v>0</v>
          </cell>
          <cell r="AD411" t="e">
            <v>#N/A</v>
          </cell>
          <cell r="AE411">
            <v>0</v>
          </cell>
          <cell r="AF411">
            <v>0</v>
          </cell>
          <cell r="AG411">
            <v>0</v>
          </cell>
          <cell r="AH411">
            <v>0</v>
          </cell>
          <cell r="AI411" t="e">
            <v>#DIV/0!</v>
          </cell>
          <cell r="AJ411" t="e">
            <v>#VALUE!</v>
          </cell>
          <cell r="AK411">
            <v>0</v>
          </cell>
          <cell r="AL411">
            <v>0</v>
          </cell>
          <cell r="AM411">
            <v>0</v>
          </cell>
          <cell r="AN411">
            <v>0</v>
          </cell>
          <cell r="AO411" t="e">
            <v>#N/A</v>
          </cell>
          <cell r="AP411" t="e">
            <v>#DIV/0!</v>
          </cell>
          <cell r="AQ411" t="e">
            <v>#VALUE!</v>
          </cell>
          <cell r="AR411">
            <v>0</v>
          </cell>
          <cell r="AS411">
            <v>0</v>
          </cell>
          <cell r="AT411" t="e">
            <v>#N/A</v>
          </cell>
          <cell r="AU411" t="e">
            <v>#DIV/0!</v>
          </cell>
          <cell r="AV411">
            <v>0</v>
          </cell>
          <cell r="AW411" t="e">
            <v>#VALUE!</v>
          </cell>
          <cell r="AX411" t="e">
            <v>#VALUE!</v>
          </cell>
          <cell r="AY411" t="e">
            <v>#VALUE!</v>
          </cell>
          <cell r="AZ411" t="e">
            <v>#VALUE!</v>
          </cell>
          <cell r="BA411" t="e">
            <v>#VALUE!</v>
          </cell>
          <cell r="BB411" t="e">
            <v>#VALUE!</v>
          </cell>
          <cell r="BC411" t="e">
            <v>#VALUE!</v>
          </cell>
          <cell r="BD411" t="e">
            <v>#VALUE!</v>
          </cell>
          <cell r="BE411" t="e">
            <v>#VALUE!</v>
          </cell>
        </row>
        <row r="412">
          <cell r="H412">
            <v>0</v>
          </cell>
          <cell r="I412">
            <v>0</v>
          </cell>
          <cell r="J412">
            <v>0</v>
          </cell>
          <cell r="K412">
            <v>0</v>
          </cell>
          <cell r="L412">
            <v>0</v>
          </cell>
          <cell r="M412">
            <v>0</v>
          </cell>
          <cell r="N412">
            <v>0</v>
          </cell>
          <cell r="O412">
            <v>0</v>
          </cell>
          <cell r="P412">
            <v>0</v>
          </cell>
          <cell r="Q412">
            <v>0</v>
          </cell>
          <cell r="R412">
            <v>0</v>
          </cell>
          <cell r="S412">
            <v>0</v>
          </cell>
          <cell r="T412" t="e">
            <v>#VALUE!</v>
          </cell>
          <cell r="U412">
            <v>0</v>
          </cell>
          <cell r="V412">
            <v>0</v>
          </cell>
          <cell r="W412">
            <v>172.5</v>
          </cell>
          <cell r="X412">
            <v>0</v>
          </cell>
          <cell r="Y412">
            <v>0</v>
          </cell>
          <cell r="Z412" t="e">
            <v>#N/A</v>
          </cell>
          <cell r="AA412">
            <v>300</v>
          </cell>
          <cell r="AB412">
            <v>300</v>
          </cell>
          <cell r="AC412">
            <v>0</v>
          </cell>
          <cell r="AD412" t="e">
            <v>#N/A</v>
          </cell>
          <cell r="AE412">
            <v>0</v>
          </cell>
          <cell r="AF412">
            <v>0</v>
          </cell>
          <cell r="AG412">
            <v>0</v>
          </cell>
          <cell r="AH412">
            <v>0</v>
          </cell>
          <cell r="AI412" t="e">
            <v>#DIV/0!</v>
          </cell>
          <cell r="AJ412" t="e">
            <v>#VALUE!</v>
          </cell>
          <cell r="AK412">
            <v>0</v>
          </cell>
          <cell r="AL412">
            <v>0</v>
          </cell>
          <cell r="AM412">
            <v>0</v>
          </cell>
          <cell r="AN412">
            <v>0</v>
          </cell>
          <cell r="AO412" t="e">
            <v>#N/A</v>
          </cell>
          <cell r="AP412" t="e">
            <v>#DIV/0!</v>
          </cell>
          <cell r="AQ412" t="e">
            <v>#VALUE!</v>
          </cell>
          <cell r="AR412">
            <v>0</v>
          </cell>
          <cell r="AS412">
            <v>0</v>
          </cell>
          <cell r="AT412" t="e">
            <v>#N/A</v>
          </cell>
          <cell r="AU412" t="e">
            <v>#DIV/0!</v>
          </cell>
          <cell r="AV412">
            <v>0</v>
          </cell>
          <cell r="AW412" t="e">
            <v>#VALUE!</v>
          </cell>
          <cell r="AX412" t="e">
            <v>#VALUE!</v>
          </cell>
          <cell r="AY412" t="e">
            <v>#VALUE!</v>
          </cell>
          <cell r="AZ412" t="e">
            <v>#VALUE!</v>
          </cell>
          <cell r="BA412" t="e">
            <v>#VALUE!</v>
          </cell>
          <cell r="BB412" t="e">
            <v>#VALUE!</v>
          </cell>
          <cell r="BC412" t="e">
            <v>#VALUE!</v>
          </cell>
          <cell r="BD412" t="e">
            <v>#VALUE!</v>
          </cell>
          <cell r="BE412" t="e">
            <v>#VALUE!</v>
          </cell>
        </row>
        <row r="413">
          <cell r="H413">
            <v>0</v>
          </cell>
          <cell r="I413">
            <v>0</v>
          </cell>
          <cell r="J413">
            <v>1</v>
          </cell>
          <cell r="K413">
            <v>0</v>
          </cell>
          <cell r="L413">
            <v>0</v>
          </cell>
          <cell r="M413">
            <v>0</v>
          </cell>
          <cell r="N413">
            <v>0</v>
          </cell>
          <cell r="O413">
            <v>0</v>
          </cell>
          <cell r="P413">
            <v>0</v>
          </cell>
          <cell r="Q413">
            <v>0</v>
          </cell>
          <cell r="R413">
            <v>0</v>
          </cell>
          <cell r="S413">
            <v>0</v>
          </cell>
          <cell r="T413">
            <v>0</v>
          </cell>
          <cell r="U413">
            <v>0</v>
          </cell>
          <cell r="V413">
            <v>1</v>
          </cell>
          <cell r="W413">
            <v>0</v>
          </cell>
          <cell r="X413">
            <v>1</v>
          </cell>
          <cell r="Y413">
            <v>0.75068493150684934</v>
          </cell>
          <cell r="Z413">
            <v>0</v>
          </cell>
          <cell r="AA413">
            <v>0</v>
          </cell>
          <cell r="AB413">
            <v>0.50136986301369868</v>
          </cell>
          <cell r="AC413">
            <v>0.75342465753424659</v>
          </cell>
          <cell r="AD413">
            <v>0</v>
          </cell>
          <cell r="AE413">
            <v>0.25205479452054791</v>
          </cell>
          <cell r="AF413">
            <v>0.75068493150684934</v>
          </cell>
          <cell r="AG413">
            <v>0.75342465753424659</v>
          </cell>
          <cell r="AH413">
            <v>0</v>
          </cell>
          <cell r="AI413">
            <v>0</v>
          </cell>
          <cell r="AJ413">
            <v>0.49589041095890407</v>
          </cell>
          <cell r="AK413">
            <v>0.50410958904109582</v>
          </cell>
          <cell r="AL413">
            <v>0.24657534246575341</v>
          </cell>
          <cell r="AM413">
            <v>0</v>
          </cell>
          <cell r="AN413">
            <v>0.75068493150684934</v>
          </cell>
          <cell r="AO413">
            <v>0</v>
          </cell>
          <cell r="AP413">
            <v>0</v>
          </cell>
          <cell r="AQ413">
            <v>0</v>
          </cell>
          <cell r="AR413">
            <v>1</v>
          </cell>
          <cell r="AS413">
            <v>0</v>
          </cell>
          <cell r="AT413">
            <v>0</v>
          </cell>
          <cell r="AU413">
            <v>0</v>
          </cell>
          <cell r="AV413">
            <v>0.24931506849315066</v>
          </cell>
          <cell r="AW413">
            <v>0</v>
          </cell>
          <cell r="AX413">
            <v>0</v>
          </cell>
          <cell r="AY413">
            <v>0</v>
          </cell>
          <cell r="AZ413">
            <v>0</v>
          </cell>
          <cell r="BA413">
            <v>0</v>
          </cell>
          <cell r="BB413">
            <v>0</v>
          </cell>
          <cell r="BC413">
            <v>0</v>
          </cell>
          <cell r="BD413">
            <v>0</v>
          </cell>
          <cell r="BE413">
            <v>0</v>
          </cell>
        </row>
        <row r="416">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300</v>
          </cell>
          <cell r="AA416">
            <v>0</v>
          </cell>
          <cell r="AB416">
            <v>0</v>
          </cell>
          <cell r="AC416">
            <v>132</v>
          </cell>
          <cell r="AD416">
            <v>0</v>
          </cell>
          <cell r="AE416">
            <v>0</v>
          </cell>
          <cell r="AF416">
            <v>0</v>
          </cell>
          <cell r="AG416">
            <v>0</v>
          </cell>
          <cell r="AH416">
            <v>0</v>
          </cell>
          <cell r="AI416">
            <v>0</v>
          </cell>
          <cell r="AJ416">
            <v>0</v>
          </cell>
          <cell r="AK416">
            <v>0</v>
          </cell>
          <cell r="AL416">
            <v>196.1</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row>
        <row r="417">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7.8E-2</v>
          </cell>
          <cell r="AA417">
            <v>0</v>
          </cell>
          <cell r="AB417">
            <v>0</v>
          </cell>
          <cell r="AC417">
            <v>5.3749999999999999E-2</v>
          </cell>
          <cell r="AD417">
            <v>0</v>
          </cell>
          <cell r="AE417">
            <v>0</v>
          </cell>
          <cell r="AF417">
            <v>0</v>
          </cell>
          <cell r="AG417">
            <v>0</v>
          </cell>
          <cell r="AH417">
            <v>0</v>
          </cell>
          <cell r="AI417">
            <v>0</v>
          </cell>
          <cell r="AJ417">
            <v>0</v>
          </cell>
          <cell r="AK417">
            <v>0</v>
          </cell>
          <cell r="AL417">
            <v>0.05</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row>
        <row r="418">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25</v>
          </cell>
          <cell r="AA418">
            <v>0</v>
          </cell>
          <cell r="AB418">
            <v>0</v>
          </cell>
          <cell r="AC418">
            <v>20.625360943816517</v>
          </cell>
          <cell r="AD418">
            <v>0</v>
          </cell>
          <cell r="AE418">
            <v>0</v>
          </cell>
          <cell r="AF418">
            <v>0</v>
          </cell>
          <cell r="AG418">
            <v>0</v>
          </cell>
          <cell r="AH418">
            <v>0</v>
          </cell>
          <cell r="AI418">
            <v>0</v>
          </cell>
          <cell r="AJ418">
            <v>0</v>
          </cell>
          <cell r="AK418">
            <v>0</v>
          </cell>
          <cell r="AL418">
            <v>36.536741690266801</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row>
        <row r="419">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12</v>
          </cell>
          <cell r="AA419">
            <v>0</v>
          </cell>
          <cell r="AB419">
            <v>0</v>
          </cell>
          <cell r="AC419">
            <v>6.3998879999999998</v>
          </cell>
          <cell r="AD419">
            <v>0</v>
          </cell>
          <cell r="AE419">
            <v>0</v>
          </cell>
          <cell r="AF419">
            <v>0</v>
          </cell>
          <cell r="AG419">
            <v>0</v>
          </cell>
          <cell r="AH419">
            <v>0</v>
          </cell>
          <cell r="AI419">
            <v>0</v>
          </cell>
          <cell r="AJ419">
            <v>0</v>
          </cell>
          <cell r="AK419">
            <v>0</v>
          </cell>
          <cell r="AL419">
            <v>5.3672000000000004</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row>
        <row r="420">
          <cell r="H420">
            <v>0</v>
          </cell>
          <cell r="I420">
            <v>0</v>
          </cell>
          <cell r="J420">
            <v>0</v>
          </cell>
          <cell r="K420">
            <v>0</v>
          </cell>
          <cell r="L420">
            <v>0</v>
          </cell>
          <cell r="M420">
            <v>0</v>
          </cell>
          <cell r="N420">
            <v>0</v>
          </cell>
          <cell r="O420">
            <v>0</v>
          </cell>
          <cell r="P420">
            <v>0</v>
          </cell>
          <cell r="Q420">
            <v>0</v>
          </cell>
          <cell r="R420">
            <v>0</v>
          </cell>
          <cell r="S420">
            <v>0</v>
          </cell>
          <cell r="T420" t="e">
            <v>#VALUE!</v>
          </cell>
          <cell r="U420">
            <v>-2.0877838070956129E-2</v>
          </cell>
          <cell r="V420">
            <v>6.2927070608341964</v>
          </cell>
          <cell r="W420">
            <v>1.4611726903311231</v>
          </cell>
          <cell r="X420">
            <v>1.959960772048281</v>
          </cell>
          <cell r="Y420">
            <v>0.7272476510780338</v>
          </cell>
          <cell r="Z420" t="e">
            <v>#N/A</v>
          </cell>
          <cell r="AA420">
            <v>1.7739605734255479</v>
          </cell>
          <cell r="AB420">
            <v>2.6776822155884878</v>
          </cell>
          <cell r="AC420">
            <v>0.87442904431335655</v>
          </cell>
          <cell r="AD420" t="e">
            <v>#N/A</v>
          </cell>
          <cell r="AE420">
            <v>0.15154767047480602</v>
          </cell>
          <cell r="AF420">
            <v>2.1999910608532418</v>
          </cell>
          <cell r="AG420">
            <v>1.3329662723010089</v>
          </cell>
          <cell r="AH420">
            <v>0.31671156908847936</v>
          </cell>
          <cell r="AI420" t="e">
            <v>#DIV/0!</v>
          </cell>
          <cell r="AJ420" t="e">
            <v>#VALUE!</v>
          </cell>
          <cell r="AK420">
            <v>1.5082279792746116</v>
          </cell>
          <cell r="AL420">
            <v>1.3029900332225912</v>
          </cell>
          <cell r="AM420">
            <v>1.8855928403663016</v>
          </cell>
          <cell r="AN420">
            <v>-0.24936432802281777</v>
          </cell>
          <cell r="AO420" t="e">
            <v>#N/A</v>
          </cell>
          <cell r="AP420" t="e">
            <v>#DIV/0!</v>
          </cell>
          <cell r="AQ420" t="e">
            <v>#VALUE!</v>
          </cell>
          <cell r="AR420">
            <v>1.1532167423130122</v>
          </cell>
          <cell r="AS420">
            <v>2.3895382453828815</v>
          </cell>
          <cell r="AT420" t="e">
            <v>#N/A</v>
          </cell>
          <cell r="AU420" t="e">
            <v>#DIV/0!</v>
          </cell>
          <cell r="AV420">
            <v>2.9161682608695649</v>
          </cell>
          <cell r="AW420" t="e">
            <v>#VALUE!</v>
          </cell>
          <cell r="AX420" t="e">
            <v>#VALUE!</v>
          </cell>
          <cell r="AY420" t="e">
            <v>#VALUE!</v>
          </cell>
          <cell r="AZ420" t="e">
            <v>#VALUE!</v>
          </cell>
          <cell r="BA420" t="e">
            <v>#VALUE!</v>
          </cell>
          <cell r="BB420" t="e">
            <v>#VALUE!</v>
          </cell>
          <cell r="BC420" t="e">
            <v>#VALUE!</v>
          </cell>
          <cell r="BD420" t="e">
            <v>#VALUE!</v>
          </cell>
          <cell r="BE420" t="e">
            <v>#VALUE!</v>
          </cell>
        </row>
        <row r="421">
          <cell r="H421">
            <v>0</v>
          </cell>
          <cell r="I421">
            <v>0</v>
          </cell>
          <cell r="J421">
            <v>0</v>
          </cell>
          <cell r="K421">
            <v>0</v>
          </cell>
          <cell r="L421">
            <v>0</v>
          </cell>
          <cell r="M421">
            <v>0</v>
          </cell>
          <cell r="N421">
            <v>0</v>
          </cell>
          <cell r="O421">
            <v>0</v>
          </cell>
          <cell r="P421">
            <v>0</v>
          </cell>
          <cell r="Q421">
            <v>0</v>
          </cell>
          <cell r="R421">
            <v>0</v>
          </cell>
          <cell r="S421">
            <v>0</v>
          </cell>
          <cell r="T421" t="e">
            <v>#VALUE!</v>
          </cell>
          <cell r="U421">
            <v>-2.0877838070956129E-2</v>
          </cell>
          <cell r="V421">
            <v>6.2927070608341964</v>
          </cell>
          <cell r="W421">
            <v>1.4611726903311231</v>
          </cell>
          <cell r="X421">
            <v>1.959960772048281</v>
          </cell>
          <cell r="Y421">
            <v>0.7272476510780338</v>
          </cell>
          <cell r="Z421" t="e">
            <v>#N/A</v>
          </cell>
          <cell r="AA421">
            <v>1.7739605734255479</v>
          </cell>
          <cell r="AB421">
            <v>2.6776822155884878</v>
          </cell>
          <cell r="AC421">
            <v>0.82407766119617842</v>
          </cell>
          <cell r="AD421" t="e">
            <v>#N/A</v>
          </cell>
          <cell r="AE421">
            <v>0.15154767047480602</v>
          </cell>
          <cell r="AF421">
            <v>2.1999910608532418</v>
          </cell>
          <cell r="AG421">
            <v>1.3329662723010089</v>
          </cell>
          <cell r="AH421">
            <v>0.31671156908847936</v>
          </cell>
          <cell r="AI421" t="e">
            <v>#DIV/0!</v>
          </cell>
          <cell r="AJ421" t="e">
            <v>#VALUE!</v>
          </cell>
          <cell r="AK421">
            <v>1.5082279792746116</v>
          </cell>
          <cell r="AL421">
            <v>1.2848980006336381</v>
          </cell>
          <cell r="AM421">
            <v>1.8855928403663016</v>
          </cell>
          <cell r="AN421">
            <v>-0.24936432802281777</v>
          </cell>
          <cell r="AO421" t="e">
            <v>#N/A</v>
          </cell>
          <cell r="AP421" t="e">
            <v>#DIV/0!</v>
          </cell>
          <cell r="AQ421" t="e">
            <v>#VALUE!</v>
          </cell>
          <cell r="AR421">
            <v>1.1532167423130122</v>
          </cell>
          <cell r="AS421">
            <v>2.3895382453828815</v>
          </cell>
          <cell r="AT421" t="e">
            <v>#N/A</v>
          </cell>
          <cell r="AU421" t="e">
            <v>#DIV/0!</v>
          </cell>
          <cell r="AV421">
            <v>2.9161682608695649</v>
          </cell>
          <cell r="AW421" t="e">
            <v>#VALUE!</v>
          </cell>
          <cell r="AX421" t="e">
            <v>#VALUE!</v>
          </cell>
          <cell r="AY421" t="e">
            <v>#VALUE!</v>
          </cell>
          <cell r="AZ421" t="e">
            <v>#VALUE!</v>
          </cell>
          <cell r="BA421" t="e">
            <v>#VALUE!</v>
          </cell>
          <cell r="BB421" t="e">
            <v>#VALUE!</v>
          </cell>
          <cell r="BC421" t="e">
            <v>#VALUE!</v>
          </cell>
          <cell r="BD421" t="e">
            <v>#VALUE!</v>
          </cell>
          <cell r="BE421" t="e">
            <v>#VALUE!</v>
          </cell>
        </row>
        <row r="422">
          <cell r="H422" t="str">
            <v>No</v>
          </cell>
          <cell r="I422" t="str">
            <v>No</v>
          </cell>
          <cell r="J422" t="str">
            <v>No</v>
          </cell>
          <cell r="K422" t="str">
            <v>No</v>
          </cell>
          <cell r="L422" t="str">
            <v>No</v>
          </cell>
          <cell r="M422" t="str">
            <v>No</v>
          </cell>
          <cell r="N422" t="str">
            <v>No</v>
          </cell>
          <cell r="O422" t="str">
            <v>No</v>
          </cell>
          <cell r="P422" t="str">
            <v>No</v>
          </cell>
          <cell r="Q422" t="str">
            <v>No</v>
          </cell>
          <cell r="R422" t="str">
            <v>No</v>
          </cell>
          <cell r="S422" t="str">
            <v>No</v>
          </cell>
          <cell r="T422" t="e">
            <v>#VALUE!</v>
          </cell>
          <cell r="U422" t="str">
            <v>No</v>
          </cell>
          <cell r="V422" t="str">
            <v>No</v>
          </cell>
          <cell r="W422" t="str">
            <v>No</v>
          </cell>
          <cell r="X422" t="str">
            <v>No</v>
          </cell>
          <cell r="Y422" t="str">
            <v>No</v>
          </cell>
          <cell r="Z422" t="e">
            <v>#N/A</v>
          </cell>
          <cell r="AA422" t="str">
            <v>No</v>
          </cell>
          <cell r="AB422" t="str">
            <v>No</v>
          </cell>
          <cell r="AC422" t="str">
            <v>Yes</v>
          </cell>
          <cell r="AD422" t="e">
            <v>#N/A</v>
          </cell>
          <cell r="AE422" t="str">
            <v>No</v>
          </cell>
          <cell r="AF422" t="str">
            <v>No</v>
          </cell>
          <cell r="AG422" t="str">
            <v>No</v>
          </cell>
          <cell r="AH422" t="str">
            <v>No</v>
          </cell>
          <cell r="AI422" t="e">
            <v>#DIV/0!</v>
          </cell>
          <cell r="AJ422" t="e">
            <v>#VALUE!</v>
          </cell>
          <cell r="AK422" t="str">
            <v>No</v>
          </cell>
          <cell r="AL422" t="str">
            <v>Yes</v>
          </cell>
          <cell r="AM422" t="str">
            <v>No</v>
          </cell>
          <cell r="AN422" t="str">
            <v>No</v>
          </cell>
          <cell r="AO422" t="e">
            <v>#N/A</v>
          </cell>
          <cell r="AP422" t="e">
            <v>#DIV/0!</v>
          </cell>
          <cell r="AQ422" t="e">
            <v>#VALUE!</v>
          </cell>
          <cell r="AR422" t="str">
            <v>No</v>
          </cell>
          <cell r="AS422" t="str">
            <v>No</v>
          </cell>
          <cell r="AT422" t="e">
            <v>#N/A</v>
          </cell>
          <cell r="AU422" t="e">
            <v>#DIV/0!</v>
          </cell>
          <cell r="AV422" t="str">
            <v>No</v>
          </cell>
          <cell r="AW422" t="e">
            <v>#VALUE!</v>
          </cell>
          <cell r="AX422" t="e">
            <v>#VALUE!</v>
          </cell>
          <cell r="AY422" t="e">
            <v>#VALUE!</v>
          </cell>
          <cell r="AZ422" t="e">
            <v>#VALUE!</v>
          </cell>
          <cell r="BA422" t="e">
            <v>#VALUE!</v>
          </cell>
          <cell r="BB422" t="e">
            <v>#VALUE!</v>
          </cell>
          <cell r="BC422" t="e">
            <v>#VALUE!</v>
          </cell>
          <cell r="BD422" t="e">
            <v>#VALUE!</v>
          </cell>
          <cell r="BE422" t="e">
            <v>#VALUE!</v>
          </cell>
        </row>
        <row r="423">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3.2073287671232875</v>
          </cell>
          <cell r="AD423">
            <v>0</v>
          </cell>
          <cell r="AE423">
            <v>0</v>
          </cell>
          <cell r="AF423">
            <v>0</v>
          </cell>
          <cell r="AG423">
            <v>0</v>
          </cell>
          <cell r="AH423">
            <v>0</v>
          </cell>
          <cell r="AI423">
            <v>0</v>
          </cell>
          <cell r="AJ423">
            <v>0</v>
          </cell>
          <cell r="AK423">
            <v>0</v>
          </cell>
          <cell r="AL423">
            <v>1.4506027397260273</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row>
        <row r="424">
          <cell r="H424">
            <v>0</v>
          </cell>
          <cell r="I424">
            <v>0</v>
          </cell>
          <cell r="J424">
            <v>0</v>
          </cell>
          <cell r="K424">
            <v>0</v>
          </cell>
          <cell r="L424">
            <v>0</v>
          </cell>
          <cell r="M424">
            <v>0</v>
          </cell>
          <cell r="N424">
            <v>0</v>
          </cell>
          <cell r="O424">
            <v>0</v>
          </cell>
          <cell r="P424">
            <v>0</v>
          </cell>
          <cell r="Q424">
            <v>0</v>
          </cell>
          <cell r="R424">
            <v>0</v>
          </cell>
          <cell r="S424">
            <v>0</v>
          </cell>
          <cell r="T424" t="e">
            <v>#VALUE!</v>
          </cell>
          <cell r="U424">
            <v>0</v>
          </cell>
          <cell r="V424">
            <v>0</v>
          </cell>
          <cell r="W424">
            <v>0</v>
          </cell>
          <cell r="X424">
            <v>0</v>
          </cell>
          <cell r="Y424">
            <v>0</v>
          </cell>
          <cell r="Z424" t="e">
            <v>#N/A</v>
          </cell>
          <cell r="AA424">
            <v>0</v>
          </cell>
          <cell r="AB424">
            <v>0</v>
          </cell>
          <cell r="AC424">
            <v>6.3998879999999998</v>
          </cell>
          <cell r="AD424" t="e">
            <v>#N/A</v>
          </cell>
          <cell r="AE424">
            <v>0</v>
          </cell>
          <cell r="AF424">
            <v>0</v>
          </cell>
          <cell r="AG424">
            <v>0</v>
          </cell>
          <cell r="AH424">
            <v>0</v>
          </cell>
          <cell r="AI424" t="e">
            <v>#DIV/0!</v>
          </cell>
          <cell r="AJ424" t="e">
            <v>#VALUE!</v>
          </cell>
          <cell r="AK424">
            <v>0</v>
          </cell>
          <cell r="AL424">
            <v>5.3672000000000004</v>
          </cell>
          <cell r="AM424">
            <v>0</v>
          </cell>
          <cell r="AN424">
            <v>0</v>
          </cell>
          <cell r="AO424" t="e">
            <v>#N/A</v>
          </cell>
          <cell r="AP424" t="e">
            <v>#DIV/0!</v>
          </cell>
          <cell r="AQ424" t="e">
            <v>#VALUE!</v>
          </cell>
          <cell r="AR424">
            <v>0</v>
          </cell>
          <cell r="AS424">
            <v>0</v>
          </cell>
          <cell r="AT424" t="e">
            <v>#N/A</v>
          </cell>
          <cell r="AU424" t="e">
            <v>#DIV/0!</v>
          </cell>
          <cell r="AV424">
            <v>0</v>
          </cell>
          <cell r="AW424" t="e">
            <v>#VALUE!</v>
          </cell>
          <cell r="AX424" t="e">
            <v>#VALUE!</v>
          </cell>
          <cell r="AY424" t="e">
            <v>#VALUE!</v>
          </cell>
          <cell r="AZ424" t="e">
            <v>#VALUE!</v>
          </cell>
          <cell r="BA424" t="e">
            <v>#VALUE!</v>
          </cell>
          <cell r="BB424" t="e">
            <v>#VALUE!</v>
          </cell>
          <cell r="BC424" t="e">
            <v>#VALUE!</v>
          </cell>
          <cell r="BD424" t="e">
            <v>#VALUE!</v>
          </cell>
          <cell r="BE424" t="e">
            <v>#VALUE!</v>
          </cell>
        </row>
        <row r="425">
          <cell r="H425">
            <v>0</v>
          </cell>
          <cell r="I425">
            <v>0</v>
          </cell>
          <cell r="J425">
            <v>0</v>
          </cell>
          <cell r="K425">
            <v>0</v>
          </cell>
          <cell r="L425">
            <v>0</v>
          </cell>
          <cell r="M425">
            <v>0</v>
          </cell>
          <cell r="N425">
            <v>0</v>
          </cell>
          <cell r="O425">
            <v>0</v>
          </cell>
          <cell r="P425">
            <v>0</v>
          </cell>
          <cell r="Q425">
            <v>0</v>
          </cell>
          <cell r="R425">
            <v>0</v>
          </cell>
          <cell r="S425">
            <v>0</v>
          </cell>
          <cell r="T425" t="e">
            <v>#VALUE!</v>
          </cell>
          <cell r="U425">
            <v>0</v>
          </cell>
          <cell r="V425">
            <v>0</v>
          </cell>
          <cell r="W425">
            <v>0</v>
          </cell>
          <cell r="X425">
            <v>0</v>
          </cell>
          <cell r="Y425">
            <v>0</v>
          </cell>
          <cell r="Z425" t="e">
            <v>#N/A</v>
          </cell>
          <cell r="AA425">
            <v>0</v>
          </cell>
          <cell r="AB425">
            <v>0</v>
          </cell>
          <cell r="AC425">
            <v>132</v>
          </cell>
          <cell r="AD425" t="e">
            <v>#N/A</v>
          </cell>
          <cell r="AE425">
            <v>0</v>
          </cell>
          <cell r="AF425">
            <v>0</v>
          </cell>
          <cell r="AG425">
            <v>0</v>
          </cell>
          <cell r="AH425">
            <v>0</v>
          </cell>
          <cell r="AI425" t="e">
            <v>#DIV/0!</v>
          </cell>
          <cell r="AJ425" t="e">
            <v>#VALUE!</v>
          </cell>
          <cell r="AK425">
            <v>0</v>
          </cell>
          <cell r="AL425">
            <v>196.1</v>
          </cell>
          <cell r="AM425">
            <v>0</v>
          </cell>
          <cell r="AN425">
            <v>0</v>
          </cell>
          <cell r="AO425" t="e">
            <v>#N/A</v>
          </cell>
          <cell r="AP425" t="e">
            <v>#DIV/0!</v>
          </cell>
          <cell r="AQ425" t="e">
            <v>#VALUE!</v>
          </cell>
          <cell r="AR425">
            <v>0</v>
          </cell>
          <cell r="AS425">
            <v>0</v>
          </cell>
          <cell r="AT425" t="e">
            <v>#N/A</v>
          </cell>
          <cell r="AU425" t="e">
            <v>#DIV/0!</v>
          </cell>
          <cell r="AV425">
            <v>0</v>
          </cell>
          <cell r="AW425" t="e">
            <v>#VALUE!</v>
          </cell>
          <cell r="AX425" t="e">
            <v>#VALUE!</v>
          </cell>
          <cell r="AY425" t="e">
            <v>#VALUE!</v>
          </cell>
          <cell r="AZ425" t="e">
            <v>#VALUE!</v>
          </cell>
          <cell r="BA425" t="e">
            <v>#VALUE!</v>
          </cell>
          <cell r="BB425" t="e">
            <v>#VALUE!</v>
          </cell>
          <cell r="BC425" t="e">
            <v>#VALUE!</v>
          </cell>
          <cell r="BD425" t="e">
            <v>#VALUE!</v>
          </cell>
          <cell r="BE425" t="e">
            <v>#VALUE!</v>
          </cell>
        </row>
        <row r="426">
          <cell r="H426">
            <v>0</v>
          </cell>
          <cell r="I426">
            <v>0</v>
          </cell>
          <cell r="J426">
            <v>1</v>
          </cell>
          <cell r="K426">
            <v>0</v>
          </cell>
          <cell r="L426">
            <v>0</v>
          </cell>
          <cell r="M426">
            <v>0</v>
          </cell>
          <cell r="N426">
            <v>0</v>
          </cell>
          <cell r="O426">
            <v>0</v>
          </cell>
          <cell r="P426">
            <v>0</v>
          </cell>
          <cell r="Q426">
            <v>0</v>
          </cell>
          <cell r="R426">
            <v>0</v>
          </cell>
          <cell r="S426">
            <v>0</v>
          </cell>
          <cell r="T426">
            <v>0</v>
          </cell>
          <cell r="U426">
            <v>0</v>
          </cell>
          <cell r="V426">
            <v>1</v>
          </cell>
          <cell r="W426">
            <v>0</v>
          </cell>
          <cell r="X426">
            <v>1</v>
          </cell>
          <cell r="Y426">
            <v>0.75068493150684934</v>
          </cell>
          <cell r="Z426">
            <v>0</v>
          </cell>
          <cell r="AA426">
            <v>0</v>
          </cell>
          <cell r="AB426">
            <v>0.50136986301369868</v>
          </cell>
          <cell r="AC426">
            <v>0.75342465753424659</v>
          </cell>
          <cell r="AD426">
            <v>0</v>
          </cell>
          <cell r="AE426">
            <v>0.25205479452054791</v>
          </cell>
          <cell r="AF426">
            <v>0.75068493150684934</v>
          </cell>
          <cell r="AG426">
            <v>0.75342465753424659</v>
          </cell>
          <cell r="AH426">
            <v>0</v>
          </cell>
          <cell r="AI426">
            <v>0</v>
          </cell>
          <cell r="AJ426">
            <v>0.49589041095890407</v>
          </cell>
          <cell r="AK426">
            <v>0.50410958904109582</v>
          </cell>
          <cell r="AL426">
            <v>0.24657534246575341</v>
          </cell>
          <cell r="AM426">
            <v>0</v>
          </cell>
          <cell r="AN426">
            <v>0.75068493150684934</v>
          </cell>
          <cell r="AO426">
            <v>0</v>
          </cell>
          <cell r="AP426">
            <v>0</v>
          </cell>
          <cell r="AQ426">
            <v>0</v>
          </cell>
          <cell r="AR426">
            <v>1</v>
          </cell>
          <cell r="AS426">
            <v>0</v>
          </cell>
          <cell r="AT426">
            <v>0</v>
          </cell>
          <cell r="AU426">
            <v>0</v>
          </cell>
          <cell r="AV426">
            <v>0.24931506849315066</v>
          </cell>
          <cell r="AW426">
            <v>0</v>
          </cell>
          <cell r="AX426">
            <v>0</v>
          </cell>
          <cell r="AY426">
            <v>0</v>
          </cell>
          <cell r="AZ426">
            <v>0</v>
          </cell>
          <cell r="BA426">
            <v>0</v>
          </cell>
          <cell r="BB426">
            <v>0</v>
          </cell>
          <cell r="BC426">
            <v>0</v>
          </cell>
          <cell r="BD426">
            <v>0</v>
          </cell>
          <cell r="BE426">
            <v>0</v>
          </cell>
        </row>
        <row r="427">
          <cell r="H427">
            <v>59.207999999999998</v>
          </cell>
          <cell r="I427">
            <v>145.916</v>
          </cell>
          <cell r="J427">
            <v>42.494525000000003</v>
          </cell>
          <cell r="K427">
            <v>26.085000000000001</v>
          </cell>
          <cell r="L427">
            <v>60.100999999999999</v>
          </cell>
          <cell r="M427">
            <v>213.28299999999999</v>
          </cell>
          <cell r="N427">
            <v>45.409689999999998</v>
          </cell>
          <cell r="O427">
            <v>15.414</v>
          </cell>
          <cell r="P427">
            <v>125.556</v>
          </cell>
          <cell r="Q427">
            <v>186.74</v>
          </cell>
          <cell r="R427">
            <v>35.048999999999999</v>
          </cell>
          <cell r="S427">
            <v>136.77799999999999</v>
          </cell>
          <cell r="T427">
            <v>57.9</v>
          </cell>
          <cell r="U427">
            <v>16.077313</v>
          </cell>
          <cell r="V427">
            <v>28.199946000000001</v>
          </cell>
          <cell r="W427">
            <v>52.961227999999998</v>
          </cell>
          <cell r="X427">
            <v>47.744526999999998</v>
          </cell>
          <cell r="Y427">
            <v>44.61</v>
          </cell>
          <cell r="Z427">
            <v>135.58958899999999</v>
          </cell>
          <cell r="AA427">
            <v>53.001061999999997</v>
          </cell>
          <cell r="AB427">
            <v>112.89100000000001</v>
          </cell>
          <cell r="AC427">
            <v>40.850999999999999</v>
          </cell>
          <cell r="AD427">
            <v>0</v>
          </cell>
          <cell r="AE427">
            <v>71.217195000000004</v>
          </cell>
          <cell r="AF427">
            <v>44.747</v>
          </cell>
          <cell r="AG427">
            <v>24.778272999999999</v>
          </cell>
          <cell r="AH427">
            <v>26.098680000000002</v>
          </cell>
          <cell r="AI427">
            <v>0</v>
          </cell>
          <cell r="AJ427">
            <v>31.284690000000001</v>
          </cell>
          <cell r="AK427">
            <v>57.9</v>
          </cell>
          <cell r="AL427">
            <v>301</v>
          </cell>
          <cell r="AM427">
            <v>73.771000000000001</v>
          </cell>
          <cell r="AN427">
            <v>12.315314000000001</v>
          </cell>
          <cell r="AO427">
            <v>0</v>
          </cell>
          <cell r="AP427">
            <v>0</v>
          </cell>
          <cell r="AQ427">
            <v>0</v>
          </cell>
          <cell r="AR427">
            <v>68.506</v>
          </cell>
          <cell r="AS427">
            <v>12.884701959999999</v>
          </cell>
          <cell r="AT427">
            <v>0</v>
          </cell>
          <cell r="AU427">
            <v>0</v>
          </cell>
          <cell r="AV427">
            <v>460</v>
          </cell>
          <cell r="AW427">
            <v>0</v>
          </cell>
          <cell r="AX427">
            <v>0</v>
          </cell>
          <cell r="AY427">
            <v>0</v>
          </cell>
          <cell r="AZ427">
            <v>0</v>
          </cell>
          <cell r="BA427">
            <v>0</v>
          </cell>
          <cell r="BB427">
            <v>0</v>
          </cell>
          <cell r="BC427">
            <v>0</v>
          </cell>
          <cell r="BD427">
            <v>0</v>
          </cell>
          <cell r="BE427">
            <v>0</v>
          </cell>
        </row>
        <row r="428">
          <cell r="H428">
            <v>59.207999999999998</v>
          </cell>
          <cell r="I428">
            <v>145.916</v>
          </cell>
          <cell r="J428">
            <v>42.494525000000003</v>
          </cell>
          <cell r="K428">
            <v>26.085000000000001</v>
          </cell>
          <cell r="L428">
            <v>60.100999999999999</v>
          </cell>
          <cell r="M428">
            <v>213.28299999999999</v>
          </cell>
          <cell r="N428">
            <v>45.409689999999998</v>
          </cell>
          <cell r="O428">
            <v>15.414</v>
          </cell>
          <cell r="P428">
            <v>125.556</v>
          </cell>
          <cell r="Q428">
            <v>186.74</v>
          </cell>
          <cell r="R428">
            <v>35.048999999999999</v>
          </cell>
          <cell r="S428">
            <v>136.77799999999999</v>
          </cell>
          <cell r="T428" t="e">
            <v>#VALUE!</v>
          </cell>
          <cell r="U428">
            <v>16.76418788240828</v>
          </cell>
          <cell r="V428">
            <v>28.199946000000001</v>
          </cell>
          <cell r="W428">
            <v>52.961227999999998</v>
          </cell>
          <cell r="X428">
            <v>47.744526999999998</v>
          </cell>
          <cell r="Y428">
            <v>45.028677578342901</v>
          </cell>
          <cell r="Z428" t="e">
            <v>#N/A</v>
          </cell>
          <cell r="AA428">
            <v>55.435392123796419</v>
          </cell>
          <cell r="AB428">
            <v>112.89100000000001</v>
          </cell>
          <cell r="AC428">
            <v>41.045068474576269</v>
          </cell>
          <cell r="AD428" t="e">
            <v>#N/A</v>
          </cell>
          <cell r="AE428">
            <v>71.217195000000004</v>
          </cell>
          <cell r="AF428">
            <v>44.747</v>
          </cell>
          <cell r="AG428">
            <v>28.247526424657533</v>
          </cell>
          <cell r="AH428">
            <v>27.428742262247841</v>
          </cell>
          <cell r="AI428">
            <v>0</v>
          </cell>
          <cell r="AJ428" t="e">
            <v>#VALUE!</v>
          </cell>
          <cell r="AK428">
            <v>57.9</v>
          </cell>
          <cell r="AL428">
            <v>301</v>
          </cell>
          <cell r="AM428">
            <v>75.042711751340619</v>
          </cell>
          <cell r="AN428">
            <v>12.315314000000001</v>
          </cell>
          <cell r="AO428" t="e">
            <v>#N/A</v>
          </cell>
          <cell r="AP428">
            <v>0</v>
          </cell>
          <cell r="AQ428" t="e">
            <v>#VALUE!</v>
          </cell>
          <cell r="AR428">
            <v>69.047731513411563</v>
          </cell>
          <cell r="AS428">
            <v>15.757437686027396</v>
          </cell>
          <cell r="AT428" t="e">
            <v>#N/A</v>
          </cell>
          <cell r="AU428">
            <v>0</v>
          </cell>
          <cell r="AV428">
            <v>460</v>
          </cell>
          <cell r="AW428" t="e">
            <v>#VALUE!</v>
          </cell>
          <cell r="AX428" t="e">
            <v>#VALUE!</v>
          </cell>
          <cell r="AY428" t="e">
            <v>#VALUE!</v>
          </cell>
          <cell r="AZ428" t="e">
            <v>#VALUE!</v>
          </cell>
          <cell r="BA428" t="e">
            <v>#VALUE!</v>
          </cell>
          <cell r="BB428" t="e">
            <v>#VALUE!</v>
          </cell>
          <cell r="BC428" t="e">
            <v>#VALUE!</v>
          </cell>
          <cell r="BD428" t="e">
            <v>#VALUE!</v>
          </cell>
          <cell r="BE428" t="e">
            <v>#VALUE!</v>
          </cell>
        </row>
        <row r="429">
          <cell r="H429">
            <v>59.207999999999998</v>
          </cell>
          <cell r="I429">
            <v>145.916</v>
          </cell>
          <cell r="J429">
            <v>42.494525000000003</v>
          </cell>
          <cell r="K429">
            <v>26.085000000000001</v>
          </cell>
          <cell r="L429">
            <v>60.100999999999999</v>
          </cell>
          <cell r="M429">
            <v>213.28299999999999</v>
          </cell>
          <cell r="N429">
            <v>45.409689999999998</v>
          </cell>
          <cell r="O429">
            <v>15.414</v>
          </cell>
          <cell r="P429">
            <v>125.556</v>
          </cell>
          <cell r="Q429">
            <v>186.74</v>
          </cell>
          <cell r="R429">
            <v>35.048999999999999</v>
          </cell>
          <cell r="S429">
            <v>136.77799999999999</v>
          </cell>
          <cell r="T429">
            <v>57.9</v>
          </cell>
          <cell r="U429">
            <v>16.077313</v>
          </cell>
          <cell r="V429">
            <v>28.199946000000001</v>
          </cell>
          <cell r="W429">
            <v>52.961227999999998</v>
          </cell>
          <cell r="X429">
            <v>47.744526999999998</v>
          </cell>
          <cell r="Y429">
            <v>44.61</v>
          </cell>
          <cell r="Z429">
            <v>135.58958899999999</v>
          </cell>
          <cell r="AA429">
            <v>53.001061999999997</v>
          </cell>
          <cell r="AB429">
            <v>112.89100000000001</v>
          </cell>
          <cell r="AC429">
            <v>40.850999999999999</v>
          </cell>
          <cell r="AD429">
            <v>0</v>
          </cell>
          <cell r="AE429">
            <v>71.217195000000004</v>
          </cell>
          <cell r="AF429">
            <v>44.747</v>
          </cell>
          <cell r="AG429">
            <v>24.778272999999999</v>
          </cell>
          <cell r="AH429">
            <v>26.098680000000002</v>
          </cell>
          <cell r="AI429">
            <v>0</v>
          </cell>
          <cell r="AJ429">
            <v>31.284690000000001</v>
          </cell>
          <cell r="AK429">
            <v>57.9</v>
          </cell>
          <cell r="AL429">
            <v>301</v>
          </cell>
          <cell r="AM429">
            <v>73.771000000000001</v>
          </cell>
          <cell r="AN429">
            <v>12.315314000000001</v>
          </cell>
          <cell r="AO429">
            <v>0</v>
          </cell>
          <cell r="AP429">
            <v>0</v>
          </cell>
          <cell r="AQ429">
            <v>0</v>
          </cell>
          <cell r="AR429">
            <v>68.506</v>
          </cell>
          <cell r="AS429">
            <v>12.884701959999999</v>
          </cell>
          <cell r="AT429">
            <v>0</v>
          </cell>
          <cell r="AU429">
            <v>0</v>
          </cell>
          <cell r="AV429">
            <v>460</v>
          </cell>
          <cell r="AW429">
            <v>0</v>
          </cell>
          <cell r="AX429">
            <v>0</v>
          </cell>
          <cell r="AY429">
            <v>0</v>
          </cell>
          <cell r="AZ429">
            <v>0</v>
          </cell>
          <cell r="BA429">
            <v>0</v>
          </cell>
          <cell r="BB429">
            <v>0</v>
          </cell>
          <cell r="BC429">
            <v>0</v>
          </cell>
          <cell r="BD429">
            <v>0</v>
          </cell>
          <cell r="BE429">
            <v>0</v>
          </cell>
        </row>
        <row r="431">
          <cell r="H431">
            <v>2043.2680799999998</v>
          </cell>
          <cell r="I431">
            <v>825.88455999999996</v>
          </cell>
          <cell r="J431">
            <v>1236.16573225</v>
          </cell>
          <cell r="K431">
            <v>1154.26125</v>
          </cell>
          <cell r="L431">
            <v>1084.82305</v>
          </cell>
          <cell r="M431">
            <v>4052.377</v>
          </cell>
          <cell r="N431">
            <v>1362.7447969</v>
          </cell>
          <cell r="O431">
            <v>189.12977999999998</v>
          </cell>
          <cell r="P431">
            <v>693.06911999999988</v>
          </cell>
          <cell r="Q431">
            <v>3236.2041999999997</v>
          </cell>
          <cell r="R431">
            <v>1173.4405199999999</v>
          </cell>
          <cell r="S431">
            <v>3285.4075599999996</v>
          </cell>
          <cell r="T431" t="e">
            <v>#VALUE!</v>
          </cell>
          <cell r="U431">
            <v>341.80367438000002</v>
          </cell>
          <cell r="V431">
            <v>1467.8071892999999</v>
          </cell>
          <cell r="W431">
            <v>1827.6919782799998</v>
          </cell>
          <cell r="X431">
            <v>1653.8704152799999</v>
          </cell>
          <cell r="Y431">
            <v>1087.5917999999999</v>
          </cell>
          <cell r="Z431" t="e">
            <v>#N/A</v>
          </cell>
          <cell r="AA431">
            <v>3853.1772074</v>
          </cell>
          <cell r="AB431">
            <v>8207.1757000000016</v>
          </cell>
          <cell r="AC431">
            <v>602.55224999999996</v>
          </cell>
          <cell r="AD431" t="e">
            <v>#N/A</v>
          </cell>
          <cell r="AE431">
            <v>558.34280880000006</v>
          </cell>
          <cell r="AF431">
            <v>2382.7777500000002</v>
          </cell>
          <cell r="AG431">
            <v>832.0544073399999</v>
          </cell>
          <cell r="AH431">
            <v>1358.4362940000001</v>
          </cell>
          <cell r="AI431">
            <v>0</v>
          </cell>
          <cell r="AJ431" t="e">
            <v>#VALUE!</v>
          </cell>
          <cell r="AK431">
            <v>1673.31</v>
          </cell>
          <cell r="AL431">
            <v>9574.81</v>
          </cell>
          <cell r="AM431">
            <v>3714.36985</v>
          </cell>
          <cell r="AN431">
            <v>61.453416860000004</v>
          </cell>
          <cell r="AO431" t="e">
            <v>#N/A</v>
          </cell>
          <cell r="AP431">
            <v>0</v>
          </cell>
          <cell r="AQ431" t="e">
            <v>#VALUE!</v>
          </cell>
          <cell r="AR431">
            <v>3269.1063199999999</v>
          </cell>
          <cell r="AS431">
            <v>432.66829181679998</v>
          </cell>
          <cell r="AT431" t="e">
            <v>#N/A</v>
          </cell>
          <cell r="AU431">
            <v>0</v>
          </cell>
          <cell r="AV431">
            <v>29757.399999999998</v>
          </cell>
          <cell r="AW431" t="e">
            <v>#VALUE!</v>
          </cell>
          <cell r="AX431" t="e">
            <v>#VALUE!</v>
          </cell>
          <cell r="AY431" t="e">
            <v>#VALUE!</v>
          </cell>
          <cell r="AZ431" t="e">
            <v>#VALUE!</v>
          </cell>
          <cell r="BA431" t="e">
            <v>#VALUE!</v>
          </cell>
          <cell r="BB431" t="e">
            <v>#VALUE!</v>
          </cell>
          <cell r="BC431" t="e">
            <v>#VALUE!</v>
          </cell>
          <cell r="BD431" t="e">
            <v>#VALUE!</v>
          </cell>
          <cell r="BE431" t="e">
            <v>#VALUE!</v>
          </cell>
        </row>
        <row r="432">
          <cell r="H432">
            <v>2043.2680799999998</v>
          </cell>
          <cell r="I432">
            <v>825.88455999999996</v>
          </cell>
          <cell r="J432">
            <v>1236.16573225</v>
          </cell>
          <cell r="K432">
            <v>1154.26125</v>
          </cell>
          <cell r="L432">
            <v>1084.82305</v>
          </cell>
          <cell r="M432">
            <v>4052.377</v>
          </cell>
          <cell r="N432">
            <v>1362.7447969</v>
          </cell>
          <cell r="O432">
            <v>189.12977999999998</v>
          </cell>
          <cell r="P432">
            <v>549.72611999999992</v>
          </cell>
          <cell r="Q432">
            <v>3236.2041999999997</v>
          </cell>
          <cell r="R432">
            <v>1173.4405199999999</v>
          </cell>
          <cell r="S432">
            <v>3285.4075599999996</v>
          </cell>
          <cell r="T432" t="e">
            <v>#VALUE!</v>
          </cell>
          <cell r="U432">
            <v>324.06467438000004</v>
          </cell>
          <cell r="V432">
            <v>1649.5821892999998</v>
          </cell>
          <cell r="W432">
            <v>1275.9429782799998</v>
          </cell>
          <cell r="X432">
            <v>1961.02941528</v>
          </cell>
          <cell r="Y432">
            <v>996.24379999999996</v>
          </cell>
          <cell r="Z432" t="e">
            <v>#N/A</v>
          </cell>
          <cell r="AA432">
            <v>4099.8132074000005</v>
          </cell>
          <cell r="AB432">
            <v>8982.2497000000003</v>
          </cell>
          <cell r="AC432">
            <v>843.87924999999996</v>
          </cell>
          <cell r="AD432" t="e">
            <v>#N/A</v>
          </cell>
          <cell r="AE432">
            <v>643.13680880000004</v>
          </cell>
          <cell r="AF432">
            <v>2546.1067500000004</v>
          </cell>
          <cell r="AG432">
            <v>1024.3234073399999</v>
          </cell>
          <cell r="AH432">
            <v>1358.4362940000001</v>
          </cell>
          <cell r="AI432" t="e">
            <v>#DIV/0!</v>
          </cell>
          <cell r="AJ432" t="e">
            <v>#VALUE!</v>
          </cell>
          <cell r="AK432">
            <v>2585.61</v>
          </cell>
          <cell r="AL432">
            <v>10516.11</v>
          </cell>
          <cell r="AM432">
            <v>4128.9500200000002</v>
          </cell>
          <cell r="AN432">
            <v>68.246416860000011</v>
          </cell>
          <cell r="AO432" t="e">
            <v>#N/A</v>
          </cell>
          <cell r="AP432" t="e">
            <v>#DIV/0!</v>
          </cell>
          <cell r="AQ432" t="e">
            <v>#VALUE!</v>
          </cell>
          <cell r="AR432">
            <v>3136.66932</v>
          </cell>
          <cell r="AS432">
            <v>624.93729181679998</v>
          </cell>
          <cell r="AT432" t="e">
            <v>#N/A</v>
          </cell>
          <cell r="AU432" t="e">
            <v>#DIV/0!</v>
          </cell>
          <cell r="AV432">
            <v>31751.616999999995</v>
          </cell>
          <cell r="AW432" t="e">
            <v>#VALUE!</v>
          </cell>
          <cell r="AX432" t="e">
            <v>#VALUE!</v>
          </cell>
          <cell r="AY432" t="e">
            <v>#VALUE!</v>
          </cell>
          <cell r="AZ432" t="e">
            <v>#VALUE!</v>
          </cell>
          <cell r="BA432" t="e">
            <v>#VALUE!</v>
          </cell>
          <cell r="BB432" t="e">
            <v>#VALUE!</v>
          </cell>
          <cell r="BC432" t="e">
            <v>#VALUE!</v>
          </cell>
          <cell r="BD432" t="e">
            <v>#VALUE!</v>
          </cell>
          <cell r="BE432" t="e">
            <v>#VALUE!</v>
          </cell>
        </row>
        <row r="438">
          <cell r="H438" t="str">
            <v xml:space="preserve">NA </v>
          </cell>
          <cell r="I438" t="str">
            <v xml:space="preserve">NA </v>
          </cell>
          <cell r="J438" t="str">
            <v xml:space="preserve">NA </v>
          </cell>
          <cell r="K438" t="str">
            <v xml:space="preserve">NA </v>
          </cell>
          <cell r="L438" t="str">
            <v xml:space="preserve">NA </v>
          </cell>
          <cell r="M438" t="str">
            <v xml:space="preserve">NA </v>
          </cell>
          <cell r="N438" t="str">
            <v xml:space="preserve">NA </v>
          </cell>
          <cell r="O438" t="str">
            <v xml:space="preserve">NA </v>
          </cell>
          <cell r="P438" t="str">
            <v xml:space="preserve">NA </v>
          </cell>
          <cell r="Q438" t="str">
            <v xml:space="preserve">NA </v>
          </cell>
          <cell r="R438" t="str">
            <v xml:space="preserve">NA </v>
          </cell>
          <cell r="S438" t="str">
            <v xml:space="preserve">NA </v>
          </cell>
          <cell r="T438" t="str">
            <v xml:space="preserve">NA </v>
          </cell>
          <cell r="U438">
            <v>4.0672809174657356</v>
          </cell>
          <cell r="V438">
            <v>1.9198869066628801</v>
          </cell>
          <cell r="W438">
            <v>2.0653545224220755</v>
          </cell>
          <cell r="X438">
            <v>3.0781380373985812</v>
          </cell>
          <cell r="Y438">
            <v>1.1029778650201332</v>
          </cell>
          <cell r="Z438" t="str">
            <v xml:space="preserve">NA </v>
          </cell>
          <cell r="AA438">
            <v>0.30746914124605967</v>
          </cell>
          <cell r="AB438">
            <v>0.23855536301210298</v>
          </cell>
          <cell r="AC438">
            <v>0.21878202640330252</v>
          </cell>
          <cell r="AD438" t="str">
            <v xml:space="preserve">NA </v>
          </cell>
          <cell r="AE438">
            <v>0.36168628550154597</v>
          </cell>
          <cell r="AF438">
            <v>0.97498153318416947</v>
          </cell>
          <cell r="AG438">
            <v>1.2664949780782553</v>
          </cell>
          <cell r="AH438">
            <v>10.645718739224472</v>
          </cell>
          <cell r="AI438" t="str">
            <v xml:space="preserve">NA </v>
          </cell>
          <cell r="AJ438" t="str">
            <v xml:space="preserve">NA </v>
          </cell>
          <cell r="AK438">
            <v>0.84232799061767027</v>
          </cell>
          <cell r="AL438">
            <v>0.29631859833414115</v>
          </cell>
          <cell r="AM438">
            <v>3.500750792532433</v>
          </cell>
          <cell r="AN438">
            <v>0.20774595782763944</v>
          </cell>
          <cell r="AO438" t="str">
            <v xml:space="preserve">NA </v>
          </cell>
          <cell r="AP438" t="str">
            <v xml:space="preserve">NA </v>
          </cell>
          <cell r="AQ438" t="str">
            <v xml:space="preserve">NA </v>
          </cell>
          <cell r="AR438">
            <v>2.2573842815658698</v>
          </cell>
          <cell r="AS438">
            <v>0.77268559522148017</v>
          </cell>
          <cell r="AT438" t="str">
            <v xml:space="preserve">NA </v>
          </cell>
          <cell r="AU438" t="str">
            <v xml:space="preserve">NA </v>
          </cell>
          <cell r="AV438">
            <v>0.72316420222959643</v>
          </cell>
          <cell r="AW438" t="str">
            <v xml:space="preserve">NA </v>
          </cell>
          <cell r="AX438" t="str">
            <v xml:space="preserve">NA </v>
          </cell>
          <cell r="AY438" t="str">
            <v xml:space="preserve">NA </v>
          </cell>
          <cell r="AZ438" t="str">
            <v xml:space="preserve">NA </v>
          </cell>
          <cell r="BA438" t="str">
            <v xml:space="preserve">NA </v>
          </cell>
          <cell r="BB438" t="str">
            <v xml:space="preserve">NA </v>
          </cell>
          <cell r="BC438" t="str">
            <v xml:space="preserve">NA </v>
          </cell>
          <cell r="BD438" t="str">
            <v xml:space="preserve">NA </v>
          </cell>
          <cell r="BE438" t="str">
            <v xml:space="preserve">NA </v>
          </cell>
        </row>
        <row r="439">
          <cell r="H439" t="str">
            <v xml:space="preserve">NA </v>
          </cell>
          <cell r="I439" t="str">
            <v xml:space="preserve">NA </v>
          </cell>
          <cell r="J439" t="str">
            <v xml:space="preserve">NA </v>
          </cell>
          <cell r="K439" t="str">
            <v xml:space="preserve">NA </v>
          </cell>
          <cell r="L439" t="str">
            <v xml:space="preserve">NA </v>
          </cell>
          <cell r="M439" t="str">
            <v xml:space="preserve">NA </v>
          </cell>
          <cell r="N439" t="str">
            <v xml:space="preserve">NA </v>
          </cell>
          <cell r="O439" t="str">
            <v xml:space="preserve">NA </v>
          </cell>
          <cell r="P439" t="str">
            <v xml:space="preserve">NA </v>
          </cell>
          <cell r="Q439" t="str">
            <v xml:space="preserve">NA </v>
          </cell>
          <cell r="R439" t="str">
            <v xml:space="preserve">NA </v>
          </cell>
          <cell r="S439" t="str">
            <v xml:space="preserve">NA </v>
          </cell>
          <cell r="T439" t="str">
            <v xml:space="preserve">NA </v>
          </cell>
          <cell r="U439">
            <v>380.35759903755888</v>
          </cell>
          <cell r="V439">
            <v>7.1204576777975364</v>
          </cell>
          <cell r="W439">
            <v>11.046555219387152</v>
          </cell>
          <cell r="X439">
            <v>15.882638821414108</v>
          </cell>
          <cell r="Y439">
            <v>20.971346174086936</v>
          </cell>
          <cell r="Z439" t="str">
            <v xml:space="preserve">NA </v>
          </cell>
          <cell r="AA439">
            <v>17.429325995961314</v>
          </cell>
          <cell r="AB439">
            <v>13.19043316342789</v>
          </cell>
          <cell r="AC439">
            <v>9.2015052719957247</v>
          </cell>
          <cell r="AD439" t="str">
            <v xml:space="preserve">NA </v>
          </cell>
          <cell r="AE439">
            <v>38.091495427623791</v>
          </cell>
          <cell r="AF439">
            <v>15.830354644764579</v>
          </cell>
          <cell r="AG439">
            <v>13.795973054358365</v>
          </cell>
          <cell r="AH439">
            <v>82.907311199267625</v>
          </cell>
          <cell r="AI439" t="str">
            <v xml:space="preserve">NA </v>
          </cell>
          <cell r="AJ439" t="str">
            <v xml:space="preserve">NA </v>
          </cell>
          <cell r="AK439">
            <v>11.380325704225353</v>
          </cell>
          <cell r="AL439">
            <v>14.626022253129348</v>
          </cell>
          <cell r="AM439">
            <v>18.821424592592592</v>
          </cell>
          <cell r="AN439">
            <v>-19.690252989036356</v>
          </cell>
          <cell r="AO439" t="str">
            <v xml:space="preserve">NA </v>
          </cell>
          <cell r="AP439" t="str">
            <v xml:space="preserve">NA </v>
          </cell>
          <cell r="AQ439" t="str">
            <v xml:space="preserve">NA </v>
          </cell>
          <cell r="AR439">
            <v>23.015467756526228</v>
          </cell>
          <cell r="AS439">
            <v>8.4168905804439174</v>
          </cell>
          <cell r="AT439" t="str">
            <v xml:space="preserve">NA </v>
          </cell>
          <cell r="AU439" t="str">
            <v xml:space="preserve">NA </v>
          </cell>
          <cell r="AV439">
            <v>16.486236121762435</v>
          </cell>
          <cell r="AW439" t="str">
            <v xml:space="preserve">NA </v>
          </cell>
          <cell r="AX439" t="str">
            <v xml:space="preserve">NA </v>
          </cell>
          <cell r="AY439" t="str">
            <v xml:space="preserve">NA </v>
          </cell>
          <cell r="AZ439" t="str">
            <v xml:space="preserve">NA </v>
          </cell>
          <cell r="BA439" t="str">
            <v xml:space="preserve">NA </v>
          </cell>
          <cell r="BB439" t="str">
            <v xml:space="preserve">NA </v>
          </cell>
          <cell r="BC439" t="str">
            <v xml:space="preserve">NA </v>
          </cell>
          <cell r="BD439" t="str">
            <v xml:space="preserve">NA </v>
          </cell>
          <cell r="BE439" t="str">
            <v xml:space="preserve">NA </v>
          </cell>
        </row>
        <row r="440">
          <cell r="H440" t="str">
            <v xml:space="preserve">NA </v>
          </cell>
          <cell r="I440" t="str">
            <v xml:space="preserve">NA </v>
          </cell>
          <cell r="J440" t="str">
            <v xml:space="preserve">NA </v>
          </cell>
          <cell r="K440" t="str">
            <v xml:space="preserve">NA </v>
          </cell>
          <cell r="L440" t="str">
            <v xml:space="preserve">NA </v>
          </cell>
          <cell r="M440" t="str">
            <v xml:space="preserve">NA </v>
          </cell>
          <cell r="N440" t="str">
            <v xml:space="preserve">NA </v>
          </cell>
          <cell r="O440" t="str">
            <v xml:space="preserve">NA </v>
          </cell>
          <cell r="P440" t="str">
            <v xml:space="preserve">NA </v>
          </cell>
          <cell r="Q440" t="str">
            <v xml:space="preserve">NA </v>
          </cell>
          <cell r="R440" t="str">
            <v xml:space="preserve">NA </v>
          </cell>
          <cell r="S440" t="str">
            <v xml:space="preserve">NA </v>
          </cell>
          <cell r="T440" t="str">
            <v xml:space="preserve">NA </v>
          </cell>
          <cell r="U440">
            <v>44.624714180666494</v>
          </cell>
          <cell r="V440">
            <v>6.3022490947296026</v>
          </cell>
          <cell r="W440">
            <v>9.2891303898531135</v>
          </cell>
          <cell r="X440">
            <v>12.56868716731293</v>
          </cell>
          <cell r="Y440">
            <v>19.478049543472732</v>
          </cell>
          <cell r="Z440" t="str">
            <v xml:space="preserve">NA </v>
          </cell>
          <cell r="AA440">
            <v>16.227565189890953</v>
          </cell>
          <cell r="AB440">
            <v>12.060742046670633</v>
          </cell>
          <cell r="AC440">
            <v>7.409664234473917</v>
          </cell>
          <cell r="AD440" t="str">
            <v xml:space="preserve">NA </v>
          </cell>
          <cell r="AE440">
            <v>16.719617553163832</v>
          </cell>
          <cell r="AF440">
            <v>13.590906058001806</v>
          </cell>
          <cell r="AG440">
            <v>8.8145687675547286</v>
          </cell>
          <cell r="AH440">
            <v>81.01361486164123</v>
          </cell>
          <cell r="AI440" t="str">
            <v xml:space="preserve">NA </v>
          </cell>
          <cell r="AJ440" t="str">
            <v xml:space="preserve">NA </v>
          </cell>
          <cell r="AK440">
            <v>8.4002923976608201</v>
          </cell>
          <cell r="AL440">
            <v>11.177838010204082</v>
          </cell>
          <cell r="AM440">
            <v>14.201129569248973</v>
          </cell>
          <cell r="AN440">
            <v>109.89761169082135</v>
          </cell>
          <cell r="AO440" t="str">
            <v xml:space="preserve">NA </v>
          </cell>
          <cell r="AP440" t="str">
            <v xml:space="preserve">NA </v>
          </cell>
          <cell r="AQ440" t="str">
            <v xml:space="preserve">NA </v>
          </cell>
          <cell r="AR440">
            <v>21.298080332987801</v>
          </cell>
          <cell r="AS440">
            <v>5.3777475889508457</v>
          </cell>
          <cell r="AT440" t="str">
            <v xml:space="preserve">NA </v>
          </cell>
          <cell r="AU440" t="str">
            <v xml:space="preserve">NA </v>
          </cell>
          <cell r="AV440">
            <v>14.043814026025952</v>
          </cell>
          <cell r="AW440" t="str">
            <v xml:space="preserve">NA </v>
          </cell>
          <cell r="AX440" t="str">
            <v xml:space="preserve">NA </v>
          </cell>
          <cell r="AY440" t="str">
            <v xml:space="preserve">NA </v>
          </cell>
          <cell r="AZ440" t="str">
            <v xml:space="preserve">NA </v>
          </cell>
          <cell r="BA440" t="str">
            <v xml:space="preserve">NA </v>
          </cell>
          <cell r="BB440" t="str">
            <v xml:space="preserve">NA </v>
          </cell>
          <cell r="BC440" t="str">
            <v xml:space="preserve">NA </v>
          </cell>
          <cell r="BD440" t="str">
            <v xml:space="preserve">NA </v>
          </cell>
          <cell r="BE440" t="str">
            <v xml:space="preserve">NA </v>
          </cell>
        </row>
        <row r="441">
          <cell r="H441" t="str">
            <v xml:space="preserve">NA </v>
          </cell>
          <cell r="I441" t="str">
            <v xml:space="preserve">NA </v>
          </cell>
          <cell r="J441">
            <v>2472.3314645</v>
          </cell>
          <cell r="K441" t="str">
            <v xml:space="preserve">NA </v>
          </cell>
          <cell r="L441" t="str">
            <v xml:space="preserve">NA </v>
          </cell>
          <cell r="M441">
            <v>8104.7539999999999</v>
          </cell>
          <cell r="N441" t="str">
            <v xml:space="preserve">NA </v>
          </cell>
          <cell r="O441" t="str">
            <v xml:space="preserve">NA </v>
          </cell>
          <cell r="P441" t="str">
            <v xml:space="preserve">NA </v>
          </cell>
          <cell r="Q441" t="str">
            <v xml:space="preserve">NA </v>
          </cell>
          <cell r="R441">
            <v>6.0576396463831701</v>
          </cell>
          <cell r="S441" t="str">
            <v xml:space="preserve">NA </v>
          </cell>
          <cell r="T441" t="str">
            <v xml:space="preserve">NA </v>
          </cell>
          <cell r="U441">
            <v>4.5547326649706958</v>
          </cell>
          <cell r="V441">
            <v>3.835310039664825</v>
          </cell>
          <cell r="W441" t="str">
            <v xml:space="preserve">NA </v>
          </cell>
          <cell r="X441">
            <v>3.2780471344346918</v>
          </cell>
          <cell r="Y441">
            <v>1.23738548290938</v>
          </cell>
          <cell r="Z441" t="str">
            <v xml:space="preserve">NA </v>
          </cell>
          <cell r="AA441" t="str">
            <v xml:space="preserve">NA </v>
          </cell>
          <cell r="AB441">
            <v>0.24924085419086975</v>
          </cell>
          <cell r="AC441">
            <v>0.22120067554496808</v>
          </cell>
          <cell r="AD441" t="str">
            <v xml:space="preserve">NA </v>
          </cell>
          <cell r="AE441">
            <v>0.47765404319064442</v>
          </cell>
          <cell r="AF441">
            <v>0.99525602141782488</v>
          </cell>
          <cell r="AG441">
            <v>1.322188728466358</v>
          </cell>
          <cell r="AH441">
            <v>3.1583902823503154</v>
          </cell>
          <cell r="AI441" t="str">
            <v xml:space="preserve">NA </v>
          </cell>
          <cell r="AJ441" t="str">
            <v xml:space="preserve">NA </v>
          </cell>
          <cell r="AK441">
            <v>0.89778125000000009</v>
          </cell>
          <cell r="AL441">
            <v>0.44824939046222573</v>
          </cell>
          <cell r="AM441">
            <v>3.500750792532433</v>
          </cell>
          <cell r="AN441">
            <v>0.4566123064982856</v>
          </cell>
          <cell r="AO441" t="str">
            <v xml:space="preserve">NA </v>
          </cell>
          <cell r="AP441" t="str">
            <v xml:space="preserve">NA </v>
          </cell>
          <cell r="AQ441" t="str">
            <v xml:space="preserve">NA </v>
          </cell>
          <cell r="AR441">
            <v>3.600941050234042</v>
          </cell>
          <cell r="AS441">
            <v>0.80666422080912026</v>
          </cell>
          <cell r="AT441" t="str">
            <v xml:space="preserve">NA </v>
          </cell>
          <cell r="AU441" t="str">
            <v xml:space="preserve">NA </v>
          </cell>
          <cell r="AV441">
            <v>1.605833557127085</v>
          </cell>
          <cell r="AW441" t="str">
            <v xml:space="preserve">NA </v>
          </cell>
          <cell r="AX441" t="str">
            <v xml:space="preserve">NA </v>
          </cell>
          <cell r="AY441" t="str">
            <v xml:space="preserve">NA </v>
          </cell>
          <cell r="AZ441" t="str">
            <v xml:space="preserve">NA </v>
          </cell>
          <cell r="BA441" t="str">
            <v xml:space="preserve">NA </v>
          </cell>
          <cell r="BB441" t="str">
            <v xml:space="preserve">NA </v>
          </cell>
          <cell r="BC441" t="str">
            <v xml:space="preserve">NA </v>
          </cell>
          <cell r="BD441" t="str">
            <v xml:space="preserve">NA </v>
          </cell>
          <cell r="BE441" t="str">
            <v xml:space="preserve">NA </v>
          </cell>
        </row>
        <row r="442">
          <cell r="H442">
            <v>3.1343947868185542</v>
          </cell>
          <cell r="I442">
            <v>2.7735281119238078</v>
          </cell>
          <cell r="J442">
            <v>16.659017468734838</v>
          </cell>
          <cell r="K442">
            <v>1.333173076923077</v>
          </cell>
          <cell r="L442">
            <v>3.7851070993674174</v>
          </cell>
          <cell r="M442">
            <v>4.6941085846007713</v>
          </cell>
          <cell r="N442">
            <v>1.1558283972282064</v>
          </cell>
          <cell r="O442">
            <v>1.813324832214765</v>
          </cell>
          <cell r="P442">
            <v>0.42344604150298093</v>
          </cell>
          <cell r="Q442">
            <v>1.5742589872063044</v>
          </cell>
          <cell r="R442">
            <v>1.4800517382187395</v>
          </cell>
          <cell r="S442">
            <v>3.6413050769123343</v>
          </cell>
          <cell r="T442" t="str">
            <v xml:space="preserve">NA </v>
          </cell>
          <cell r="U442">
            <v>3.0833936667935307</v>
          </cell>
          <cell r="V442">
            <v>1.4088516994200893</v>
          </cell>
          <cell r="W442">
            <v>1.9573099871449915</v>
          </cell>
          <cell r="X442">
            <v>2.7744199982739715</v>
          </cell>
          <cell r="Y442">
            <v>0.84301631209694683</v>
          </cell>
          <cell r="Z442" t="str">
            <v xml:space="preserve">NA </v>
          </cell>
          <cell r="AA442">
            <v>9.8123827798239124E-2</v>
          </cell>
          <cell r="AB442">
            <v>0.21497875103498429</v>
          </cell>
          <cell r="AC442">
            <v>0.21055486150668568</v>
          </cell>
          <cell r="AD442" t="str">
            <v xml:space="preserve">NA </v>
          </cell>
          <cell r="AE442">
            <v>0.34332756106981177</v>
          </cell>
          <cell r="AF442">
            <v>0.90750882164242963</v>
          </cell>
          <cell r="AG442">
            <v>1.0995313518033489</v>
          </cell>
          <cell r="AH442">
            <v>1.1601939532142767</v>
          </cell>
          <cell r="AI442" t="str">
            <v xml:space="preserve">NA </v>
          </cell>
          <cell r="AJ442" t="str">
            <v xml:space="preserve">NA </v>
          </cell>
          <cell r="AK442">
            <v>0.80721104915801378</v>
          </cell>
          <cell r="AL442">
            <v>0.26756786257597787</v>
          </cell>
          <cell r="AM442">
            <v>3.3825830663990497</v>
          </cell>
          <cell r="AN442">
            <v>0.18620920060899745</v>
          </cell>
          <cell r="AO442" t="str">
            <v xml:space="preserve">NA </v>
          </cell>
          <cell r="AP442" t="str">
            <v xml:space="preserve">NA </v>
          </cell>
          <cell r="AQ442" t="str">
            <v xml:space="preserve">NA </v>
          </cell>
          <cell r="AR442">
            <v>2.05007761530642</v>
          </cell>
          <cell r="AS442">
            <v>0.67082148112580509</v>
          </cell>
          <cell r="AT442" t="str">
            <v xml:space="preserve">NA </v>
          </cell>
          <cell r="AU442" t="str">
            <v xml:space="preserve">NA </v>
          </cell>
          <cell r="AV442">
            <v>0.70029338041417755</v>
          </cell>
          <cell r="AW442" t="str">
            <v xml:space="preserve">NA </v>
          </cell>
          <cell r="AX442" t="str">
            <v xml:space="preserve">NA </v>
          </cell>
          <cell r="AY442" t="str">
            <v xml:space="preserve">NA </v>
          </cell>
          <cell r="AZ442" t="str">
            <v xml:space="preserve">NA </v>
          </cell>
          <cell r="BA442" t="str">
            <v xml:space="preserve">NA </v>
          </cell>
          <cell r="BB442" t="str">
            <v xml:space="preserve">NA </v>
          </cell>
          <cell r="BC442" t="str">
            <v xml:space="preserve">NA </v>
          </cell>
          <cell r="BD442" t="str">
            <v xml:space="preserve">NA </v>
          </cell>
          <cell r="BE442" t="str">
            <v xml:space="preserve">NA </v>
          </cell>
        </row>
        <row r="443">
          <cell r="H443">
            <v>2.7616097139682894</v>
          </cell>
          <cell r="I443">
            <v>2.3841933025404156</v>
          </cell>
          <cell r="J443">
            <v>7.7646650351121824</v>
          </cell>
          <cell r="K443">
            <v>1.2318689967982925</v>
          </cell>
          <cell r="L443">
            <v>3.1328458099655183</v>
          </cell>
          <cell r="M443">
            <v>2.2405348696414205</v>
          </cell>
          <cell r="N443">
            <v>1.0977041337951587</v>
          </cell>
          <cell r="O443">
            <v>1.5420283734203015</v>
          </cell>
          <cell r="P443">
            <v>0.39355826490360174</v>
          </cell>
          <cell r="Q443">
            <v>1.4761146334120907</v>
          </cell>
          <cell r="R443">
            <v>1.3306144408592069</v>
          </cell>
          <cell r="S443">
            <v>3.2977179410740289</v>
          </cell>
          <cell r="T443" t="str">
            <v xml:space="preserve">NA </v>
          </cell>
          <cell r="U443">
            <v>2.4568966973464748</v>
          </cell>
          <cell r="V443">
            <v>0.99069572520628946</v>
          </cell>
          <cell r="W443">
            <v>1.7245199285292401</v>
          </cell>
          <cell r="X443">
            <v>2.4873723230770399</v>
          </cell>
          <cell r="Y443">
            <v>0.68130600934446495</v>
          </cell>
          <cell r="Z443" t="str">
            <v xml:space="preserve">NA </v>
          </cell>
          <cell r="AA443">
            <v>8.6263735454101167E-2</v>
          </cell>
          <cell r="AB443">
            <v>0.18899456455843397</v>
          </cell>
          <cell r="AC443">
            <v>0.20248323395678622</v>
          </cell>
          <cell r="AD443" t="str">
            <v xml:space="preserve">NA </v>
          </cell>
          <cell r="AE443">
            <v>0.26062876935731583</v>
          </cell>
          <cell r="AF443">
            <v>0.8487022500000001</v>
          </cell>
          <cell r="AG443">
            <v>0.95494654112711497</v>
          </cell>
          <cell r="AH443">
            <v>0.81584114945006969</v>
          </cell>
          <cell r="AI443" t="str">
            <v xml:space="preserve">NA </v>
          </cell>
          <cell r="AJ443" t="str">
            <v xml:space="preserve">NA </v>
          </cell>
          <cell r="AK443">
            <v>0.76108575574763826</v>
          </cell>
          <cell r="AL443">
            <v>0.22773570309387392</v>
          </cell>
          <cell r="AM443">
            <v>3.1526884993051629</v>
          </cell>
          <cell r="AN443">
            <v>0.11883211009059297</v>
          </cell>
          <cell r="AO443" t="str">
            <v xml:space="preserve">NA </v>
          </cell>
          <cell r="AP443" t="str">
            <v xml:space="preserve">NA </v>
          </cell>
          <cell r="AQ443" t="str">
            <v xml:space="preserve">NA </v>
          </cell>
          <cell r="AR443">
            <v>1.7781891322690033</v>
          </cell>
          <cell r="AS443">
            <v>0.58261062957796106</v>
          </cell>
          <cell r="AT443" t="str">
            <v xml:space="preserve">NA </v>
          </cell>
          <cell r="AU443" t="str">
            <v xml:space="preserve">NA </v>
          </cell>
          <cell r="AV443">
            <v>0.58066204903829877</v>
          </cell>
          <cell r="AW443" t="str">
            <v xml:space="preserve">NA </v>
          </cell>
          <cell r="AX443" t="str">
            <v xml:space="preserve">NA </v>
          </cell>
          <cell r="AY443" t="str">
            <v xml:space="preserve">NA </v>
          </cell>
          <cell r="AZ443" t="str">
            <v xml:space="preserve">NA </v>
          </cell>
          <cell r="BA443" t="str">
            <v xml:space="preserve">NA </v>
          </cell>
          <cell r="BB443" t="str">
            <v xml:space="preserve">NA </v>
          </cell>
          <cell r="BC443" t="str">
            <v xml:space="preserve">NA </v>
          </cell>
          <cell r="BD443" t="str">
            <v xml:space="preserve">NA </v>
          </cell>
          <cell r="BE443" t="str">
            <v xml:space="preserve">NA </v>
          </cell>
        </row>
        <row r="444">
          <cell r="H444">
            <v>2.325370254267674</v>
          </cell>
          <cell r="I444">
            <v>1.9758003827751196</v>
          </cell>
          <cell r="J444">
            <v>6.6204426010673769</v>
          </cell>
          <cell r="K444">
            <v>1.0439567769477054</v>
          </cell>
          <cell r="L444">
            <v>2.6590950983780552</v>
          </cell>
          <cell r="M444">
            <v>1.9804697034774217</v>
          </cell>
          <cell r="N444">
            <v>1.0301971552010887</v>
          </cell>
          <cell r="O444">
            <v>1.2598271024675665</v>
          </cell>
          <cell r="P444">
            <v>0.34000714030548751</v>
          </cell>
          <cell r="Q444">
            <v>1.2670511874781893</v>
          </cell>
          <cell r="R444">
            <v>1.3306144408592069</v>
          </cell>
          <cell r="S444">
            <v>2.7894755042074344</v>
          </cell>
          <cell r="T444" t="str">
            <v xml:space="preserve">NA </v>
          </cell>
          <cell r="U444">
            <v>1.9853710685628081</v>
          </cell>
          <cell r="V444">
            <v>0.78676074367053062</v>
          </cell>
          <cell r="W444">
            <v>1.452105025706669</v>
          </cell>
          <cell r="X444">
            <v>2.1504040140719631</v>
          </cell>
          <cell r="Y444">
            <v>0.5417078868923153</v>
          </cell>
          <cell r="Z444" t="str">
            <v xml:space="preserve">NA </v>
          </cell>
          <cell r="AA444" t="str">
            <v xml:space="preserve">NA </v>
          </cell>
          <cell r="AB444" t="str">
            <v xml:space="preserve">NA </v>
          </cell>
          <cell r="AC444">
            <v>0.17918870261662501</v>
          </cell>
          <cell r="AD444" t="str">
            <v xml:space="preserve">NA </v>
          </cell>
          <cell r="AE444">
            <v>0.26062876935731583</v>
          </cell>
          <cell r="AF444">
            <v>0.73800195652173928</v>
          </cell>
          <cell r="AG444">
            <v>0.78512418081650492</v>
          </cell>
          <cell r="AH444">
            <v>0.64790002937047342</v>
          </cell>
          <cell r="AI444" t="str">
            <v xml:space="preserve">NA </v>
          </cell>
          <cell r="AJ444" t="str">
            <v xml:space="preserve">NA </v>
          </cell>
          <cell r="AK444">
            <v>0.65707135953348716</v>
          </cell>
          <cell r="AL444">
            <v>0.2020964209503727</v>
          </cell>
          <cell r="AM444">
            <v>2.8290456741790768</v>
          </cell>
          <cell r="AN444">
            <v>0.11883211009059297</v>
          </cell>
          <cell r="AO444" t="str">
            <v xml:space="preserve">NA </v>
          </cell>
          <cell r="AP444" t="str">
            <v xml:space="preserve">NA </v>
          </cell>
          <cell r="AQ444" t="str">
            <v xml:space="preserve">NA </v>
          </cell>
          <cell r="AR444">
            <v>1.5285118158535038</v>
          </cell>
          <cell r="AS444">
            <v>0.47900240859817567</v>
          </cell>
          <cell r="AT444" t="str">
            <v xml:space="preserve">NA </v>
          </cell>
          <cell r="AU444" t="str">
            <v xml:space="preserve">NA </v>
          </cell>
          <cell r="AV444">
            <v>0.50993572406863974</v>
          </cell>
          <cell r="AW444" t="str">
            <v xml:space="preserve">NA </v>
          </cell>
          <cell r="AX444" t="str">
            <v xml:space="preserve">NA </v>
          </cell>
          <cell r="AY444" t="str">
            <v xml:space="preserve">NA </v>
          </cell>
          <cell r="AZ444" t="str">
            <v xml:space="preserve">NA </v>
          </cell>
          <cell r="BA444" t="str">
            <v xml:space="preserve">NA </v>
          </cell>
          <cell r="BB444" t="str">
            <v xml:space="preserve">NA </v>
          </cell>
          <cell r="BC444" t="str">
            <v xml:space="preserve">NA </v>
          </cell>
          <cell r="BD444" t="str">
            <v xml:space="preserve">NA </v>
          </cell>
          <cell r="BE444" t="str">
            <v xml:space="preserve">NA </v>
          </cell>
        </row>
        <row r="453">
          <cell r="H453" t="str">
            <v>NA</v>
          </cell>
          <cell r="I453" t="str">
            <v>NA</v>
          </cell>
          <cell r="J453" t="str">
            <v>NA</v>
          </cell>
          <cell r="K453" t="str">
            <v>NA</v>
          </cell>
          <cell r="L453" t="str">
            <v>NA</v>
          </cell>
          <cell r="M453" t="str">
            <v>NA</v>
          </cell>
          <cell r="N453" t="str">
            <v>NA</v>
          </cell>
          <cell r="O453" t="str">
            <v>NA</v>
          </cell>
          <cell r="P453" t="str">
            <v>NA</v>
          </cell>
          <cell r="Q453" t="str">
            <v>NA</v>
          </cell>
          <cell r="R453" t="str">
            <v>NA</v>
          </cell>
          <cell r="S453" t="str">
            <v>NA</v>
          </cell>
          <cell r="T453" t="str">
            <v>NA</v>
          </cell>
          <cell r="U453">
            <v>-1979.8164170195391</v>
          </cell>
          <cell r="V453">
            <v>40.291767243951924</v>
          </cell>
          <cell r="W453">
            <v>23.993849493768213</v>
          </cell>
          <cell r="X453">
            <v>17.585320079918652</v>
          </cell>
          <cell r="Y453">
            <v>33.174915801349037</v>
          </cell>
          <cell r="Z453" t="str">
            <v>NA</v>
          </cell>
          <cell r="AA453">
            <v>75.247732829504116</v>
          </cell>
          <cell r="AB453">
            <v>26.349617831207272</v>
          </cell>
          <cell r="AC453">
            <v>16.703121415305308</v>
          </cell>
          <cell r="AD453" t="str">
            <v>NA</v>
          </cell>
          <cell r="AE453">
            <v>52.216996413843695</v>
          </cell>
          <cell r="AF453">
            <v>23.646249770215494</v>
          </cell>
          <cell r="AG453">
            <v>24.009089690505899</v>
          </cell>
          <cell r="AH453" t="str">
            <v>NA</v>
          </cell>
          <cell r="AI453" t="str">
            <v>NA</v>
          </cell>
          <cell r="AJ453" t="str">
            <v>NA</v>
          </cell>
          <cell r="AK453">
            <v>18.933171398463799</v>
          </cell>
          <cell r="AL453">
            <v>24.160690875182929</v>
          </cell>
          <cell r="AM453">
            <v>24.801378091872788</v>
          </cell>
          <cell r="AN453">
            <v>-19.550976779420537</v>
          </cell>
          <cell r="AO453" t="str">
            <v>NA</v>
          </cell>
          <cell r="AP453" t="str">
            <v>NA</v>
          </cell>
          <cell r="AQ453" t="str">
            <v>NA</v>
          </cell>
          <cell r="AR453">
            <v>40.819726474688231</v>
          </cell>
          <cell r="AS453" t="str">
            <v>NA</v>
          </cell>
          <cell r="AT453" t="str">
            <v>NA</v>
          </cell>
          <cell r="AU453" t="str">
            <v>NA</v>
          </cell>
          <cell r="AV453">
            <v>22.897173451607394</v>
          </cell>
          <cell r="AW453" t="str">
            <v>NA</v>
          </cell>
          <cell r="AX453" t="str">
            <v>NA</v>
          </cell>
          <cell r="AY453" t="str">
            <v>NA</v>
          </cell>
          <cell r="AZ453" t="str">
            <v>NA</v>
          </cell>
          <cell r="BA453" t="str">
            <v>NA</v>
          </cell>
          <cell r="BB453" t="str">
            <v>NA</v>
          </cell>
          <cell r="BC453" t="str">
            <v>NA</v>
          </cell>
          <cell r="BD453" t="str">
            <v>NA</v>
          </cell>
          <cell r="BE453" t="str">
            <v>NA</v>
          </cell>
        </row>
        <row r="454">
          <cell r="H454" t="e">
            <v>#DIV/0!</v>
          </cell>
          <cell r="I454" t="e">
            <v>#DIV/0!</v>
          </cell>
          <cell r="J454" t="e">
            <v>#DIV/0!</v>
          </cell>
          <cell r="K454" t="e">
            <v>#DIV/0!</v>
          </cell>
          <cell r="L454" t="e">
            <v>#DIV/0!</v>
          </cell>
          <cell r="M454" t="e">
            <v>#DIV/0!</v>
          </cell>
          <cell r="N454" t="e">
            <v>#DIV/0!</v>
          </cell>
          <cell r="O454" t="e">
            <v>#DIV/0!</v>
          </cell>
          <cell r="P454" t="e">
            <v>#DIV/0!</v>
          </cell>
          <cell r="Q454" t="e">
            <v>#DIV/0!</v>
          </cell>
          <cell r="R454" t="e">
            <v>#DIV/0!</v>
          </cell>
          <cell r="S454" t="e">
            <v>#DIV/0!</v>
          </cell>
          <cell r="T454" t="e">
            <v>#VALUE!</v>
          </cell>
          <cell r="U454">
            <v>3.7327851911148002</v>
          </cell>
          <cell r="V454">
            <v>3.1160062101160375</v>
          </cell>
          <cell r="W454">
            <v>1.0730879483187019</v>
          </cell>
          <cell r="X454">
            <v>4.4056452492554561</v>
          </cell>
          <cell r="Y454">
            <v>4.0101020231331086</v>
          </cell>
          <cell r="Z454" t="e">
            <v>#N/A</v>
          </cell>
          <cell r="AA454">
            <v>9.5630134824098771</v>
          </cell>
          <cell r="AB454">
            <v>2.6911190382349108</v>
          </cell>
          <cell r="AC454">
            <v>2.4448376809124435</v>
          </cell>
          <cell r="AD454" t="e">
            <v>#N/A</v>
          </cell>
          <cell r="AE454">
            <v>1.7191521864165678</v>
          </cell>
          <cell r="AF454">
            <v>3.3682408029119699</v>
          </cell>
          <cell r="AG454">
            <v>3.3893341018851935</v>
          </cell>
          <cell r="AH454" t="e">
            <v>#DIV/0!</v>
          </cell>
          <cell r="AI454" t="e">
            <v>#DIV/0!</v>
          </cell>
          <cell r="AJ454" t="e">
            <v>#VALUE!</v>
          </cell>
          <cell r="AK454">
            <v>36.857048458149777</v>
          </cell>
          <cell r="AL454">
            <v>2.5309428775342973</v>
          </cell>
          <cell r="AM454">
            <v>4.6108029417767327</v>
          </cell>
          <cell r="AN454">
            <v>0.81389864061982664</v>
          </cell>
          <cell r="AO454" t="e">
            <v>#N/A</v>
          </cell>
          <cell r="AP454" t="e">
            <v>#DIV/0!</v>
          </cell>
          <cell r="AQ454" t="e">
            <v>#VALUE!</v>
          </cell>
          <cell r="AR454">
            <v>6.0173175306424085</v>
          </cell>
          <cell r="AS454">
            <v>1.7624537329803007</v>
          </cell>
          <cell r="AT454" t="e">
            <v>#N/A</v>
          </cell>
          <cell r="AU454">
            <v>0</v>
          </cell>
          <cell r="AV454">
            <v>4.7926236108874214</v>
          </cell>
          <cell r="AW454" t="e">
            <v>#VALUE!</v>
          </cell>
          <cell r="AX454" t="e">
            <v>#VALUE!</v>
          </cell>
          <cell r="AY454" t="e">
            <v>#VALUE!</v>
          </cell>
          <cell r="AZ454" t="e">
            <v>#VALUE!</v>
          </cell>
          <cell r="BA454" t="e">
            <v>#VALUE!</v>
          </cell>
          <cell r="BB454" t="e">
            <v>#VALUE!</v>
          </cell>
          <cell r="BC454" t="e">
            <v>#VALUE!</v>
          </cell>
          <cell r="BD454" t="e">
            <v>#VALUE!</v>
          </cell>
          <cell r="BE454" t="e">
            <v>#VALUE!</v>
          </cell>
        </row>
        <row r="455">
          <cell r="H455" t="e">
            <v>#DIV/0!</v>
          </cell>
          <cell r="I455" t="e">
            <v>#DIV/0!</v>
          </cell>
          <cell r="J455" t="e">
            <v>#DIV/0!</v>
          </cell>
          <cell r="K455" t="e">
            <v>#DIV/0!</v>
          </cell>
          <cell r="L455" t="e">
            <v>#DIV/0!</v>
          </cell>
          <cell r="M455" t="e">
            <v>#DIV/0!</v>
          </cell>
          <cell r="N455" t="e">
            <v>#DIV/0!</v>
          </cell>
          <cell r="O455" t="e">
            <v>#DIV/0!</v>
          </cell>
          <cell r="P455" t="e">
            <v>#DIV/0!</v>
          </cell>
          <cell r="Q455" t="e">
            <v>#DIV/0!</v>
          </cell>
          <cell r="R455" t="e">
            <v>#DIV/0!</v>
          </cell>
          <cell r="S455" t="e">
            <v>#DIV/0!</v>
          </cell>
          <cell r="T455" t="e">
            <v>#VALUE!</v>
          </cell>
          <cell r="U455">
            <v>4.2254845950723823</v>
          </cell>
          <cell r="V455">
            <v>3.1160062101160375</v>
          </cell>
          <cell r="W455">
            <v>2.880545911756593</v>
          </cell>
          <cell r="X455">
            <v>4.7641926315728824</v>
          </cell>
          <cell r="Y455">
            <v>5.795852917665866</v>
          </cell>
          <cell r="Z455" t="e">
            <v>#N/A</v>
          </cell>
          <cell r="AA455">
            <v>6.2438155483788389</v>
          </cell>
          <cell r="AB455">
            <v>6.7073734579378161</v>
          </cell>
          <cell r="AC455">
            <v>3.3450037471896077</v>
          </cell>
          <cell r="AD455" t="e">
            <v>#N/A</v>
          </cell>
          <cell r="AE455">
            <v>2.2545095164260105</v>
          </cell>
          <cell r="AF455">
            <v>5.7510704312377667</v>
          </cell>
          <cell r="AG455">
            <v>8.1309307678927407</v>
          </cell>
          <cell r="AH455" t="e">
            <v>#DIV/0!</v>
          </cell>
          <cell r="AI455" t="e">
            <v>#DIV/0!</v>
          </cell>
          <cell r="AJ455" t="e">
            <v>#VALUE!</v>
          </cell>
          <cell r="AK455">
            <v>36.857048458149777</v>
          </cell>
          <cell r="AL455">
            <v>3.1863988818263507</v>
          </cell>
          <cell r="AM455">
            <v>5.4786007530659226</v>
          </cell>
          <cell r="AN455">
            <v>1.3574265961300587</v>
          </cell>
          <cell r="AO455" t="e">
            <v>#N/A</v>
          </cell>
          <cell r="AP455" t="e">
            <v>#DIV/0!</v>
          </cell>
          <cell r="AQ455" t="e">
            <v>#VALUE!</v>
          </cell>
          <cell r="AR455">
            <v>7.9295083088550973</v>
          </cell>
          <cell r="AS455">
            <v>4.2280839993042258</v>
          </cell>
          <cell r="AT455" t="e">
            <v>#N/A</v>
          </cell>
          <cell r="AU455" t="e">
            <v>#DIV/0!</v>
          </cell>
          <cell r="AV455">
            <v>6.1540096896896221</v>
          </cell>
          <cell r="AW455" t="e">
            <v>#VALUE!</v>
          </cell>
          <cell r="AX455" t="e">
            <v>#VALUE!</v>
          </cell>
          <cell r="AY455" t="e">
            <v>#VALUE!</v>
          </cell>
          <cell r="AZ455" t="e">
            <v>#VALUE!</v>
          </cell>
          <cell r="BA455" t="e">
            <v>#VALUE!</v>
          </cell>
          <cell r="BB455" t="e">
            <v>#VALUE!</v>
          </cell>
          <cell r="BC455" t="e">
            <v>#VALUE!</v>
          </cell>
          <cell r="BD455" t="e">
            <v>#VALUE!</v>
          </cell>
          <cell r="BE455" t="e">
            <v>#VALUE!</v>
          </cell>
        </row>
        <row r="456">
          <cell r="H456">
            <v>18.163157894736841</v>
          </cell>
          <cell r="I456">
            <v>24.608695652173914</v>
          </cell>
          <cell r="J456">
            <v>27.704761904761902</v>
          </cell>
          <cell r="K456">
            <v>15.974729241877258</v>
          </cell>
          <cell r="L456">
            <v>180.49999999999997</v>
          </cell>
          <cell r="M456">
            <v>22.891566265060245</v>
          </cell>
          <cell r="N456">
            <v>13.893518518518517</v>
          </cell>
          <cell r="O456">
            <v>24.058823529411764</v>
          </cell>
          <cell r="P456">
            <v>16.727272727272723</v>
          </cell>
          <cell r="Q456">
            <v>18.242105263157892</v>
          </cell>
          <cell r="R456">
            <v>21.882352941176471</v>
          </cell>
          <cell r="S456">
            <v>17.925373134328357</v>
          </cell>
          <cell r="T456" t="e">
            <v>#VALUE!</v>
          </cell>
          <cell r="U456">
            <v>66.4375</v>
          </cell>
          <cell r="V456">
            <v>33.798701298701296</v>
          </cell>
          <cell r="W456">
            <v>18.356382978723406</v>
          </cell>
          <cell r="X456">
            <v>19.460674157303369</v>
          </cell>
          <cell r="Y456">
            <v>24.138613861386137</v>
          </cell>
          <cell r="Z456" t="str">
            <v>NA</v>
          </cell>
          <cell r="AA456">
            <v>21.319648093841643</v>
          </cell>
          <cell r="AB456">
            <v>21.319648093841643</v>
          </cell>
          <cell r="AC456">
            <v>11.5234375</v>
          </cell>
          <cell r="AD456" t="str">
            <v>NA</v>
          </cell>
          <cell r="AE456">
            <v>29.866666666666667</v>
          </cell>
          <cell r="AF456">
            <v>20.80078125</v>
          </cell>
          <cell r="AG456">
            <v>18.450549450549449</v>
          </cell>
          <cell r="AH456">
            <v>33.258785942492011</v>
          </cell>
          <cell r="AI456" t="e">
            <v>#DIV/0!</v>
          </cell>
          <cell r="AJ456" t="e">
            <v>#VALUE!</v>
          </cell>
          <cell r="AK456">
            <v>16.420454545454547</v>
          </cell>
          <cell r="AL456">
            <v>17.845722300140249</v>
          </cell>
          <cell r="AM456">
            <v>22.083333333333332</v>
          </cell>
          <cell r="AN456">
            <v>14.8955223880597</v>
          </cell>
          <cell r="AO456" t="str">
            <v>NA</v>
          </cell>
          <cell r="AP456" t="e">
            <v>#DIV/0!</v>
          </cell>
          <cell r="AQ456" t="e">
            <v>#VALUE!</v>
          </cell>
          <cell r="AR456">
            <v>29.94979079497908</v>
          </cell>
          <cell r="AS456">
            <v>18.450549450549453</v>
          </cell>
          <cell r="AT456" t="str">
            <v>NA</v>
          </cell>
          <cell r="AU456" t="e">
            <v>#DIV/0!</v>
          </cell>
          <cell r="AV456">
            <v>22.230240549828174</v>
          </cell>
          <cell r="AW456" t="e">
            <v>#VALUE!</v>
          </cell>
          <cell r="AX456" t="e">
            <v>#VALUE!</v>
          </cell>
          <cell r="AY456" t="e">
            <v>#VALUE!</v>
          </cell>
          <cell r="AZ456" t="e">
            <v>#VALUE!</v>
          </cell>
          <cell r="BA456" t="e">
            <v>#VALUE!</v>
          </cell>
          <cell r="BB456" t="e">
            <v>#VALUE!</v>
          </cell>
          <cell r="BC456" t="e">
            <v>#VALUE!</v>
          </cell>
          <cell r="BD456" t="e">
            <v>#VALUE!</v>
          </cell>
          <cell r="BE456" t="e">
            <v>#VALUE!</v>
          </cell>
        </row>
        <row r="457">
          <cell r="H457">
            <v>16.126168224299064</v>
          </cell>
          <cell r="I457">
            <v>16.647058823529409</v>
          </cell>
          <cell r="J457">
            <v>24.445378151260503</v>
          </cell>
          <cell r="K457">
            <v>14.182692307692307</v>
          </cell>
          <cell r="L457">
            <v>40.111111111111114</v>
          </cell>
          <cell r="M457">
            <v>18.627450980392158</v>
          </cell>
          <cell r="N457">
            <v>12.556485355648535</v>
          </cell>
          <cell r="O457">
            <v>16.80821917808219</v>
          </cell>
          <cell r="P457">
            <v>7.8857142857142852</v>
          </cell>
          <cell r="Q457">
            <v>15.61261261261261</v>
          </cell>
          <cell r="R457">
            <v>18.800151108741435</v>
          </cell>
          <cell r="S457">
            <v>15.496774193548386</v>
          </cell>
          <cell r="T457" t="e">
            <v>#VALUE!</v>
          </cell>
          <cell r="U457">
            <v>32.707692307692312</v>
          </cell>
          <cell r="V457">
            <v>22.828947368421051</v>
          </cell>
          <cell r="W457">
            <v>16.126168224299064</v>
          </cell>
          <cell r="X457">
            <v>16.815533980582526</v>
          </cell>
          <cell r="Y457">
            <v>19.196850393700785</v>
          </cell>
          <cell r="Z457" t="str">
            <v>NA</v>
          </cell>
          <cell r="AA457">
            <v>17.818627450980394</v>
          </cell>
          <cell r="AB457">
            <v>17.818627450980397</v>
          </cell>
          <cell r="AC457">
            <v>10.387323943661972</v>
          </cell>
          <cell r="AD457" t="str">
            <v>NA</v>
          </cell>
          <cell r="AE457">
            <v>21.189189189189189</v>
          </cell>
          <cell r="AF457">
            <v>17.989864864864867</v>
          </cell>
          <cell r="AG457">
            <v>15.403669724770641</v>
          </cell>
          <cell r="AH457">
            <v>23.498871331828447</v>
          </cell>
          <cell r="AI457" t="e">
            <v>#DIV/0!</v>
          </cell>
          <cell r="AJ457" t="e">
            <v>#VALUE!</v>
          </cell>
          <cell r="AK457">
            <v>14.236453201970443</v>
          </cell>
          <cell r="AL457">
            <v>14.642117376294591</v>
          </cell>
          <cell r="AM457">
            <v>19.822834645669289</v>
          </cell>
          <cell r="AN457">
            <v>9.9481658692184993</v>
          </cell>
          <cell r="AO457" t="str">
            <v>NA</v>
          </cell>
          <cell r="AP457" t="e">
            <v>#DIV/0!</v>
          </cell>
          <cell r="AQ457" t="e">
            <v>#VALUE!</v>
          </cell>
          <cell r="AR457">
            <v>24.984293193717274</v>
          </cell>
          <cell r="AS457">
            <v>15.403669724770642</v>
          </cell>
          <cell r="AT457" t="str">
            <v>NA</v>
          </cell>
          <cell r="AU457" t="e">
            <v>#DIV/0!</v>
          </cell>
          <cell r="AV457">
            <v>18.482857142857142</v>
          </cell>
          <cell r="AW457" t="e">
            <v>#VALUE!</v>
          </cell>
          <cell r="AX457" t="e">
            <v>#VALUE!</v>
          </cell>
          <cell r="AY457" t="e">
            <v>#VALUE!</v>
          </cell>
          <cell r="AZ457" t="e">
            <v>#VALUE!</v>
          </cell>
          <cell r="BA457" t="e">
            <v>#VALUE!</v>
          </cell>
          <cell r="BB457" t="e">
            <v>#VALUE!</v>
          </cell>
          <cell r="BC457" t="e">
            <v>#VALUE!</v>
          </cell>
          <cell r="BD457" t="e">
            <v>#VALUE!</v>
          </cell>
          <cell r="BE457" t="e">
            <v>#VALUE!</v>
          </cell>
        </row>
        <row r="458">
          <cell r="H458">
            <v>13.273076923076923</v>
          </cell>
          <cell r="I458">
            <v>12.304347826086957</v>
          </cell>
          <cell r="J458">
            <v>21.188145855146356</v>
          </cell>
          <cell r="K458">
            <v>12.019230769230768</v>
          </cell>
          <cell r="L458">
            <v>25.785714285714288</v>
          </cell>
          <cell r="M458">
            <v>15.200000000000001</v>
          </cell>
          <cell r="N458">
            <v>11.324528301886794</v>
          </cell>
          <cell r="O458">
            <v>14.11902789284728</v>
          </cell>
          <cell r="P458">
            <v>6.81271212588707</v>
          </cell>
          <cell r="Q458">
            <v>13.401384216834856</v>
          </cell>
          <cell r="R458">
            <v>18.800151108741435</v>
          </cell>
          <cell r="S458">
            <v>13.725714285714286</v>
          </cell>
          <cell r="T458" t="e">
            <v>#VALUE!</v>
          </cell>
          <cell r="U458">
            <v>26.430458430458433</v>
          </cell>
          <cell r="V458">
            <v>18.494803688585165</v>
          </cell>
          <cell r="W458">
            <v>13.273076923076923</v>
          </cell>
          <cell r="X458">
            <v>14.554621848739496</v>
          </cell>
          <cell r="Y458">
            <v>15.263457417270242</v>
          </cell>
          <cell r="Z458" t="str">
            <v>NA</v>
          </cell>
          <cell r="AA458" t="str">
            <v>NA</v>
          </cell>
          <cell r="AB458" t="str">
            <v>NA</v>
          </cell>
          <cell r="AC458">
            <v>9.1923220740371434</v>
          </cell>
          <cell r="AD458" t="str">
            <v>NA</v>
          </cell>
          <cell r="AE458">
            <v>17.5</v>
          </cell>
          <cell r="AF458">
            <v>15.643360752056408</v>
          </cell>
          <cell r="AG458">
            <v>12.664367117298891</v>
          </cell>
          <cell r="AH458">
            <v>18.494803688585169</v>
          </cell>
          <cell r="AI458" t="e">
            <v>#DIV/0!</v>
          </cell>
          <cell r="AJ458" t="e">
            <v>#VALUE!</v>
          </cell>
          <cell r="AK458">
            <v>12.844444444444443</v>
          </cell>
          <cell r="AL458">
            <v>12.523622047244094</v>
          </cell>
          <cell r="AM458">
            <v>17.787899000062176</v>
          </cell>
          <cell r="AN458">
            <v>9.9481658692184993</v>
          </cell>
          <cell r="AO458" t="str">
            <v>NA</v>
          </cell>
          <cell r="AP458" t="e">
            <v>#DIV/0!</v>
          </cell>
          <cell r="AQ458" t="e">
            <v>#VALUE!</v>
          </cell>
          <cell r="AR458">
            <v>21.008859645672867</v>
          </cell>
          <cell r="AS458">
            <v>12.664367117298893</v>
          </cell>
          <cell r="AT458" t="str">
            <v>NA</v>
          </cell>
          <cell r="AU458" t="e">
            <v>#DIV/0!</v>
          </cell>
          <cell r="AV458">
            <v>15.409058210939023</v>
          </cell>
          <cell r="AW458" t="e">
            <v>#VALUE!</v>
          </cell>
          <cell r="AX458" t="e">
            <v>#VALUE!</v>
          </cell>
          <cell r="AY458" t="e">
            <v>#VALUE!</v>
          </cell>
          <cell r="AZ458" t="e">
            <v>#VALUE!</v>
          </cell>
          <cell r="BA458" t="e">
            <v>#VALUE!</v>
          </cell>
          <cell r="BB458" t="e">
            <v>#VALUE!</v>
          </cell>
          <cell r="BC458" t="e">
            <v>#VALUE!</v>
          </cell>
          <cell r="BD458" t="e">
            <v>#VALUE!</v>
          </cell>
          <cell r="BE458" t="e">
            <v>#VALUE!</v>
          </cell>
        </row>
        <row r="460">
          <cell r="H460">
            <v>0.94859813084112132</v>
          </cell>
          <cell r="I460">
            <v>0.83235294117647041</v>
          </cell>
          <cell r="J460">
            <v>1.2865988500663426</v>
          </cell>
          <cell r="K460">
            <v>0.78792735042735051</v>
          </cell>
          <cell r="L460">
            <v>1.035125448028674</v>
          </cell>
          <cell r="M460">
            <v>1.0957324106113033</v>
          </cell>
          <cell r="N460">
            <v>0.96588348889604103</v>
          </cell>
          <cell r="O460">
            <v>0.84041095890410944</v>
          </cell>
          <cell r="P460">
            <v>0.50068027210884347</v>
          </cell>
          <cell r="Q460">
            <v>0.94621894621894598</v>
          </cell>
          <cell r="R460">
            <v>1.134589686707389</v>
          </cell>
          <cell r="S460">
            <v>0.91157495256166965</v>
          </cell>
          <cell r="T460" t="e">
            <v>#VALUE!</v>
          </cell>
          <cell r="U460">
            <v>1.3771659919028343</v>
          </cell>
          <cell r="V460">
            <v>0.76096491228070196</v>
          </cell>
          <cell r="W460">
            <v>0.85960384990933181</v>
          </cell>
          <cell r="X460">
            <v>1.0731036362847814</v>
          </cell>
          <cell r="Y460">
            <v>0.74493016661625089</v>
          </cell>
          <cell r="Z460" t="e">
            <v>#N/A</v>
          </cell>
          <cell r="AA460">
            <v>0.92228920553728744</v>
          </cell>
          <cell r="AB460">
            <v>0.92228920553728744</v>
          </cell>
          <cell r="AC460">
            <v>0.79902491874322867</v>
          </cell>
          <cell r="AD460" t="e">
            <v>#N/A</v>
          </cell>
          <cell r="AE460">
            <v>1.3243243243243241</v>
          </cell>
          <cell r="AF460">
            <v>1.1993243243243246</v>
          </cell>
          <cell r="AG460">
            <v>0.71214376906013133</v>
          </cell>
          <cell r="AH460">
            <v>0.8716198565218265</v>
          </cell>
          <cell r="AI460">
            <v>1.7208333333333332</v>
          </cell>
          <cell r="AJ460" t="e">
            <v>#VALUE!</v>
          </cell>
          <cell r="AK460">
            <v>0.88977832512315269</v>
          </cell>
          <cell r="AL460">
            <v>0.7804966618493917</v>
          </cell>
          <cell r="AM460">
            <v>1.7327652662298332</v>
          </cell>
          <cell r="AN460">
            <v>0.49740829346092502</v>
          </cell>
          <cell r="AO460" t="e">
            <v>#N/A</v>
          </cell>
          <cell r="AP460">
            <v>1.3382053130003897</v>
          </cell>
          <cell r="AQ460" t="e">
            <v>#VALUE!</v>
          </cell>
          <cell r="AR460">
            <v>1.3382053130003897</v>
          </cell>
          <cell r="AS460">
            <v>0.71214376906013133</v>
          </cell>
          <cell r="AT460" t="e">
            <v>#N/A</v>
          </cell>
          <cell r="AU460">
            <v>0.93347763347763335</v>
          </cell>
          <cell r="AV460">
            <v>0.93347763347763335</v>
          </cell>
          <cell r="AW460" t="e">
            <v>#VALUE!</v>
          </cell>
          <cell r="AX460" t="e">
            <v>#VALUE!</v>
          </cell>
          <cell r="AY460" t="e">
            <v>#VALUE!</v>
          </cell>
          <cell r="AZ460" t="e">
            <v>#VALUE!</v>
          </cell>
          <cell r="BA460" t="e">
            <v>#VALUE!</v>
          </cell>
          <cell r="BB460" t="e">
            <v>#VALUE!</v>
          </cell>
          <cell r="BC460" t="e">
            <v>#VALUE!</v>
          </cell>
          <cell r="BD460" t="e">
            <v>#VALUE!</v>
          </cell>
          <cell r="BE460" t="e">
            <v>#VALUE!</v>
          </cell>
        </row>
        <row r="461">
          <cell r="H461">
            <v>1.0684210526315787</v>
          </cell>
          <cell r="I461">
            <v>1.2304347826086957</v>
          </cell>
          <cell r="J461">
            <v>1.4581453634085213</v>
          </cell>
          <cell r="K461">
            <v>0.88748495788206982</v>
          </cell>
          <cell r="L461">
            <v>4.6580645161290324</v>
          </cell>
          <cell r="M461">
            <v>1.3465627214741318</v>
          </cell>
          <cell r="N461">
            <v>1.0687321937321936</v>
          </cell>
          <cell r="O461">
            <v>1.2029411764705882</v>
          </cell>
          <cell r="P461">
            <v>1.0620490620490619</v>
          </cell>
          <cell r="Q461">
            <v>1.1055821371610843</v>
          </cell>
          <cell r="R461">
            <v>1.32060066030033</v>
          </cell>
          <cell r="S461">
            <v>1.054433713784021</v>
          </cell>
          <cell r="T461" t="e">
            <v>#VALUE!</v>
          </cell>
          <cell r="U461">
            <v>2.7973684210526319</v>
          </cell>
          <cell r="V461">
            <v>1.1266233766233766</v>
          </cell>
          <cell r="W461">
            <v>0.97848523340743077</v>
          </cell>
          <cell r="X461">
            <v>1.2419064554756458</v>
          </cell>
          <cell r="Y461">
            <v>0.93669436792340466</v>
          </cell>
          <cell r="Z461" t="e">
            <v>#N/A</v>
          </cell>
          <cell r="AA461">
            <v>1.10350145413259</v>
          </cell>
          <cell r="AB461">
            <v>1.10350145413259</v>
          </cell>
          <cell r="AC461">
            <v>0.88641826923076916</v>
          </cell>
          <cell r="AD461" t="e">
            <v>#N/A</v>
          </cell>
          <cell r="AE461">
            <v>1.8666666666666665</v>
          </cell>
          <cell r="AF461">
            <v>1.38671875</v>
          </cell>
          <cell r="AG461">
            <v>0.85300737173136609</v>
          </cell>
          <cell r="AH461">
            <v>1.2336344934158758</v>
          </cell>
          <cell r="AI461">
            <v>3.4416666666666664</v>
          </cell>
          <cell r="AJ461" t="e">
            <v>#VALUE!</v>
          </cell>
          <cell r="AK461">
            <v>1.0262784090909089</v>
          </cell>
          <cell r="AL461">
            <v>0.95126451493284914</v>
          </cell>
          <cell r="AM461">
            <v>1.9303613053613053</v>
          </cell>
          <cell r="AN461">
            <v>0.74477611940298505</v>
          </cell>
          <cell r="AO461" t="e">
            <v>#N/A</v>
          </cell>
          <cell r="AP461">
            <v>1.6041666199774547</v>
          </cell>
          <cell r="AQ461" t="e">
            <v>#VALUE!</v>
          </cell>
          <cell r="AR461">
            <v>1.6041666199774547</v>
          </cell>
          <cell r="AS461">
            <v>0.85300737173136609</v>
          </cell>
          <cell r="AT461" t="e">
            <v>#N/A</v>
          </cell>
          <cell r="AU461">
            <v>1.1227394217084938</v>
          </cell>
          <cell r="AV461">
            <v>1.1227394217084938</v>
          </cell>
          <cell r="AW461" t="e">
            <v>#VALUE!</v>
          </cell>
          <cell r="AX461" t="e">
            <v>#VALUE!</v>
          </cell>
          <cell r="AY461" t="e">
            <v>#VALUE!</v>
          </cell>
          <cell r="AZ461" t="e">
            <v>#VALUE!</v>
          </cell>
          <cell r="BA461" t="e">
            <v>#VALUE!</v>
          </cell>
          <cell r="BB461" t="e">
            <v>#VALUE!</v>
          </cell>
          <cell r="BC461" t="e">
            <v>#VALUE!</v>
          </cell>
          <cell r="BD461" t="e">
            <v>#VALUE!</v>
          </cell>
          <cell r="BE461" t="e">
            <v>#VALUE!</v>
          </cell>
        </row>
        <row r="464">
          <cell r="H464" t="e">
            <v>#NAME?</v>
          </cell>
          <cell r="I464" t="e">
            <v>#NAME?</v>
          </cell>
          <cell r="J464" t="e">
            <v>#NAME?</v>
          </cell>
          <cell r="K464" t="e">
            <v>#NAME?</v>
          </cell>
          <cell r="L464" t="e">
            <v>#NAME?</v>
          </cell>
          <cell r="M464" t="e">
            <v>#NAME?</v>
          </cell>
          <cell r="N464" t="e">
            <v>#NAME?</v>
          </cell>
          <cell r="O464" t="e">
            <v>#NAME?</v>
          </cell>
          <cell r="P464" t="e">
            <v>#NAME?</v>
          </cell>
          <cell r="Q464" t="e">
            <v>#NAME?</v>
          </cell>
          <cell r="R464" t="e">
            <v>#NAME?</v>
          </cell>
          <cell r="S464" t="e">
            <v>#NAME?</v>
          </cell>
          <cell r="T464" t="e">
            <v>#NAME?</v>
          </cell>
          <cell r="U464" t="e">
            <v>#NAME?</v>
          </cell>
          <cell r="V464" t="e">
            <v>#NAME?</v>
          </cell>
          <cell r="W464" t="e">
            <v>#NAME?</v>
          </cell>
          <cell r="X464" t="e">
            <v>#NAME?</v>
          </cell>
          <cell r="Y464" t="e">
            <v>#NAME?</v>
          </cell>
          <cell r="Z464" t="e">
            <v>#NAME?</v>
          </cell>
          <cell r="AA464" t="e">
            <v>#NAME?</v>
          </cell>
          <cell r="AB464" t="e">
            <v>#NAME?</v>
          </cell>
          <cell r="AC464" t="e">
            <v>#NAME?</v>
          </cell>
          <cell r="AD464" t="e">
            <v>#NAME?</v>
          </cell>
          <cell r="AE464" t="e">
            <v>#NAME?</v>
          </cell>
          <cell r="AF464" t="e">
            <v>#NAME?</v>
          </cell>
          <cell r="AG464" t="e">
            <v>#NAME?</v>
          </cell>
          <cell r="AH464" t="e">
            <v>#NAME?</v>
          </cell>
          <cell r="AI464" t="e">
            <v>#NAME?</v>
          </cell>
          <cell r="AJ464" t="e">
            <v>#NAME?</v>
          </cell>
          <cell r="AK464" t="e">
            <v>#NAME?</v>
          </cell>
          <cell r="AL464" t="e">
            <v>#NAME?</v>
          </cell>
          <cell r="AM464" t="e">
            <v>#NAME?</v>
          </cell>
          <cell r="AN464" t="e">
            <v>#NAME?</v>
          </cell>
          <cell r="AO464" t="e">
            <v>#NAME?</v>
          </cell>
          <cell r="AP464" t="e">
            <v>#NAME?</v>
          </cell>
          <cell r="AQ464" t="e">
            <v>#NAME?</v>
          </cell>
          <cell r="AR464" t="e">
            <v>#NAME?</v>
          </cell>
          <cell r="AS464" t="e">
            <v>#NAME?</v>
          </cell>
          <cell r="AT464" t="e">
            <v>#NAME?</v>
          </cell>
          <cell r="AU464" t="e">
            <v>#NAME?</v>
          </cell>
          <cell r="AV464" t="e">
            <v>#NAME?</v>
          </cell>
          <cell r="AW464" t="e">
            <v>#NAME?</v>
          </cell>
          <cell r="AX464" t="e">
            <v>#NAME?</v>
          </cell>
          <cell r="AY464" t="e">
            <v>#NAME?</v>
          </cell>
          <cell r="AZ464" t="e">
            <v>#NAME?</v>
          </cell>
          <cell r="BA464" t="e">
            <v>#NAME?</v>
          </cell>
          <cell r="BB464" t="e">
            <v>#NAME?</v>
          </cell>
          <cell r="BC464" t="e">
            <v>#NAME?</v>
          </cell>
          <cell r="BD464" t="e">
            <v>#NAME?</v>
          </cell>
          <cell r="BE464" t="e">
            <v>#NAME?</v>
          </cell>
        </row>
        <row r="465">
          <cell r="H465" t="e">
            <v>#NAME?</v>
          </cell>
          <cell r="I465" t="e">
            <v>#NAME?</v>
          </cell>
          <cell r="J465" t="e">
            <v>#NAME?</v>
          </cell>
          <cell r="K465" t="e">
            <v>#NAME?</v>
          </cell>
          <cell r="L465" t="e">
            <v>#NAME?</v>
          </cell>
          <cell r="M465" t="e">
            <v>#NAME?</v>
          </cell>
          <cell r="N465" t="e">
            <v>#NAME?</v>
          </cell>
          <cell r="O465" t="e">
            <v>#NAME?</v>
          </cell>
          <cell r="P465" t="e">
            <v>#NAME?</v>
          </cell>
          <cell r="Q465" t="e">
            <v>#NAME?</v>
          </cell>
          <cell r="R465" t="e">
            <v>#NAME?</v>
          </cell>
          <cell r="S465" t="e">
            <v>#NAME?</v>
          </cell>
          <cell r="T465" t="e">
            <v>#NAME?</v>
          </cell>
          <cell r="U465" t="e">
            <v>#NAME?</v>
          </cell>
          <cell r="V465" t="e">
            <v>#NAME?</v>
          </cell>
          <cell r="W465" t="e">
            <v>#NAME?</v>
          </cell>
          <cell r="X465" t="e">
            <v>#NAME?</v>
          </cell>
          <cell r="Y465" t="e">
            <v>#NAME?</v>
          </cell>
          <cell r="Z465" t="e">
            <v>#NAME?</v>
          </cell>
          <cell r="AA465" t="e">
            <v>#NAME?</v>
          </cell>
          <cell r="AB465" t="e">
            <v>#NAME?</v>
          </cell>
          <cell r="AC465" t="e">
            <v>#NAME?</v>
          </cell>
          <cell r="AD465" t="e">
            <v>#NAME?</v>
          </cell>
          <cell r="AE465" t="e">
            <v>#NAME?</v>
          </cell>
          <cell r="AF465" t="e">
            <v>#NAME?</v>
          </cell>
          <cell r="AG465" t="e">
            <v>#NAME?</v>
          </cell>
          <cell r="AH465" t="e">
            <v>#NAME?</v>
          </cell>
          <cell r="AI465" t="e">
            <v>#NAME?</v>
          </cell>
          <cell r="AJ465" t="e">
            <v>#NAME?</v>
          </cell>
          <cell r="AK465" t="e">
            <v>#NAME?</v>
          </cell>
          <cell r="AL465" t="e">
            <v>#NAME?</v>
          </cell>
          <cell r="AM465" t="e">
            <v>#NAME?</v>
          </cell>
          <cell r="AN465" t="e">
            <v>#NAME?</v>
          </cell>
          <cell r="AO465" t="e">
            <v>#NAME?</v>
          </cell>
          <cell r="AP465" t="e">
            <v>#NAME?</v>
          </cell>
          <cell r="AQ465" t="e">
            <v>#NAME?</v>
          </cell>
          <cell r="AR465" t="e">
            <v>#NAME?</v>
          </cell>
          <cell r="AS465" t="e">
            <v>#NAME?</v>
          </cell>
          <cell r="AT465" t="e">
            <v>#NAME?</v>
          </cell>
          <cell r="AU465" t="e">
            <v>#NAME?</v>
          </cell>
          <cell r="AV465" t="e">
            <v>#NAME?</v>
          </cell>
          <cell r="AW465" t="e">
            <v>#NAME?</v>
          </cell>
          <cell r="AX465" t="e">
            <v>#NAME?</v>
          </cell>
          <cell r="AY465" t="e">
            <v>#NAME?</v>
          </cell>
          <cell r="AZ465" t="e">
            <v>#NAME?</v>
          </cell>
          <cell r="BA465" t="e">
            <v>#NAME?</v>
          </cell>
          <cell r="BB465" t="e">
            <v>#NAME?</v>
          </cell>
          <cell r="BC465" t="e">
            <v>#NAME?</v>
          </cell>
          <cell r="BD465" t="e">
            <v>#NAME?</v>
          </cell>
          <cell r="BE465" t="e">
            <v>#NAME?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Income Statement"/>
      <sheetName val="Margins"/>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SSB Nielsen Sales"/>
      <sheetName val="Comps"/>
      <sheetName val="Switches"/>
      <sheetName val="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2003"/>
      <sheetName val="2004"/>
      <sheetName val="Annual"/>
      <sheetName val="IL-1 Trap Revenue"/>
      <sheetName val="VEGF Trap Revenue"/>
      <sheetName val="Balance Sheet "/>
      <sheetName val="Cashflow"/>
      <sheetName val="MS Est vs Rpt"/>
      <sheetName val="Changes to Model"/>
      <sheetName val="Milestones "/>
      <sheetName val="Snapshot"/>
      <sheetName val="NY UPLOAD shadow"/>
      <sheetName val="mStartup"/>
      <sheetName val="MainCode"/>
    </sheetNames>
    <sheetDataSet>
      <sheetData sheetId="0" refreshError="1"/>
      <sheetData sheetId="1" refreshError="1"/>
      <sheetData sheetId="2"/>
      <sheetData sheetId="3" refreshError="1"/>
      <sheetData sheetId="4" refreshError="1">
        <row r="31">
          <cell r="I31">
            <v>-1.8455476641358866</v>
          </cell>
        </row>
      </sheetData>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S Est vs Rpt"/>
      <sheetName val="mwareTaxoPres"/>
      <sheetName val="__FDSCACHE__"/>
      <sheetName val="Changes to Model "/>
      <sheetName val="Quarterly"/>
      <sheetName val="Annual"/>
      <sheetName val="mwareValPrintout"/>
      <sheetName val="Balance Sheet"/>
      <sheetName val="Cash Flow"/>
      <sheetName val="Collaborative Rev"/>
      <sheetName val="MW-Cache"/>
      <sheetName val="DCF"/>
      <sheetName val="scenarios "/>
      <sheetName val="HCV market"/>
      <sheetName val="MWA RR"/>
      <sheetName val="Lexiva"/>
      <sheetName val="Charts"/>
      <sheetName val="Marketing"/>
      <sheetName val="mwareDates"/>
      <sheetName val="mwareSettings"/>
      <sheetName val="mStartup"/>
      <sheetName val="NY UPLOAD shadow"/>
      <sheetName val="MultipleSecurities"/>
    </sheetNames>
    <sheetDataSet>
      <sheetData sheetId="0"/>
      <sheetData sheetId="1"/>
      <sheetData sheetId="2"/>
      <sheetData sheetId="3"/>
      <sheetData sheetId="4"/>
      <sheetData sheetId="5" refreshError="1">
        <row r="40">
          <cell r="I40">
            <v>-2.2794119294942909</v>
          </cell>
          <cell r="K40">
            <v>-1.827320020137607</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sheetData sheetId="2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Quarterly"/>
      <sheetName val="MS Est vs. Rpt"/>
      <sheetName val="mwareTaxoPres"/>
      <sheetName val="Changes to the Model"/>
      <sheetName val="mwareValPrintout"/>
      <sheetName val="mwarePreview"/>
      <sheetName val="Annual"/>
      <sheetName val="Balance Sheet "/>
      <sheetName val="Cashflow"/>
      <sheetName val="Avastin- 2004 Patient Ramp"/>
      <sheetName val="Consensus&amp;Figures"/>
      <sheetName val="Avastin"/>
      <sheetName val="Rituxan"/>
      <sheetName val="Xolair"/>
      <sheetName val="Raptiva"/>
      <sheetName val="Tarceva"/>
      <sheetName val="DCF Valuation"/>
      <sheetName val="Questions"/>
      <sheetName val="mwareDates"/>
      <sheetName val="Marketing"/>
      <sheetName val="DNA Milestones"/>
      <sheetName val="NY UPLOAD shadow"/>
      <sheetName val="mwareSettings"/>
      <sheetName val="mStartup"/>
      <sheetName val="MainCode"/>
    </sheetNames>
    <sheetDataSet>
      <sheetData sheetId="0"/>
      <sheetData sheetId="1"/>
      <sheetData sheetId="2"/>
      <sheetData sheetId="3"/>
      <sheetData sheetId="4"/>
      <sheetData sheetId="5"/>
      <sheetData sheetId="6"/>
      <sheetData sheetId="7"/>
      <sheetData sheetId="8" refreshError="1">
        <row r="49">
          <cell r="N49">
            <v>0.2520280545224951</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 sheetId="2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rint Menu"/>
      <sheetName val="Input"/>
      <sheetName val="Coverage Univers (NEW RATINGS)"/>
      <sheetName val="Life Science Tools Valuation"/>
      <sheetName val="Spec. Distr Valuation"/>
      <sheetName val="Disclosure (w. ACDO)"/>
      <sheetName val="ROC"/>
      <sheetName val="Coverage Univers (w acdo)"/>
      <sheetName val="Reagents &amp; Tools"/>
      <sheetName val="Reagents"/>
      <sheetName val="Reagents (2)"/>
      <sheetName val="Tools"/>
      <sheetName val="STREET vs. Our estimates"/>
      <sheetName val="Distr "/>
      <sheetName val="Summary (3)"/>
      <sheetName val="Showcase"/>
      <sheetName val="Summary"/>
      <sheetName val="Summary2"/>
      <sheetName val="Summary (2)"/>
      <sheetName val="Coverage Univers"/>
      <sheetName val="Summary2 (2)"/>
      <sheetName val="NonProfitable_Sum"/>
      <sheetName val="NonProfitable_Sum2"/>
      <sheetName val="Profile - Profitable"/>
      <sheetName val="Profile - Profitable 2"/>
      <sheetName val="Profile - NonProfitable"/>
      <sheetName val="Profile - NonProfitable 2"/>
      <sheetName val="Val Input"/>
      <sheetName val="Price Matx"/>
      <sheetName val="Public Val1"/>
      <sheetName val="Public Val Calc"/>
      <sheetName val="Public Val2"/>
      <sheetName val="Public Grph1"/>
      <sheetName val="Public Grph2"/>
      <sheetName val="MA Val1"/>
      <sheetName val="MA Val Calc"/>
      <sheetName val="MA Val2"/>
      <sheetName val="MA Grph1"/>
      <sheetName val="MA Grph2"/>
      <sheetName val="Estm"/>
      <sheetName val="__FDSCACHE__"/>
      <sheetName val="Rev_Estm"/>
      <sheetName val="Rank Menu"/>
      <sheetName val="Macros"/>
      <sheetName val="Macro-Print"/>
      <sheetName val="Macro-Rank"/>
      <sheetName val="Rank1"/>
      <sheetName val="Rank2"/>
      <sheetName val="Rank3"/>
      <sheetName val="Rank4"/>
      <sheetName val="Rank Work"/>
      <sheetName val="Graph_Ranker_Main"/>
      <sheetName val="Graphs_1,2"/>
      <sheetName val="CheckWork"/>
    </sheetNames>
    <sheetDataSet>
      <sheetData sheetId="0" refreshError="1"/>
      <sheetData sheetId="1" refreshError="1"/>
      <sheetData sheetId="2" refreshError="1">
        <row r="6">
          <cell r="H6" t="str">
            <v>IVGN</v>
          </cell>
          <cell r="I6" t="str">
            <v>QGENF</v>
          </cell>
          <cell r="J6" t="str">
            <v>TECH</v>
          </cell>
          <cell r="K6" t="str">
            <v>BIO</v>
          </cell>
          <cell r="L6" t="str">
            <v>AFFX</v>
          </cell>
          <cell r="M6" t="str">
            <v>ABI</v>
          </cell>
          <cell r="N6" t="str">
            <v>MTD</v>
          </cell>
          <cell r="O6" t="str">
            <v>MDCC</v>
          </cell>
          <cell r="P6" t="str">
            <v>PKI</v>
          </cell>
          <cell r="Q6" t="str">
            <v>TMO</v>
          </cell>
          <cell r="R6" t="str">
            <v>VARI</v>
          </cell>
          <cell r="S6" t="str">
            <v>WAT</v>
          </cell>
          <cell r="U6" t="str">
            <v>VMSI</v>
          </cell>
          <cell r="V6" t="str">
            <v>ACDO</v>
          </cell>
          <cell r="W6" t="str">
            <v>IVGN</v>
          </cell>
          <cell r="X6" t="str">
            <v>MIL</v>
          </cell>
          <cell r="Y6" t="str">
            <v>PHCC</v>
          </cell>
          <cell r="AB6" t="str">
            <v>ABC</v>
          </cell>
          <cell r="AC6" t="str">
            <v>OMI</v>
          </cell>
          <cell r="AD6" t="str">
            <v>LOOKUP</v>
          </cell>
          <cell r="AE6" t="str">
            <v>PSSI</v>
          </cell>
          <cell r="AF6" t="str">
            <v>HSIC</v>
          </cell>
          <cell r="AG6" t="str">
            <v>SCOR</v>
          </cell>
          <cell r="AK6" t="str">
            <v>FSH</v>
          </cell>
          <cell r="AL6" t="str">
            <v>MCK</v>
          </cell>
          <cell r="AM6" t="str">
            <v>SIAL</v>
          </cell>
          <cell r="AN6" t="str">
            <v>CHMD</v>
          </cell>
          <cell r="AO6" t="str">
            <v>LOOKUP</v>
          </cell>
          <cell r="AR6" t="str">
            <v>PDCO</v>
          </cell>
          <cell r="AV6" t="str">
            <v>CAH</v>
          </cell>
        </row>
        <row r="7">
          <cell r="H7" t="str">
            <v>IVGN</v>
          </cell>
          <cell r="I7" t="str">
            <v>QGENF</v>
          </cell>
          <cell r="J7" t="str">
            <v>TECH</v>
          </cell>
          <cell r="K7" t="str">
            <v>BIO</v>
          </cell>
          <cell r="L7" t="str">
            <v>AFFX</v>
          </cell>
          <cell r="M7" t="str">
            <v>ABI</v>
          </cell>
          <cell r="N7" t="str">
            <v>MTD</v>
          </cell>
          <cell r="O7" t="str">
            <v>MDCC</v>
          </cell>
          <cell r="P7" t="str">
            <v>PKI</v>
          </cell>
          <cell r="Q7" t="str">
            <v>TMO</v>
          </cell>
          <cell r="R7" t="str">
            <v>VARI</v>
          </cell>
          <cell r="S7" t="str">
            <v>WAT</v>
          </cell>
          <cell r="U7" t="str">
            <v>VMSI</v>
          </cell>
          <cell r="V7" t="str">
            <v>ACDO</v>
          </cell>
          <cell r="W7" t="str">
            <v>IVGN</v>
          </cell>
          <cell r="X7" t="str">
            <v>MIL</v>
          </cell>
          <cell r="Y7" t="str">
            <v>PHCC</v>
          </cell>
          <cell r="Z7" t="str">
            <v>BBC</v>
          </cell>
          <cell r="AA7" t="str">
            <v>AAS</v>
          </cell>
          <cell r="AB7" t="str">
            <v>ABC</v>
          </cell>
          <cell r="AC7" t="str">
            <v>OMI</v>
          </cell>
          <cell r="AD7" t="str">
            <v>TICKER</v>
          </cell>
          <cell r="AE7" t="str">
            <v>PSSI</v>
          </cell>
          <cell r="AF7" t="str">
            <v>HSIC</v>
          </cell>
          <cell r="AG7" t="str">
            <v>SCOR</v>
          </cell>
          <cell r="AH7" t="str">
            <v>ACDO</v>
          </cell>
          <cell r="AI7" t="str">
            <v>GTIV</v>
          </cell>
          <cell r="AK7" t="str">
            <v>FSH</v>
          </cell>
          <cell r="AL7" t="str">
            <v>MCK</v>
          </cell>
          <cell r="AM7" t="str">
            <v>SIAL</v>
          </cell>
          <cell r="AN7" t="str">
            <v>CHMD</v>
          </cell>
          <cell r="AO7" t="str">
            <v>TICKER</v>
          </cell>
          <cell r="AP7" t="str">
            <v>PDCO</v>
          </cell>
          <cell r="AR7" t="str">
            <v>PDCO</v>
          </cell>
          <cell r="AS7" t="str">
            <v>SCOR</v>
          </cell>
          <cell r="AT7" t="str">
            <v>BLPG</v>
          </cell>
          <cell r="AU7" t="str">
            <v>CAH</v>
          </cell>
          <cell r="AV7" t="str">
            <v>CAH</v>
          </cell>
        </row>
        <row r="8">
          <cell r="H8" t="str">
            <v>Invitrogen</v>
          </cell>
          <cell r="I8" t="str">
            <v>QIAGEN NV</v>
          </cell>
          <cell r="J8" t="str">
            <v>TECHNE</v>
          </cell>
          <cell r="K8" t="str">
            <v>Bio-Rad Laboratories</v>
          </cell>
          <cell r="L8" t="str">
            <v>Affymetrix</v>
          </cell>
          <cell r="M8" t="str">
            <v>Applied Biosystems*</v>
          </cell>
          <cell r="N8" t="str">
            <v>Mettler Toledo*</v>
          </cell>
          <cell r="O8" t="str">
            <v>Molecular Devices*</v>
          </cell>
          <cell r="P8" t="str">
            <v>PerkinElmer</v>
          </cell>
          <cell r="Q8" t="str">
            <v>Thermo Electron</v>
          </cell>
          <cell r="R8" t="str">
            <v>Varian</v>
          </cell>
          <cell r="S8" t="str">
            <v>Waters*</v>
          </cell>
          <cell r="U8" t="str">
            <v>Ventana Medical Systems, Inc.</v>
          </cell>
          <cell r="V8" t="str">
            <v>Accredo Health, Inc.*</v>
          </cell>
          <cell r="W8" t="str">
            <v>Invitrogen Corporation</v>
          </cell>
          <cell r="X8" t="str">
            <v>Millipore Corporation</v>
          </cell>
          <cell r="Y8" t="str">
            <v>Priority Healthcare Corporation</v>
          </cell>
          <cell r="Z8" t="str">
            <v>Bergen Brunswig Corporation</v>
          </cell>
          <cell r="AA8" t="str">
            <v>AmeriSource Health Corporation</v>
          </cell>
          <cell r="AB8" t="str">
            <v>AmerisourceBergen Corporation</v>
          </cell>
          <cell r="AC8" t="str">
            <v>Owens &amp; Minor, Inc.</v>
          </cell>
          <cell r="AD8" t="str">
            <v>Full Name, Inc.</v>
          </cell>
          <cell r="AE8" t="str">
            <v>PSS World Medical, Inc.</v>
          </cell>
          <cell r="AF8" t="str">
            <v>Henry Schein, Inc.</v>
          </cell>
          <cell r="AG8" t="str">
            <v>Syncor International Corporation</v>
          </cell>
          <cell r="AH8" t="str">
            <v>Accredo Health, Incorporated</v>
          </cell>
          <cell r="AI8" t="str">
            <v>Gentiva Health Services, Inc.</v>
          </cell>
          <cell r="AK8" t="str">
            <v>Fisher Scientific International Inc.*</v>
          </cell>
          <cell r="AL8" t="str">
            <v>McKesson Corporation</v>
          </cell>
          <cell r="AM8" t="str">
            <v>Sigma-Aldrich Corp.</v>
          </cell>
          <cell r="AN8" t="str">
            <v>Chronimed Inc.</v>
          </cell>
          <cell r="AO8" t="str">
            <v>Full Name, Inc.</v>
          </cell>
          <cell r="AP8" t="str">
            <v>Patterson Dental Company</v>
          </cell>
          <cell r="AQ8" t="str">
            <v>Webster</v>
          </cell>
          <cell r="AR8" t="str">
            <v>Patterson Dental Company</v>
          </cell>
          <cell r="AS8" t="str">
            <v>Syncor International Corporation</v>
          </cell>
          <cell r="AT8" t="str">
            <v>Boron, LePore &amp; Associates, Inc.</v>
          </cell>
          <cell r="AU8" t="str">
            <v>Cardinal Health, Inc.</v>
          </cell>
          <cell r="AV8" t="str">
            <v>Cardinal Health, Inc.</v>
          </cell>
        </row>
        <row r="9">
          <cell r="H9" t="str">
            <v>Invitrogen</v>
          </cell>
          <cell r="I9" t="str">
            <v>QIAGEN NV</v>
          </cell>
          <cell r="J9" t="str">
            <v>TECHNE</v>
          </cell>
          <cell r="K9" t="str">
            <v>Bio-Rad Laboratories</v>
          </cell>
          <cell r="L9" t="str">
            <v>Affymetrix</v>
          </cell>
          <cell r="M9" t="str">
            <v>Applied Biosystems*</v>
          </cell>
          <cell r="N9" t="str">
            <v>Mettler Toledo*</v>
          </cell>
          <cell r="O9" t="str">
            <v>Molecular Devices*</v>
          </cell>
          <cell r="P9" t="str">
            <v>PerkinElmer</v>
          </cell>
          <cell r="Q9" t="str">
            <v>Thermo Electron</v>
          </cell>
          <cell r="R9" t="str">
            <v>Varian</v>
          </cell>
          <cell r="S9" t="str">
            <v>Waters*</v>
          </cell>
          <cell r="T9" t="str">
            <v>Fisher Scientific*</v>
          </cell>
          <cell r="U9" t="str">
            <v>Ventana Medical Systems, Inc.</v>
          </cell>
          <cell r="V9" t="str">
            <v>Accredo Health*</v>
          </cell>
          <cell r="W9" t="str">
            <v>Invitrogen</v>
          </cell>
          <cell r="X9" t="str">
            <v>Millipore</v>
          </cell>
          <cell r="Y9" t="str">
            <v>Priority Healthcare</v>
          </cell>
          <cell r="Z9" t="str">
            <v>Bergen Brunswig</v>
          </cell>
          <cell r="AA9" t="str">
            <v>AmeriSource</v>
          </cell>
          <cell r="AB9" t="str">
            <v>AmerisourceBergen</v>
          </cell>
          <cell r="AC9" t="str">
            <v>Owens &amp; Minor</v>
          </cell>
          <cell r="AD9" t="str">
            <v>Short Name</v>
          </cell>
          <cell r="AE9" t="str">
            <v>PSS World Medical, Inc.</v>
          </cell>
          <cell r="AF9" t="str">
            <v>Henry Schein</v>
          </cell>
          <cell r="AG9" t="str">
            <v>Syncor</v>
          </cell>
          <cell r="AH9" t="str">
            <v>Accredo</v>
          </cell>
          <cell r="AI9" t="str">
            <v>Gentiva</v>
          </cell>
          <cell r="AJ9" t="str">
            <v>Accredo*</v>
          </cell>
          <cell r="AK9" t="str">
            <v>Fisher Scientific*</v>
          </cell>
          <cell r="AL9" t="str">
            <v>McKesson Corporation</v>
          </cell>
          <cell r="AM9" t="str">
            <v>Sigma-Aldrich</v>
          </cell>
          <cell r="AN9" t="str">
            <v>Chronimed</v>
          </cell>
          <cell r="AO9" t="str">
            <v>Short Name</v>
          </cell>
          <cell r="AP9" t="str">
            <v>Patterson Dental</v>
          </cell>
          <cell r="AQ9" t="str">
            <v>Short Name</v>
          </cell>
          <cell r="AR9" t="str">
            <v>Patterson Dental</v>
          </cell>
          <cell r="AS9" t="str">
            <v>Syncor</v>
          </cell>
          <cell r="AT9" t="str">
            <v>Boron, LePore</v>
          </cell>
          <cell r="AU9" t="str">
            <v>Cardinal Health</v>
          </cell>
          <cell r="AV9" t="str">
            <v>Cardinal Health</v>
          </cell>
          <cell r="AW9" t="str">
            <v>Short Name</v>
          </cell>
          <cell r="AX9" t="str">
            <v>Short Name</v>
          </cell>
          <cell r="AY9" t="str">
            <v>Short Name</v>
          </cell>
          <cell r="AZ9" t="str">
            <v>Short Name</v>
          </cell>
          <cell r="BA9" t="str">
            <v>Short Name</v>
          </cell>
          <cell r="BB9" t="str">
            <v>Short Name</v>
          </cell>
          <cell r="BC9" t="str">
            <v>Short Name</v>
          </cell>
          <cell r="BD9" t="str">
            <v>Short Name</v>
          </cell>
          <cell r="BE9" t="str">
            <v>Short Name</v>
          </cell>
        </row>
        <row r="10">
          <cell r="H10">
            <v>37256</v>
          </cell>
          <cell r="I10">
            <v>37256</v>
          </cell>
          <cell r="J10">
            <v>37072</v>
          </cell>
          <cell r="K10">
            <v>37256</v>
          </cell>
          <cell r="L10">
            <v>37256</v>
          </cell>
          <cell r="M10">
            <v>37256</v>
          </cell>
          <cell r="N10">
            <v>37256</v>
          </cell>
          <cell r="O10">
            <v>37256</v>
          </cell>
          <cell r="P10">
            <v>37256</v>
          </cell>
          <cell r="Q10">
            <v>37256</v>
          </cell>
          <cell r="R10">
            <v>37256</v>
          </cell>
          <cell r="S10">
            <v>37256</v>
          </cell>
          <cell r="T10">
            <v>37256</v>
          </cell>
          <cell r="U10">
            <v>37256</v>
          </cell>
          <cell r="V10" t="str">
            <v>6/31/01</v>
          </cell>
          <cell r="W10">
            <v>37256</v>
          </cell>
          <cell r="X10">
            <v>36891</v>
          </cell>
          <cell r="Y10">
            <v>37254</v>
          </cell>
          <cell r="Z10">
            <v>36799</v>
          </cell>
          <cell r="AA10">
            <v>36799</v>
          </cell>
          <cell r="AB10">
            <v>37164</v>
          </cell>
          <cell r="AC10">
            <v>37256</v>
          </cell>
          <cell r="AD10">
            <v>36891</v>
          </cell>
          <cell r="AE10">
            <v>36980</v>
          </cell>
          <cell r="AF10">
            <v>37254</v>
          </cell>
          <cell r="AG10">
            <v>37256</v>
          </cell>
          <cell r="AH10">
            <v>36678</v>
          </cell>
          <cell r="AI10">
            <v>37256</v>
          </cell>
          <cell r="AJ10">
            <v>37072</v>
          </cell>
          <cell r="AK10">
            <v>37256</v>
          </cell>
          <cell r="AL10">
            <v>36981</v>
          </cell>
          <cell r="AM10">
            <v>37256</v>
          </cell>
          <cell r="AN10">
            <v>37071</v>
          </cell>
          <cell r="AO10">
            <v>36891</v>
          </cell>
          <cell r="AP10">
            <v>37009</v>
          </cell>
          <cell r="AQ10">
            <v>37009</v>
          </cell>
          <cell r="AR10">
            <v>37009</v>
          </cell>
          <cell r="AS10">
            <v>37256</v>
          </cell>
          <cell r="AT10">
            <v>37256</v>
          </cell>
          <cell r="AU10">
            <v>37072</v>
          </cell>
          <cell r="AV10">
            <v>37072</v>
          </cell>
          <cell r="AW10">
            <v>36891</v>
          </cell>
          <cell r="AX10">
            <v>36891</v>
          </cell>
          <cell r="AY10">
            <v>36891</v>
          </cell>
          <cell r="AZ10">
            <v>36891</v>
          </cell>
          <cell r="BA10">
            <v>36891</v>
          </cell>
          <cell r="BB10">
            <v>36891</v>
          </cell>
          <cell r="BC10">
            <v>36891</v>
          </cell>
          <cell r="BD10">
            <v>36891</v>
          </cell>
          <cell r="BE10">
            <v>36891</v>
          </cell>
        </row>
        <row r="11">
          <cell r="H11" t="str">
            <v>PAYTON</v>
          </cell>
          <cell r="I11" t="str">
            <v>PAYTON</v>
          </cell>
          <cell r="J11" t="str">
            <v>PAYTON</v>
          </cell>
          <cell r="K11" t="str">
            <v>PAYTON</v>
          </cell>
          <cell r="L11" t="str">
            <v>PAYTON</v>
          </cell>
          <cell r="M11" t="str">
            <v>PAYTON</v>
          </cell>
          <cell r="N11" t="str">
            <v>PAYTON</v>
          </cell>
          <cell r="O11" t="str">
            <v>PAYTON</v>
          </cell>
          <cell r="P11" t="str">
            <v>PAYTON</v>
          </cell>
          <cell r="Q11" t="str">
            <v>PAYTON</v>
          </cell>
          <cell r="R11" t="str">
            <v>PAYTON</v>
          </cell>
          <cell r="S11" t="str">
            <v>PAYTON</v>
          </cell>
          <cell r="T11" t="str">
            <v>PAYTON</v>
          </cell>
          <cell r="U11" t="str">
            <v>Trap</v>
          </cell>
          <cell r="V11" t="str">
            <v>PAYTON</v>
          </cell>
          <cell r="W11" t="str">
            <v>Kaitlin</v>
          </cell>
          <cell r="X11" t="str">
            <v>Stanwick</v>
          </cell>
          <cell r="Y11" t="str">
            <v>Michael Min</v>
          </cell>
          <cell r="AB11" t="str">
            <v>Francesca</v>
          </cell>
          <cell r="AC11" t="str">
            <v>Francesca</v>
          </cell>
          <cell r="AD11" t="str">
            <v>Name</v>
          </cell>
          <cell r="AE11" t="str">
            <v>Michael Min</v>
          </cell>
          <cell r="AF11" t="str">
            <v>Dun</v>
          </cell>
          <cell r="AG11" t="str">
            <v>Michael Min</v>
          </cell>
          <cell r="AH11" t="str">
            <v>Francesca</v>
          </cell>
          <cell r="AJ11" t="str">
            <v>Francesca</v>
          </cell>
          <cell r="AK11" t="str">
            <v>Payton</v>
          </cell>
          <cell r="AL11" t="str">
            <v>Dun</v>
          </cell>
          <cell r="AM11" t="str">
            <v>Wilson</v>
          </cell>
          <cell r="AN11" t="str">
            <v>Payton</v>
          </cell>
          <cell r="AO11" t="str">
            <v>Name</v>
          </cell>
          <cell r="AP11" t="str">
            <v>PAYTON</v>
          </cell>
          <cell r="AQ11" t="str">
            <v>PAYTON</v>
          </cell>
          <cell r="AR11" t="str">
            <v>Michael Min</v>
          </cell>
          <cell r="AS11" t="str">
            <v>Francesca</v>
          </cell>
          <cell r="AT11" t="str">
            <v>Francesca</v>
          </cell>
          <cell r="AU11" t="str">
            <v>Francesca</v>
          </cell>
          <cell r="AV11" t="str">
            <v>Francesca</v>
          </cell>
          <cell r="AW11" t="str">
            <v>Name</v>
          </cell>
          <cell r="AX11" t="str">
            <v>Name</v>
          </cell>
          <cell r="AY11" t="str">
            <v>Name</v>
          </cell>
          <cell r="AZ11" t="str">
            <v>Name</v>
          </cell>
          <cell r="BA11" t="str">
            <v>Name</v>
          </cell>
          <cell r="BB11" t="str">
            <v>Name</v>
          </cell>
          <cell r="BC11" t="str">
            <v>Name</v>
          </cell>
          <cell r="BD11" t="str">
            <v>Name</v>
          </cell>
          <cell r="BE11" t="str">
            <v>Name</v>
          </cell>
        </row>
        <row r="12">
          <cell r="H12" t="str">
            <v>Y</v>
          </cell>
          <cell r="I12" t="str">
            <v>Y</v>
          </cell>
          <cell r="J12" t="str">
            <v>Y</v>
          </cell>
          <cell r="K12" t="str">
            <v>Y</v>
          </cell>
          <cell r="L12" t="str">
            <v>Y</v>
          </cell>
          <cell r="M12" t="str">
            <v>Y</v>
          </cell>
          <cell r="N12" t="str">
            <v>Y</v>
          </cell>
          <cell r="O12" t="str">
            <v>Y</v>
          </cell>
          <cell r="P12" t="str">
            <v>Y</v>
          </cell>
          <cell r="Q12" t="str">
            <v>Y</v>
          </cell>
          <cell r="R12" t="str">
            <v>Y</v>
          </cell>
          <cell r="S12" t="str">
            <v>Y</v>
          </cell>
          <cell r="T12" t="str">
            <v>Y</v>
          </cell>
          <cell r="U12" t="str">
            <v>Y</v>
          </cell>
          <cell r="V12" t="str">
            <v>Y</v>
          </cell>
          <cell r="W12" t="str">
            <v>Y</v>
          </cell>
          <cell r="X12" t="str">
            <v>Y</v>
          </cell>
          <cell r="Y12" t="str">
            <v>Y</v>
          </cell>
          <cell r="Z12" t="str">
            <v>Y</v>
          </cell>
          <cell r="AA12" t="str">
            <v>Y</v>
          </cell>
          <cell r="AB12" t="str">
            <v>Y</v>
          </cell>
          <cell r="AC12" t="str">
            <v>Y</v>
          </cell>
          <cell r="AD12" t="str">
            <v>Y</v>
          </cell>
          <cell r="AE12" t="str">
            <v>Y</v>
          </cell>
          <cell r="AF12" t="str">
            <v>Y</v>
          </cell>
          <cell r="AG12" t="str">
            <v>Y</v>
          </cell>
          <cell r="AH12" t="str">
            <v>Y</v>
          </cell>
          <cell r="AI12" t="str">
            <v>Y</v>
          </cell>
          <cell r="AJ12" t="str">
            <v>Y</v>
          </cell>
          <cell r="AK12" t="str">
            <v>Y</v>
          </cell>
          <cell r="AL12" t="str">
            <v>Y</v>
          </cell>
          <cell r="AM12" t="str">
            <v>Y</v>
          </cell>
          <cell r="AN12" t="str">
            <v>Y</v>
          </cell>
          <cell r="AO12" t="str">
            <v>Y</v>
          </cell>
          <cell r="AP12" t="str">
            <v>Y</v>
          </cell>
          <cell r="AQ12" t="str">
            <v>Y</v>
          </cell>
          <cell r="AR12" t="str">
            <v>Y</v>
          </cell>
          <cell r="AS12" t="str">
            <v>Y</v>
          </cell>
          <cell r="AT12" t="str">
            <v>Y</v>
          </cell>
          <cell r="AU12" t="str">
            <v>Y</v>
          </cell>
          <cell r="AV12" t="str">
            <v>Y</v>
          </cell>
          <cell r="AW12" t="str">
            <v>Y</v>
          </cell>
          <cell r="AX12" t="str">
            <v>Y</v>
          </cell>
          <cell r="AY12" t="str">
            <v>Y</v>
          </cell>
          <cell r="AZ12" t="str">
            <v>Y</v>
          </cell>
          <cell r="BA12" t="str">
            <v>Y</v>
          </cell>
          <cell r="BB12" t="str">
            <v>Y</v>
          </cell>
          <cell r="BC12" t="str">
            <v>Y</v>
          </cell>
          <cell r="BD12" t="str">
            <v>Y</v>
          </cell>
          <cell r="BE12" t="str">
            <v>Y</v>
          </cell>
        </row>
        <row r="13">
          <cell r="W13">
            <v>37207</v>
          </cell>
          <cell r="X13">
            <v>36891</v>
          </cell>
          <cell r="Y13">
            <v>37399</v>
          </cell>
          <cell r="AB13">
            <v>37393</v>
          </cell>
          <cell r="AC13">
            <v>37393</v>
          </cell>
          <cell r="AD13">
            <v>36891</v>
          </cell>
          <cell r="AE13">
            <v>37346</v>
          </cell>
          <cell r="AF13">
            <v>37393</v>
          </cell>
          <cell r="AG13">
            <v>37399</v>
          </cell>
          <cell r="AH13">
            <v>37347</v>
          </cell>
          <cell r="AJ13">
            <v>37393</v>
          </cell>
          <cell r="AK13">
            <v>37215</v>
          </cell>
          <cell r="AL13">
            <v>37341</v>
          </cell>
          <cell r="AM13">
            <v>37349</v>
          </cell>
          <cell r="AN13">
            <v>37207</v>
          </cell>
          <cell r="AO13">
            <v>36891</v>
          </cell>
          <cell r="AP13">
            <v>37089</v>
          </cell>
          <cell r="AQ13">
            <v>37089</v>
          </cell>
          <cell r="AR13">
            <v>37346</v>
          </cell>
          <cell r="AS13">
            <v>37427</v>
          </cell>
          <cell r="AT13">
            <v>37413</v>
          </cell>
          <cell r="AU13">
            <v>37393</v>
          </cell>
          <cell r="AV13">
            <v>37413</v>
          </cell>
          <cell r="AW13">
            <v>36891</v>
          </cell>
          <cell r="AX13">
            <v>36891</v>
          </cell>
          <cell r="AY13">
            <v>36891</v>
          </cell>
          <cell r="AZ13">
            <v>36891</v>
          </cell>
          <cell r="BA13">
            <v>36891</v>
          </cell>
          <cell r="BB13">
            <v>36891</v>
          </cell>
          <cell r="BC13">
            <v>36891</v>
          </cell>
          <cell r="BD13">
            <v>36891</v>
          </cell>
          <cell r="BE13">
            <v>36891</v>
          </cell>
        </row>
        <row r="14">
          <cell r="Y14" t="str">
            <v>JWT</v>
          </cell>
          <cell r="AB14" t="str">
            <v>JWT</v>
          </cell>
          <cell r="AC14" t="str">
            <v>JWT</v>
          </cell>
          <cell r="AE14" t="str">
            <v>JWT</v>
          </cell>
          <cell r="AF14" t="str">
            <v>JWT</v>
          </cell>
          <cell r="AG14" t="str">
            <v>JWT</v>
          </cell>
          <cell r="AJ14" t="str">
            <v>JWT</v>
          </cell>
          <cell r="AK14" t="str">
            <v>JWT</v>
          </cell>
          <cell r="AL14" t="str">
            <v>JWT</v>
          </cell>
          <cell r="AM14" t="str">
            <v>OZ</v>
          </cell>
          <cell r="AN14" t="str">
            <v>NO</v>
          </cell>
          <cell r="AP14" t="str">
            <v>JWT</v>
          </cell>
          <cell r="AQ14" t="str">
            <v>JWT</v>
          </cell>
          <cell r="AR14" t="str">
            <v>JWT</v>
          </cell>
          <cell r="AV14" t="str">
            <v>JWT</v>
          </cell>
        </row>
        <row r="15">
          <cell r="H15" t="str">
            <v>Lab products</v>
          </cell>
          <cell r="I15" t="str">
            <v>Lab products</v>
          </cell>
          <cell r="J15" t="str">
            <v>Lab products</v>
          </cell>
          <cell r="K15" t="str">
            <v>Lab products</v>
          </cell>
          <cell r="L15" t="str">
            <v>Lab products</v>
          </cell>
          <cell r="M15" t="str">
            <v>Lab products</v>
          </cell>
          <cell r="N15" t="str">
            <v>Company Description</v>
          </cell>
          <cell r="O15" t="str">
            <v>Lab products</v>
          </cell>
          <cell r="P15" t="str">
            <v>Lab products</v>
          </cell>
          <cell r="Q15" t="str">
            <v>Lab products</v>
          </cell>
          <cell r="R15" t="str">
            <v>Lab products</v>
          </cell>
          <cell r="S15" t="str">
            <v>Lab products</v>
          </cell>
          <cell r="T15" t="str">
            <v>Lab products</v>
          </cell>
          <cell r="U15" t="str">
            <v>Lab products</v>
          </cell>
          <cell r="V15" t="str">
            <v>Lab products</v>
          </cell>
          <cell r="W15" t="str">
            <v>Lab products</v>
          </cell>
          <cell r="X15" t="str">
            <v>Lab products</v>
          </cell>
          <cell r="Z15" t="str">
            <v>Warehouse adjusted</v>
          </cell>
          <cell r="AA15" t="str">
            <v xml:space="preserve"> </v>
          </cell>
          <cell r="AD15" t="str">
            <v>Company Description</v>
          </cell>
          <cell r="AE15" t="str">
            <v xml:space="preserve"> </v>
          </cell>
          <cell r="AK15" t="str">
            <v xml:space="preserve"> </v>
          </cell>
          <cell r="AM15" t="str">
            <v>Lab products</v>
          </cell>
          <cell r="AN15" t="str">
            <v>No warehouse disclosure</v>
          </cell>
          <cell r="AO15" t="str">
            <v>Company Description</v>
          </cell>
          <cell r="AP15" t="str">
            <v>Dental supply distributors</v>
          </cell>
          <cell r="AQ15" t="str">
            <v>Veterinary supplies distributors</v>
          </cell>
          <cell r="AR15" t="str">
            <v>Dental supply distributors</v>
          </cell>
          <cell r="AW15" t="str">
            <v>Company Description</v>
          </cell>
          <cell r="AX15" t="str">
            <v>Company Description</v>
          </cell>
          <cell r="AY15" t="str">
            <v>Company Description</v>
          </cell>
          <cell r="AZ15" t="str">
            <v>Company Description</v>
          </cell>
          <cell r="BA15" t="str">
            <v>Company Description</v>
          </cell>
          <cell r="BB15" t="str">
            <v>Company Description</v>
          </cell>
          <cell r="BC15" t="str">
            <v>Company Description</v>
          </cell>
          <cell r="BD15" t="str">
            <v>Company Description</v>
          </cell>
          <cell r="BE15" t="str">
            <v>Company Description</v>
          </cell>
        </row>
        <row r="16">
          <cell r="H16" t="str">
            <v>notes</v>
          </cell>
          <cell r="I16" t="str">
            <v>notes</v>
          </cell>
          <cell r="J16" t="str">
            <v>notes</v>
          </cell>
          <cell r="K16" t="str">
            <v>notes</v>
          </cell>
          <cell r="L16" t="str">
            <v>notes</v>
          </cell>
          <cell r="M16" t="str">
            <v>notes</v>
          </cell>
          <cell r="N16" t="str">
            <v>notes</v>
          </cell>
          <cell r="O16" t="str">
            <v>LTM EPS and proj. EPS are trending correctly per IBES.</v>
          </cell>
          <cell r="P16" t="str">
            <v>Not PF for acquisition of the Filtration and Separtions business, NS</v>
          </cell>
          <cell r="Q16" t="str">
            <v>Not proforma for acquisitions in 2001 b/c it's not material</v>
          </cell>
          <cell r="R16" t="str">
            <v>Engaged in share repurchase program by issuing additional debt; check news for adjustments</v>
          </cell>
          <cell r="S16" t="str">
            <v>notes</v>
          </cell>
          <cell r="T16" t="str">
            <v>notes</v>
          </cell>
          <cell r="U16" t="str">
            <v>notes</v>
          </cell>
          <cell r="W16" t="str">
            <v>pro forma for Dexter purchase on 9/00 - PLEASE NOTE ASSUMPTIONS</v>
          </cell>
          <cell r="X16" t="str">
            <v>Pro forma for IPO spinoff of sub-division</v>
          </cell>
          <cell r="Y16" t="str">
            <v>notes</v>
          </cell>
          <cell r="Z16" t="str">
            <v>notes</v>
          </cell>
          <cell r="AA16" t="str">
            <v>notes</v>
          </cell>
          <cell r="AB16" t="str">
            <v>PRO FORMA FOR BBC ACQUISITION 3/19/01</v>
          </cell>
          <cell r="AC16" t="str">
            <v>notes</v>
          </cell>
          <cell r="AD16" t="str">
            <v>notes</v>
          </cell>
          <cell r="AE16" t="str">
            <v>notes</v>
          </cell>
          <cell r="AF16" t="str">
            <v>notes</v>
          </cell>
          <cell r="AH16" t="str">
            <v>notes</v>
          </cell>
          <cell r="AI16" t="str">
            <v>notes</v>
          </cell>
          <cell r="AJ16" t="str">
            <v>notes</v>
          </cell>
          <cell r="AK16" t="str">
            <v>Note</v>
          </cell>
          <cell r="AL16" t="str">
            <v>Pro forma for the $400 million debt offering on Jan. 29 2002</v>
          </cell>
          <cell r="AM16" t="str">
            <v>Engaged in share repurchase program by issuing additional debt; check news for adjustments</v>
          </cell>
          <cell r="AN16" t="str">
            <v>PF for diagnostic product spinoff effective 6/30/00 and Home Services Medical subsidiary</v>
          </cell>
          <cell r="AO16" t="str">
            <v>notes</v>
          </cell>
          <cell r="AP16" t="str">
            <v>Pro forma for acquisition of Webster</v>
          </cell>
          <cell r="AS16" t="str">
            <v>notes</v>
          </cell>
          <cell r="AT16" t="str">
            <v>notes</v>
          </cell>
          <cell r="AU16" t="str">
            <v>notes</v>
          </cell>
          <cell r="AW16" t="str">
            <v>notes</v>
          </cell>
          <cell r="AX16" t="str">
            <v>notes</v>
          </cell>
          <cell r="AY16" t="str">
            <v>notes</v>
          </cell>
          <cell r="AZ16" t="str">
            <v>notes</v>
          </cell>
          <cell r="BA16" t="str">
            <v>notes</v>
          </cell>
          <cell r="BB16" t="str">
            <v>notes</v>
          </cell>
          <cell r="BC16" t="str">
            <v>notes</v>
          </cell>
          <cell r="BD16" t="str">
            <v>notes</v>
          </cell>
          <cell r="BE16" t="str">
            <v>notes</v>
          </cell>
        </row>
        <row r="17">
          <cell r="S17" t="str">
            <v xml:space="preserve"> </v>
          </cell>
          <cell r="W17" t="str">
            <v>EXCLUDES AMORTIZATION to match Wall Street research</v>
          </cell>
          <cell r="X17" t="str">
            <v>Decreasing EPS is consistent with IBES estimates for 2000/LTM to 2001</v>
          </cell>
        </row>
        <row r="19">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7.4999999999999997E-2</v>
          </cell>
          <cell r="Z19">
            <v>8.5000000000000006E-2</v>
          </cell>
          <cell r="AA19">
            <v>0</v>
          </cell>
          <cell r="AB19">
            <v>7.0000000000000007E-2</v>
          </cell>
          <cell r="AC19">
            <v>0.08</v>
          </cell>
          <cell r="AD19">
            <v>8.5000000000000006E-2</v>
          </cell>
          <cell r="AE19">
            <v>8.5000000000000006E-2</v>
          </cell>
          <cell r="AF19">
            <v>6.5000000000000002E-2</v>
          </cell>
          <cell r="AG19">
            <v>0</v>
          </cell>
          <cell r="AH19">
            <v>0.08</v>
          </cell>
          <cell r="AI19">
            <v>8.5000000000000006E-2</v>
          </cell>
          <cell r="AJ19">
            <v>0.08</v>
          </cell>
          <cell r="AK19">
            <v>0.08</v>
          </cell>
          <cell r="AL19">
            <v>6.5000000000000002E-2</v>
          </cell>
          <cell r="AM19">
            <v>0</v>
          </cell>
          <cell r="AN19">
            <v>8.5000000000000006E-2</v>
          </cell>
          <cell r="AO19">
            <v>8.5000000000000006E-2</v>
          </cell>
          <cell r="AP19">
            <v>0.09</v>
          </cell>
          <cell r="AQ19">
            <v>8.5000000000000006E-2</v>
          </cell>
          <cell r="AR19">
            <v>7.4999999999999997E-2</v>
          </cell>
          <cell r="AS19">
            <v>8.5000000000000006E-2</v>
          </cell>
          <cell r="AT19">
            <v>8.5000000000000006E-2</v>
          </cell>
          <cell r="AU19">
            <v>6.5000000000000002E-2</v>
          </cell>
          <cell r="AV19">
            <v>6.5000000000000002E-2</v>
          </cell>
          <cell r="AW19">
            <v>0</v>
          </cell>
          <cell r="AX19">
            <v>0</v>
          </cell>
          <cell r="AY19">
            <v>0</v>
          </cell>
          <cell r="AZ19">
            <v>0</v>
          </cell>
          <cell r="BA19">
            <v>0</v>
          </cell>
          <cell r="BB19">
            <v>0</v>
          </cell>
          <cell r="BC19">
            <v>0</v>
          </cell>
          <cell r="BD19">
            <v>0</v>
          </cell>
          <cell r="BE19">
            <v>0</v>
          </cell>
        </row>
        <row r="20">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2.5000000000000001E-2</v>
          </cell>
          <cell r="Z20">
            <v>2.5000000000000001E-2</v>
          </cell>
          <cell r="AA20">
            <v>2.5000000000000001E-2</v>
          </cell>
          <cell r="AB20">
            <v>2.5000000000000001E-2</v>
          </cell>
          <cell r="AC20">
            <v>2.5000000000000001E-2</v>
          </cell>
          <cell r="AD20">
            <v>2.5000000000000001E-2</v>
          </cell>
          <cell r="AE20">
            <v>2.5000000000000001E-2</v>
          </cell>
          <cell r="AF20">
            <v>2.5000000000000001E-2</v>
          </cell>
          <cell r="AG20">
            <v>0</v>
          </cell>
          <cell r="AH20">
            <v>2.5000000000000001E-2</v>
          </cell>
          <cell r="AI20">
            <v>2.5000000000000001E-2</v>
          </cell>
          <cell r="AJ20">
            <v>2.5000000000000001E-2</v>
          </cell>
          <cell r="AK20">
            <v>2.5000000000000001E-2</v>
          </cell>
          <cell r="AL20">
            <v>2.5000000000000001E-2</v>
          </cell>
          <cell r="AM20">
            <v>0</v>
          </cell>
          <cell r="AN20">
            <v>2.5000000000000001E-2</v>
          </cell>
          <cell r="AO20">
            <v>2.5000000000000001E-2</v>
          </cell>
          <cell r="AP20">
            <v>2.5000000000000001E-2</v>
          </cell>
          <cell r="AQ20">
            <v>2.5000000000000001E-2</v>
          </cell>
          <cell r="AR20">
            <v>2.5000000000000001E-2</v>
          </cell>
          <cell r="AS20">
            <v>2.5000000000000001E-2</v>
          </cell>
          <cell r="AT20">
            <v>2.5000000000000001E-2</v>
          </cell>
          <cell r="AU20">
            <v>2.5000000000000001E-2</v>
          </cell>
          <cell r="AV20">
            <v>2.5000000000000001E-2</v>
          </cell>
          <cell r="AW20">
            <v>0</v>
          </cell>
          <cell r="AX20">
            <v>0</v>
          </cell>
          <cell r="AY20">
            <v>0</v>
          </cell>
          <cell r="AZ20">
            <v>0</v>
          </cell>
          <cell r="BA20">
            <v>0</v>
          </cell>
          <cell r="BB20">
            <v>0</v>
          </cell>
          <cell r="BC20">
            <v>0</v>
          </cell>
          <cell r="BD20">
            <v>0</v>
          </cell>
          <cell r="BE20">
            <v>0</v>
          </cell>
        </row>
        <row r="21">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1</v>
          </cell>
          <cell r="Z21">
            <v>1</v>
          </cell>
          <cell r="AA21">
            <v>0</v>
          </cell>
          <cell r="AB21">
            <v>1</v>
          </cell>
          <cell r="AC21">
            <v>1</v>
          </cell>
          <cell r="AD21">
            <v>1</v>
          </cell>
          <cell r="AE21">
            <v>1</v>
          </cell>
          <cell r="AF21">
            <v>1</v>
          </cell>
          <cell r="AG21">
            <v>0</v>
          </cell>
          <cell r="AH21">
            <v>1</v>
          </cell>
          <cell r="AI21">
            <v>1</v>
          </cell>
          <cell r="AJ21">
            <v>1</v>
          </cell>
          <cell r="AK21">
            <v>1</v>
          </cell>
          <cell r="AL21">
            <v>1</v>
          </cell>
          <cell r="AM21">
            <v>0</v>
          </cell>
          <cell r="AN21">
            <v>1</v>
          </cell>
          <cell r="AO21">
            <v>1</v>
          </cell>
          <cell r="AP21">
            <v>20</v>
          </cell>
          <cell r="AQ21">
            <v>1</v>
          </cell>
          <cell r="AR21">
            <v>1</v>
          </cell>
          <cell r="AS21">
            <v>1</v>
          </cell>
          <cell r="AT21">
            <v>1</v>
          </cell>
          <cell r="AU21">
            <v>1</v>
          </cell>
          <cell r="AV21">
            <v>1</v>
          </cell>
          <cell r="AW21">
            <v>0</v>
          </cell>
          <cell r="AX21">
            <v>0</v>
          </cell>
          <cell r="AY21">
            <v>0</v>
          </cell>
          <cell r="AZ21">
            <v>0</v>
          </cell>
          <cell r="BA21">
            <v>0</v>
          </cell>
          <cell r="BB21">
            <v>0</v>
          </cell>
          <cell r="BC21">
            <v>0</v>
          </cell>
          <cell r="BD21">
            <v>0</v>
          </cell>
          <cell r="BE21">
            <v>0</v>
          </cell>
        </row>
        <row r="22">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20</v>
          </cell>
          <cell r="Z22">
            <v>20</v>
          </cell>
          <cell r="AA22">
            <v>0</v>
          </cell>
          <cell r="AB22">
            <v>20</v>
          </cell>
          <cell r="AC22">
            <v>20</v>
          </cell>
          <cell r="AD22">
            <v>20</v>
          </cell>
          <cell r="AE22">
            <v>20</v>
          </cell>
          <cell r="AF22">
            <v>20</v>
          </cell>
          <cell r="AG22">
            <v>0</v>
          </cell>
          <cell r="AH22">
            <v>20</v>
          </cell>
          <cell r="AI22">
            <v>20</v>
          </cell>
          <cell r="AJ22">
            <v>20</v>
          </cell>
          <cell r="AK22">
            <v>20</v>
          </cell>
          <cell r="AL22">
            <v>20</v>
          </cell>
          <cell r="AM22">
            <v>0</v>
          </cell>
          <cell r="AN22">
            <v>20</v>
          </cell>
          <cell r="AO22">
            <v>20</v>
          </cell>
          <cell r="AP22">
            <v>0</v>
          </cell>
          <cell r="AQ22">
            <v>20</v>
          </cell>
          <cell r="AR22">
            <v>20</v>
          </cell>
          <cell r="AS22">
            <v>20</v>
          </cell>
          <cell r="AT22">
            <v>20</v>
          </cell>
          <cell r="AU22">
            <v>20</v>
          </cell>
          <cell r="AV22">
            <v>20</v>
          </cell>
          <cell r="AW22">
            <v>0</v>
          </cell>
          <cell r="AX22">
            <v>0</v>
          </cell>
          <cell r="AY22">
            <v>0</v>
          </cell>
          <cell r="AZ22">
            <v>0</v>
          </cell>
          <cell r="BA22">
            <v>0</v>
          </cell>
          <cell r="BB22">
            <v>0</v>
          </cell>
          <cell r="BC22">
            <v>0</v>
          </cell>
          <cell r="BD22">
            <v>0</v>
          </cell>
          <cell r="BE22">
            <v>0</v>
          </cell>
        </row>
        <row r="23">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0.4</v>
          </cell>
          <cell r="Z23">
            <v>0.4</v>
          </cell>
          <cell r="AA23">
            <v>0</v>
          </cell>
          <cell r="AB23">
            <v>0.4</v>
          </cell>
          <cell r="AC23">
            <v>0.4</v>
          </cell>
          <cell r="AD23">
            <v>0.4</v>
          </cell>
          <cell r="AE23">
            <v>0.4</v>
          </cell>
          <cell r="AF23">
            <v>0.4</v>
          </cell>
          <cell r="AG23">
            <v>0</v>
          </cell>
          <cell r="AH23">
            <v>0.4</v>
          </cell>
          <cell r="AI23">
            <v>0.4</v>
          </cell>
          <cell r="AJ23">
            <v>0.4</v>
          </cell>
          <cell r="AK23">
            <v>0.4</v>
          </cell>
          <cell r="AL23">
            <v>0.4</v>
          </cell>
          <cell r="AM23">
            <v>0</v>
          </cell>
          <cell r="AN23">
            <v>0.4</v>
          </cell>
          <cell r="AO23">
            <v>0.4</v>
          </cell>
          <cell r="AP23">
            <v>0</v>
          </cell>
          <cell r="AQ23">
            <v>0.4</v>
          </cell>
          <cell r="AR23">
            <v>0.4</v>
          </cell>
          <cell r="AS23">
            <v>0.4</v>
          </cell>
          <cell r="AT23">
            <v>0.4</v>
          </cell>
          <cell r="AU23">
            <v>0.4</v>
          </cell>
          <cell r="AV23">
            <v>0.4</v>
          </cell>
          <cell r="AW23">
            <v>0</v>
          </cell>
          <cell r="AX23">
            <v>0</v>
          </cell>
          <cell r="AY23">
            <v>0</v>
          </cell>
          <cell r="AZ23">
            <v>0</v>
          </cell>
          <cell r="BA23">
            <v>0</v>
          </cell>
          <cell r="BB23">
            <v>0</v>
          </cell>
          <cell r="BC23">
            <v>0</v>
          </cell>
          <cell r="BD23">
            <v>0</v>
          </cell>
          <cell r="BE23">
            <v>0</v>
          </cell>
        </row>
        <row r="24">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row>
        <row r="25">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row>
        <row r="27">
          <cell r="V27">
            <v>1000</v>
          </cell>
        </row>
        <row r="30">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row>
        <row r="31">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row>
        <row r="32">
          <cell r="H32" t="str">
            <v>MODEL</v>
          </cell>
          <cell r="I32">
            <v>37437</v>
          </cell>
          <cell r="J32">
            <v>37437</v>
          </cell>
          <cell r="L32">
            <v>37437</v>
          </cell>
          <cell r="P32">
            <v>37437</v>
          </cell>
          <cell r="Q32">
            <v>37437</v>
          </cell>
          <cell r="R32">
            <v>37437</v>
          </cell>
        </row>
        <row r="33">
          <cell r="J33" t="str">
            <v>MODEL</v>
          </cell>
          <cell r="L33" t="str">
            <v>PRESS RELEASE</v>
          </cell>
          <cell r="P33" t="str">
            <v>PRESS RELEASE</v>
          </cell>
          <cell r="Q33" t="str">
            <v>PRESS RELEASE</v>
          </cell>
          <cell r="R33" t="str">
            <v>PRESS RELEASE</v>
          </cell>
        </row>
        <row r="34">
          <cell r="H34">
            <v>37256</v>
          </cell>
          <cell r="I34">
            <v>37256</v>
          </cell>
          <cell r="J34">
            <v>37437</v>
          </cell>
          <cell r="K34">
            <v>37256</v>
          </cell>
          <cell r="L34">
            <v>37256</v>
          </cell>
          <cell r="M34">
            <v>37256</v>
          </cell>
          <cell r="N34">
            <v>37256</v>
          </cell>
          <cell r="O34">
            <v>37256</v>
          </cell>
          <cell r="P34">
            <v>37256</v>
          </cell>
          <cell r="Q34">
            <v>37256</v>
          </cell>
          <cell r="R34">
            <v>37256</v>
          </cell>
          <cell r="S34">
            <v>37256</v>
          </cell>
          <cell r="T34">
            <v>37256</v>
          </cell>
          <cell r="U34">
            <v>37256</v>
          </cell>
          <cell r="V34">
            <v>37437</v>
          </cell>
          <cell r="W34">
            <v>37256</v>
          </cell>
          <cell r="X34">
            <v>37256</v>
          </cell>
          <cell r="Y34">
            <v>37345</v>
          </cell>
          <cell r="AB34">
            <v>37346</v>
          </cell>
          <cell r="AC34">
            <v>37346</v>
          </cell>
          <cell r="AD34">
            <v>36891</v>
          </cell>
          <cell r="AE34">
            <v>37253</v>
          </cell>
          <cell r="AF34">
            <v>37345</v>
          </cell>
          <cell r="AG34">
            <v>37346</v>
          </cell>
          <cell r="AJ34">
            <v>37256</v>
          </cell>
          <cell r="AK34">
            <v>37437</v>
          </cell>
          <cell r="AL34">
            <v>37256</v>
          </cell>
          <cell r="AM34">
            <v>37256</v>
          </cell>
          <cell r="AN34">
            <v>37162</v>
          </cell>
          <cell r="AO34">
            <v>36891</v>
          </cell>
          <cell r="AP34">
            <v>37009</v>
          </cell>
          <cell r="AQ34">
            <v>37009</v>
          </cell>
          <cell r="AR34">
            <v>37434</v>
          </cell>
          <cell r="AV34">
            <v>37346</v>
          </cell>
          <cell r="AW34">
            <v>36891</v>
          </cell>
          <cell r="AX34">
            <v>36891</v>
          </cell>
          <cell r="AY34">
            <v>36891</v>
          </cell>
          <cell r="AZ34">
            <v>36891</v>
          </cell>
          <cell r="BA34">
            <v>36891</v>
          </cell>
          <cell r="BB34">
            <v>36891</v>
          </cell>
          <cell r="BC34">
            <v>36891</v>
          </cell>
          <cell r="BD34">
            <v>36891</v>
          </cell>
          <cell r="BE34">
            <v>36891</v>
          </cell>
        </row>
        <row r="36">
          <cell r="Q36" t="str">
            <v xml:space="preserve">GAAP </v>
          </cell>
          <cell r="AJ36">
            <v>27145.618999999999</v>
          </cell>
        </row>
        <row r="37">
          <cell r="Q37" t="str">
            <v>REPORTED</v>
          </cell>
          <cell r="AB37" t="str">
            <v>x</v>
          </cell>
          <cell r="AV37" t="str">
            <v>x</v>
          </cell>
          <cell r="AX37">
            <v>112891000</v>
          </cell>
        </row>
        <row r="38">
          <cell r="H38">
            <v>59.207999999999998</v>
          </cell>
          <cell r="I38">
            <v>145.916</v>
          </cell>
          <cell r="J38">
            <v>42.494525000000003</v>
          </cell>
          <cell r="K38">
            <v>26.085000000000001</v>
          </cell>
          <cell r="L38">
            <v>60.100999999999999</v>
          </cell>
          <cell r="M38">
            <v>213.28299999999999</v>
          </cell>
          <cell r="N38">
            <v>45.409689999999998</v>
          </cell>
          <cell r="O38">
            <v>15.414</v>
          </cell>
          <cell r="P38">
            <v>125.556</v>
          </cell>
          <cell r="Q38">
            <v>186.74</v>
          </cell>
          <cell r="R38">
            <v>35.048999999999999</v>
          </cell>
          <cell r="S38">
            <v>136.77799999999999</v>
          </cell>
          <cell r="T38">
            <v>57.9</v>
          </cell>
          <cell r="U38">
            <v>16.077313</v>
          </cell>
          <cell r="V38">
            <v>28.199946000000001</v>
          </cell>
          <cell r="W38">
            <v>52.961227999999998</v>
          </cell>
          <cell r="X38">
            <v>47.744526999999998</v>
          </cell>
          <cell r="Y38">
            <v>44.61</v>
          </cell>
          <cell r="Z38">
            <v>135.58958899999999</v>
          </cell>
          <cell r="AA38">
            <v>53.001061999999997</v>
          </cell>
          <cell r="AB38">
            <v>112.89100000000001</v>
          </cell>
          <cell r="AC38">
            <v>40.850999999999999</v>
          </cell>
          <cell r="AD38">
            <v>0</v>
          </cell>
          <cell r="AE38">
            <v>71.217195000000004</v>
          </cell>
          <cell r="AF38">
            <v>44.747</v>
          </cell>
          <cell r="AG38">
            <v>24.778272999999999</v>
          </cell>
          <cell r="AH38">
            <v>26.098680000000002</v>
          </cell>
          <cell r="AI38">
            <v>0</v>
          </cell>
          <cell r="AJ38">
            <v>31.284690000000001</v>
          </cell>
          <cell r="AK38">
            <v>57.9</v>
          </cell>
          <cell r="AL38">
            <v>301</v>
          </cell>
          <cell r="AM38">
            <v>73.771000000000001</v>
          </cell>
          <cell r="AN38">
            <v>12.315314000000001</v>
          </cell>
          <cell r="AR38">
            <v>68.506</v>
          </cell>
          <cell r="AS38">
            <v>12.884701959999999</v>
          </cell>
          <cell r="AT38">
            <v>0</v>
          </cell>
          <cell r="AU38">
            <v>0</v>
          </cell>
          <cell r="AV38">
            <v>460</v>
          </cell>
          <cell r="AW38">
            <v>0</v>
          </cell>
          <cell r="AY38">
            <v>0</v>
          </cell>
          <cell r="AZ38">
            <v>0</v>
          </cell>
          <cell r="BA38">
            <v>0</v>
          </cell>
          <cell r="BB38">
            <v>0</v>
          </cell>
          <cell r="BC38">
            <v>0</v>
          </cell>
          <cell r="BD38">
            <v>0</v>
          </cell>
          <cell r="BE38">
            <v>0</v>
          </cell>
        </row>
        <row r="39">
          <cell r="H39">
            <v>0</v>
          </cell>
          <cell r="I39">
            <v>0</v>
          </cell>
          <cell r="J39">
            <v>0</v>
          </cell>
          <cell r="K39">
            <v>0</v>
          </cell>
          <cell r="L39">
            <v>0</v>
          </cell>
          <cell r="M39">
            <v>0</v>
          </cell>
          <cell r="N39">
            <v>0</v>
          </cell>
          <cell r="O39">
            <v>0</v>
          </cell>
          <cell r="P39">
            <v>0</v>
          </cell>
          <cell r="Q39">
            <v>0</v>
          </cell>
          <cell r="R39">
            <v>0</v>
          </cell>
          <cell r="S39">
            <v>0</v>
          </cell>
          <cell r="T39">
            <v>0</v>
          </cell>
          <cell r="U39">
            <v>2.5030000000000001</v>
          </cell>
          <cell r="V39">
            <v>0</v>
          </cell>
          <cell r="W39">
            <v>5.6609999999999996</v>
          </cell>
          <cell r="X39">
            <v>5.0519999999999996</v>
          </cell>
          <cell r="Y39">
            <v>5.1552319999999998</v>
          </cell>
          <cell r="Z39">
            <v>8.721584</v>
          </cell>
          <cell r="AA39">
            <v>3.6339999999999999</v>
          </cell>
          <cell r="AC39">
            <v>2.2189999999999999</v>
          </cell>
          <cell r="AD39">
            <v>0</v>
          </cell>
          <cell r="AE39">
            <v>6.3520000000000012</v>
          </cell>
          <cell r="AG39">
            <v>7.7510000000000003</v>
          </cell>
          <cell r="AH39">
            <v>1.796775</v>
          </cell>
          <cell r="AI39">
            <v>0</v>
          </cell>
          <cell r="AJ39">
            <v>1.796775</v>
          </cell>
          <cell r="AL39">
            <v>60.732304999999997</v>
          </cell>
          <cell r="AM39">
            <v>3.5651830000000002</v>
          </cell>
          <cell r="AN39">
            <v>2.4042520000000001</v>
          </cell>
          <cell r="AO39">
            <v>0</v>
          </cell>
          <cell r="AR39">
            <v>0.95021299999999997</v>
          </cell>
          <cell r="AS39">
            <v>4.0305200000000001</v>
          </cell>
          <cell r="AT39">
            <v>0</v>
          </cell>
          <cell r="AU39">
            <v>0</v>
          </cell>
          <cell r="AW39">
            <v>0</v>
          </cell>
          <cell r="AX39">
            <v>0</v>
          </cell>
          <cell r="AY39">
            <v>0</v>
          </cell>
          <cell r="AZ39">
            <v>0</v>
          </cell>
          <cell r="BA39">
            <v>0</v>
          </cell>
          <cell r="BB39">
            <v>0</v>
          </cell>
          <cell r="BC39">
            <v>0</v>
          </cell>
          <cell r="BD39">
            <v>0</v>
          </cell>
          <cell r="BE39">
            <v>0</v>
          </cell>
        </row>
        <row r="40">
          <cell r="H40">
            <v>0</v>
          </cell>
          <cell r="I40">
            <v>0</v>
          </cell>
          <cell r="J40">
            <v>0</v>
          </cell>
          <cell r="K40">
            <v>0</v>
          </cell>
          <cell r="L40">
            <v>0</v>
          </cell>
          <cell r="M40">
            <v>0</v>
          </cell>
          <cell r="N40">
            <v>0</v>
          </cell>
          <cell r="O40">
            <v>0</v>
          </cell>
          <cell r="P40">
            <v>0</v>
          </cell>
          <cell r="Q40">
            <v>0</v>
          </cell>
          <cell r="R40">
            <v>0</v>
          </cell>
          <cell r="S40">
            <v>0</v>
          </cell>
          <cell r="T40">
            <v>0</v>
          </cell>
          <cell r="U40">
            <v>18.14</v>
          </cell>
          <cell r="V40">
            <v>0</v>
          </cell>
          <cell r="W40">
            <v>46.72</v>
          </cell>
          <cell r="X40">
            <v>36.450000000000003</v>
          </cell>
          <cell r="Y40">
            <v>22.4</v>
          </cell>
          <cell r="Z40">
            <v>13.83</v>
          </cell>
          <cell r="AA40">
            <v>24</v>
          </cell>
          <cell r="AB40">
            <v>42</v>
          </cell>
          <cell r="AC40">
            <v>13.46</v>
          </cell>
          <cell r="AD40">
            <v>0</v>
          </cell>
          <cell r="AE40">
            <v>10.304480478589419</v>
          </cell>
          <cell r="AF40">
            <v>26.04</v>
          </cell>
          <cell r="AG40">
            <v>18.55</v>
          </cell>
          <cell r="AH40">
            <v>13.52</v>
          </cell>
          <cell r="AI40">
            <v>0</v>
          </cell>
          <cell r="AJ40">
            <v>13.52</v>
          </cell>
          <cell r="AL40">
            <v>39.36</v>
          </cell>
          <cell r="AM40">
            <v>32.39</v>
          </cell>
          <cell r="AN40">
            <v>9.9</v>
          </cell>
          <cell r="AO40">
            <v>0</v>
          </cell>
          <cell r="AR40">
            <v>20.514070571545538</v>
          </cell>
          <cell r="AS40">
            <v>9.6460000000000008</v>
          </cell>
          <cell r="AT40">
            <v>0</v>
          </cell>
          <cell r="AU40">
            <v>0</v>
          </cell>
          <cell r="AV40">
            <v>34.83</v>
          </cell>
          <cell r="AW40">
            <v>0</v>
          </cell>
          <cell r="AX40">
            <v>0</v>
          </cell>
          <cell r="AY40">
            <v>0</v>
          </cell>
          <cell r="AZ40">
            <v>0</v>
          </cell>
          <cell r="BA40">
            <v>0</v>
          </cell>
          <cell r="BB40">
            <v>0</v>
          </cell>
          <cell r="BC40">
            <v>0</v>
          </cell>
          <cell r="BD40">
            <v>0</v>
          </cell>
          <cell r="BE40">
            <v>0</v>
          </cell>
        </row>
        <row r="41">
          <cell r="H41">
            <v>0</v>
          </cell>
          <cell r="I41">
            <v>0</v>
          </cell>
          <cell r="J41">
            <v>0</v>
          </cell>
          <cell r="K41">
            <v>0</v>
          </cell>
          <cell r="L41">
            <v>0</v>
          </cell>
          <cell r="M41">
            <v>0</v>
          </cell>
          <cell r="N41">
            <v>0</v>
          </cell>
          <cell r="O41">
            <v>0</v>
          </cell>
          <cell r="P41">
            <v>0</v>
          </cell>
          <cell r="Q41">
            <v>0</v>
          </cell>
          <cell r="R41">
            <v>0</v>
          </cell>
          <cell r="S41">
            <v>0</v>
          </cell>
          <cell r="T41">
            <v>0</v>
          </cell>
          <cell r="U41">
            <v>0.44</v>
          </cell>
          <cell r="V41">
            <v>0</v>
          </cell>
          <cell r="W41">
            <v>0</v>
          </cell>
          <cell r="X41">
            <v>0</v>
          </cell>
          <cell r="Y41">
            <v>0</v>
          </cell>
          <cell r="Z41">
            <v>0</v>
          </cell>
          <cell r="AA41">
            <v>0</v>
          </cell>
          <cell r="AB41">
            <v>0</v>
          </cell>
          <cell r="AC41">
            <v>0</v>
          </cell>
          <cell r="AD41">
            <v>0</v>
          </cell>
          <cell r="AE41">
            <v>0.78749999999999998</v>
          </cell>
          <cell r="AF41">
            <v>0</v>
          </cell>
          <cell r="AG41">
            <v>0</v>
          </cell>
          <cell r="AH41">
            <v>0</v>
          </cell>
          <cell r="AI41">
            <v>0</v>
          </cell>
          <cell r="AJ41">
            <v>0</v>
          </cell>
          <cell r="AL41">
            <v>0</v>
          </cell>
          <cell r="AM41">
            <v>0</v>
          </cell>
          <cell r="AN41">
            <v>0</v>
          </cell>
          <cell r="AO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H42">
            <v>0</v>
          </cell>
          <cell r="I42">
            <v>0</v>
          </cell>
          <cell r="J42">
            <v>0</v>
          </cell>
          <cell r="K42">
            <v>0</v>
          </cell>
          <cell r="L42">
            <v>0</v>
          </cell>
          <cell r="M42">
            <v>0</v>
          </cell>
          <cell r="N42">
            <v>0</v>
          </cell>
          <cell r="O42">
            <v>0</v>
          </cell>
          <cell r="P42">
            <v>0</v>
          </cell>
          <cell r="Q42">
            <v>0</v>
          </cell>
          <cell r="R42">
            <v>0</v>
          </cell>
          <cell r="S42">
            <v>0</v>
          </cell>
          <cell r="T42">
            <v>0</v>
          </cell>
          <cell r="U42">
            <v>5.82</v>
          </cell>
          <cell r="V42">
            <v>0</v>
          </cell>
          <cell r="W42">
            <v>0</v>
          </cell>
          <cell r="X42">
            <v>0</v>
          </cell>
          <cell r="Y42">
            <v>0</v>
          </cell>
          <cell r="Z42">
            <v>0</v>
          </cell>
          <cell r="AA42">
            <v>0</v>
          </cell>
          <cell r="AB42">
            <v>0</v>
          </cell>
          <cell r="AC42">
            <v>0</v>
          </cell>
          <cell r="AD42">
            <v>0</v>
          </cell>
          <cell r="AE42">
            <v>14.8</v>
          </cell>
          <cell r="AF42">
            <v>0</v>
          </cell>
          <cell r="AG42">
            <v>0</v>
          </cell>
          <cell r="AH42">
            <v>0</v>
          </cell>
          <cell r="AI42">
            <v>0</v>
          </cell>
          <cell r="AJ42">
            <v>0</v>
          </cell>
          <cell r="AL42">
            <v>0</v>
          </cell>
          <cell r="AM42">
            <v>0</v>
          </cell>
          <cell r="AN42">
            <v>0</v>
          </cell>
          <cell r="AO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row>
        <row r="43">
          <cell r="Z43">
            <v>3.3</v>
          </cell>
          <cell r="AA43">
            <v>3.6339999999999999</v>
          </cell>
        </row>
        <row r="44">
          <cell r="Z44">
            <v>23.29</v>
          </cell>
          <cell r="AA44">
            <v>24</v>
          </cell>
        </row>
        <row r="45">
          <cell r="AB45" t="b">
            <v>0</v>
          </cell>
        </row>
        <row r="46">
          <cell r="H46" t="str">
            <v>N</v>
          </cell>
          <cell r="I46" t="str">
            <v>N</v>
          </cell>
          <cell r="J46" t="str">
            <v>N</v>
          </cell>
          <cell r="K46" t="str">
            <v>N</v>
          </cell>
          <cell r="L46" t="str">
            <v>N</v>
          </cell>
          <cell r="M46" t="str">
            <v>N</v>
          </cell>
          <cell r="N46" t="str">
            <v>N</v>
          </cell>
          <cell r="O46" t="str">
            <v>N</v>
          </cell>
          <cell r="P46" t="str">
            <v>N</v>
          </cell>
          <cell r="Q46" t="str">
            <v>N</v>
          </cell>
          <cell r="R46" t="str">
            <v>N</v>
          </cell>
          <cell r="S46" t="str">
            <v>N</v>
          </cell>
          <cell r="T46" t="str">
            <v>N</v>
          </cell>
          <cell r="U46" t="str">
            <v>N</v>
          </cell>
          <cell r="V46" t="str">
            <v>N</v>
          </cell>
          <cell r="W46" t="str">
            <v>Y</v>
          </cell>
          <cell r="X46" t="str">
            <v>N</v>
          </cell>
          <cell r="Y46" t="str">
            <v>N</v>
          </cell>
          <cell r="Z46" t="str">
            <v>N</v>
          </cell>
          <cell r="AA46" t="str">
            <v>Y</v>
          </cell>
          <cell r="AB46" t="str">
            <v>Y</v>
          </cell>
          <cell r="AC46" t="str">
            <v>N</v>
          </cell>
          <cell r="AD46" t="str">
            <v>N</v>
          </cell>
          <cell r="AE46" t="str">
            <v>N</v>
          </cell>
          <cell r="AF46" t="str">
            <v>N</v>
          </cell>
          <cell r="AG46" t="str">
            <v>N</v>
          </cell>
          <cell r="AH46" t="str">
            <v>N</v>
          </cell>
          <cell r="AI46" t="str">
            <v>N</v>
          </cell>
          <cell r="AJ46" t="str">
            <v>N</v>
          </cell>
          <cell r="AK46" t="str">
            <v>N</v>
          </cell>
          <cell r="AL46" t="str">
            <v>N</v>
          </cell>
          <cell r="AM46" t="str">
            <v>N</v>
          </cell>
          <cell r="AN46" t="str">
            <v>N</v>
          </cell>
          <cell r="AO46" t="str">
            <v>N</v>
          </cell>
          <cell r="AP46" t="str">
            <v>N</v>
          </cell>
          <cell r="AQ46" t="str">
            <v>N</v>
          </cell>
          <cell r="AR46" t="str">
            <v>N</v>
          </cell>
          <cell r="AS46" t="str">
            <v>N</v>
          </cell>
          <cell r="AT46" t="str">
            <v>N</v>
          </cell>
          <cell r="AU46" t="str">
            <v>N</v>
          </cell>
          <cell r="AV46" t="str">
            <v>N</v>
          </cell>
          <cell r="AW46" t="str">
            <v>N</v>
          </cell>
          <cell r="AX46" t="str">
            <v>N</v>
          </cell>
          <cell r="AY46" t="str">
            <v>N</v>
          </cell>
          <cell r="AZ46" t="str">
            <v>N</v>
          </cell>
          <cell r="BA46" t="str">
            <v>N</v>
          </cell>
          <cell r="BB46" t="str">
            <v>N</v>
          </cell>
          <cell r="BC46" t="str">
            <v>N</v>
          </cell>
          <cell r="BD46" t="str">
            <v>N</v>
          </cell>
          <cell r="BE46" t="str">
            <v>N</v>
          </cell>
        </row>
        <row r="47">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172.5</v>
          </cell>
          <cell r="X47">
            <v>0</v>
          </cell>
          <cell r="Y47">
            <v>0</v>
          </cell>
          <cell r="Z47">
            <v>0</v>
          </cell>
          <cell r="AA47">
            <v>300</v>
          </cell>
          <cell r="AB47">
            <v>300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row>
        <row r="48">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5.5E-2</v>
          </cell>
          <cell r="X48">
            <v>0</v>
          </cell>
          <cell r="Y48">
            <v>0</v>
          </cell>
          <cell r="Z48">
            <v>0</v>
          </cell>
          <cell r="AA48">
            <v>0.05</v>
          </cell>
          <cell r="AB48">
            <v>0.05</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row>
        <row r="49">
          <cell r="H49">
            <v>36526</v>
          </cell>
          <cell r="I49">
            <v>36526</v>
          </cell>
          <cell r="J49">
            <v>36526</v>
          </cell>
          <cell r="K49">
            <v>36526</v>
          </cell>
          <cell r="L49">
            <v>36526</v>
          </cell>
          <cell r="M49">
            <v>36526</v>
          </cell>
          <cell r="N49">
            <v>36526</v>
          </cell>
          <cell r="O49">
            <v>36526</v>
          </cell>
          <cell r="P49">
            <v>36526</v>
          </cell>
          <cell r="Q49">
            <v>36526</v>
          </cell>
          <cell r="R49">
            <v>36526</v>
          </cell>
          <cell r="S49">
            <v>36526</v>
          </cell>
          <cell r="T49">
            <v>36526</v>
          </cell>
          <cell r="U49">
            <v>0</v>
          </cell>
          <cell r="V49">
            <v>0</v>
          </cell>
          <cell r="W49">
            <v>36892</v>
          </cell>
          <cell r="X49">
            <v>36526</v>
          </cell>
          <cell r="Y49">
            <v>0</v>
          </cell>
          <cell r="Z49">
            <v>0</v>
          </cell>
          <cell r="AA49">
            <v>36861</v>
          </cell>
          <cell r="AB49">
            <v>36861</v>
          </cell>
          <cell r="AC49">
            <v>0</v>
          </cell>
          <cell r="AD49">
            <v>36526</v>
          </cell>
          <cell r="AE49">
            <v>0</v>
          </cell>
          <cell r="AF49">
            <v>0</v>
          </cell>
          <cell r="AG49">
            <v>0</v>
          </cell>
          <cell r="AH49">
            <v>0</v>
          </cell>
          <cell r="AI49">
            <v>36526</v>
          </cell>
          <cell r="AJ49">
            <v>0</v>
          </cell>
          <cell r="AK49">
            <v>0</v>
          </cell>
          <cell r="AL49">
            <v>0</v>
          </cell>
          <cell r="AM49">
            <v>0</v>
          </cell>
          <cell r="AN49">
            <v>0</v>
          </cell>
          <cell r="AO49">
            <v>36526</v>
          </cell>
          <cell r="AP49">
            <v>0</v>
          </cell>
          <cell r="AQ49">
            <v>36526</v>
          </cell>
          <cell r="AR49">
            <v>36526</v>
          </cell>
          <cell r="AS49">
            <v>36526</v>
          </cell>
          <cell r="AT49">
            <v>36526</v>
          </cell>
          <cell r="AU49">
            <v>0</v>
          </cell>
          <cell r="AV49">
            <v>0</v>
          </cell>
          <cell r="AW49">
            <v>36526</v>
          </cell>
          <cell r="AX49">
            <v>36526</v>
          </cell>
          <cell r="AY49">
            <v>36526</v>
          </cell>
          <cell r="AZ49">
            <v>36526</v>
          </cell>
          <cell r="BA49">
            <v>36526</v>
          </cell>
          <cell r="BB49">
            <v>36526</v>
          </cell>
          <cell r="BC49">
            <v>36526</v>
          </cell>
          <cell r="BD49">
            <v>36526</v>
          </cell>
          <cell r="BE49">
            <v>36526</v>
          </cell>
        </row>
        <row r="50">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85.2</v>
          </cell>
          <cell r="X50">
            <v>0</v>
          </cell>
          <cell r="Y50">
            <v>0</v>
          </cell>
          <cell r="Z50">
            <v>0</v>
          </cell>
          <cell r="AA50">
            <v>52.968800000000002</v>
          </cell>
          <cell r="AB50">
            <v>52.97</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row>
        <row r="54">
          <cell r="H54" t="str">
            <v>N</v>
          </cell>
          <cell r="I54" t="str">
            <v>N</v>
          </cell>
          <cell r="J54" t="str">
            <v>N</v>
          </cell>
          <cell r="K54" t="str">
            <v>N</v>
          </cell>
          <cell r="L54" t="str">
            <v>N</v>
          </cell>
          <cell r="M54" t="str">
            <v>N</v>
          </cell>
          <cell r="N54" t="str">
            <v>N</v>
          </cell>
          <cell r="O54" t="str">
            <v>N</v>
          </cell>
          <cell r="P54" t="str">
            <v>N</v>
          </cell>
          <cell r="Q54" t="str">
            <v>N</v>
          </cell>
          <cell r="R54" t="str">
            <v>N</v>
          </cell>
          <cell r="S54" t="str">
            <v>N</v>
          </cell>
          <cell r="T54" t="str">
            <v>N</v>
          </cell>
          <cell r="U54" t="str">
            <v>N</v>
          </cell>
          <cell r="V54" t="str">
            <v>N</v>
          </cell>
          <cell r="W54" t="str">
            <v>N</v>
          </cell>
          <cell r="X54" t="str">
            <v>N</v>
          </cell>
          <cell r="Y54" t="str">
            <v>N</v>
          </cell>
          <cell r="Z54" t="str">
            <v>Y</v>
          </cell>
          <cell r="AA54" t="str">
            <v>N</v>
          </cell>
          <cell r="AB54" t="str">
            <v>N</v>
          </cell>
          <cell r="AC54" t="str">
            <v>Y</v>
          </cell>
          <cell r="AD54" t="str">
            <v>N</v>
          </cell>
          <cell r="AE54" t="str">
            <v>N</v>
          </cell>
          <cell r="AF54" t="str">
            <v>N</v>
          </cell>
          <cell r="AG54" t="str">
            <v>N</v>
          </cell>
          <cell r="AH54" t="str">
            <v>N</v>
          </cell>
          <cell r="AI54" t="str">
            <v>N</v>
          </cell>
          <cell r="AJ54" t="str">
            <v>N</v>
          </cell>
          <cell r="AK54" t="str">
            <v>N</v>
          </cell>
          <cell r="AL54" t="str">
            <v>Y</v>
          </cell>
          <cell r="AM54" t="str">
            <v>N</v>
          </cell>
          <cell r="AN54" t="str">
            <v>N</v>
          </cell>
          <cell r="AO54" t="str">
            <v>N</v>
          </cell>
          <cell r="AP54" t="str">
            <v>N</v>
          </cell>
          <cell r="AQ54" t="str">
            <v>N</v>
          </cell>
          <cell r="AR54" t="str">
            <v>N</v>
          </cell>
          <cell r="AS54" t="str">
            <v>N</v>
          </cell>
          <cell r="AT54" t="str">
            <v>N</v>
          </cell>
          <cell r="AU54" t="str">
            <v>N</v>
          </cell>
          <cell r="AV54" t="str">
            <v>N</v>
          </cell>
          <cell r="AW54" t="str">
            <v>N</v>
          </cell>
          <cell r="AX54" t="str">
            <v>N</v>
          </cell>
          <cell r="AY54" t="str">
            <v>N</v>
          </cell>
          <cell r="AZ54" t="str">
            <v>N</v>
          </cell>
          <cell r="BA54" t="str">
            <v>N</v>
          </cell>
          <cell r="BB54" t="str">
            <v>N</v>
          </cell>
          <cell r="BC54" t="str">
            <v>N</v>
          </cell>
          <cell r="BD54" t="str">
            <v>N</v>
          </cell>
          <cell r="BE54" t="str">
            <v>N</v>
          </cell>
        </row>
        <row r="55">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300</v>
          </cell>
          <cell r="AA55">
            <v>0</v>
          </cell>
          <cell r="AB55">
            <v>0</v>
          </cell>
          <cell r="AC55">
            <v>132</v>
          </cell>
          <cell r="AD55">
            <v>0</v>
          </cell>
          <cell r="AE55">
            <v>0</v>
          </cell>
          <cell r="AF55">
            <v>0</v>
          </cell>
          <cell r="AG55">
            <v>0</v>
          </cell>
          <cell r="AH55">
            <v>0</v>
          </cell>
          <cell r="AI55">
            <v>0</v>
          </cell>
          <cell r="AJ55">
            <v>0</v>
          </cell>
          <cell r="AK55">
            <v>0</v>
          </cell>
          <cell r="AL55">
            <v>196.1</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row>
        <row r="56">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7.8E-2</v>
          </cell>
          <cell r="AA56">
            <v>0</v>
          </cell>
          <cell r="AB56">
            <v>0</v>
          </cell>
          <cell r="AC56">
            <v>5.3749999999999999E-2</v>
          </cell>
          <cell r="AD56">
            <v>0</v>
          </cell>
          <cell r="AE56">
            <v>0</v>
          </cell>
          <cell r="AF56">
            <v>0</v>
          </cell>
          <cell r="AG56">
            <v>0</v>
          </cell>
          <cell r="AH56">
            <v>0</v>
          </cell>
          <cell r="AI56">
            <v>0</v>
          </cell>
          <cell r="AJ56">
            <v>0</v>
          </cell>
          <cell r="AK56">
            <v>0</v>
          </cell>
          <cell r="AL56">
            <v>0.05</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row>
        <row r="57">
          <cell r="H57">
            <v>36526</v>
          </cell>
          <cell r="I57">
            <v>36526</v>
          </cell>
          <cell r="J57">
            <v>36526</v>
          </cell>
          <cell r="K57">
            <v>36526</v>
          </cell>
          <cell r="L57">
            <v>36526</v>
          </cell>
          <cell r="M57">
            <v>36526</v>
          </cell>
          <cell r="N57">
            <v>36526</v>
          </cell>
          <cell r="O57">
            <v>36526</v>
          </cell>
          <cell r="P57">
            <v>36526</v>
          </cell>
          <cell r="Q57">
            <v>36526</v>
          </cell>
          <cell r="R57">
            <v>36526</v>
          </cell>
          <cell r="S57">
            <v>36526</v>
          </cell>
          <cell r="T57">
            <v>36526</v>
          </cell>
          <cell r="U57">
            <v>0</v>
          </cell>
          <cell r="V57">
            <v>0</v>
          </cell>
          <cell r="W57">
            <v>0</v>
          </cell>
          <cell r="X57">
            <v>36526</v>
          </cell>
          <cell r="Y57">
            <v>0</v>
          </cell>
          <cell r="Z57">
            <v>0</v>
          </cell>
          <cell r="AA57">
            <v>0</v>
          </cell>
          <cell r="AB57">
            <v>0</v>
          </cell>
          <cell r="AC57">
            <v>0</v>
          </cell>
          <cell r="AD57">
            <v>36526</v>
          </cell>
          <cell r="AE57">
            <v>0</v>
          </cell>
          <cell r="AF57">
            <v>0</v>
          </cell>
          <cell r="AG57">
            <v>0</v>
          </cell>
          <cell r="AH57">
            <v>0</v>
          </cell>
          <cell r="AI57">
            <v>36526</v>
          </cell>
          <cell r="AJ57">
            <v>0</v>
          </cell>
          <cell r="AK57">
            <v>0</v>
          </cell>
          <cell r="AL57">
            <v>0</v>
          </cell>
          <cell r="AM57">
            <v>0</v>
          </cell>
          <cell r="AN57">
            <v>0</v>
          </cell>
          <cell r="AO57">
            <v>36526</v>
          </cell>
          <cell r="AP57">
            <v>0</v>
          </cell>
          <cell r="AQ57">
            <v>36526</v>
          </cell>
          <cell r="AR57">
            <v>36526</v>
          </cell>
          <cell r="AS57">
            <v>36526</v>
          </cell>
          <cell r="AT57">
            <v>36526</v>
          </cell>
          <cell r="AU57">
            <v>0</v>
          </cell>
          <cell r="AV57">
            <v>0</v>
          </cell>
          <cell r="AW57">
            <v>36526</v>
          </cell>
          <cell r="AX57">
            <v>36526</v>
          </cell>
          <cell r="AY57">
            <v>36526</v>
          </cell>
          <cell r="AZ57">
            <v>36526</v>
          </cell>
          <cell r="BA57">
            <v>36526</v>
          </cell>
          <cell r="BB57">
            <v>36526</v>
          </cell>
          <cell r="BC57">
            <v>36526</v>
          </cell>
          <cell r="BD57">
            <v>36526</v>
          </cell>
          <cell r="BE57">
            <v>36526</v>
          </cell>
        </row>
        <row r="58">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25</v>
          </cell>
          <cell r="AA58">
            <v>0</v>
          </cell>
          <cell r="AB58">
            <v>0</v>
          </cell>
          <cell r="AC58">
            <v>20.625360943816517</v>
          </cell>
          <cell r="AD58">
            <v>0</v>
          </cell>
          <cell r="AE58">
            <v>0</v>
          </cell>
          <cell r="AF58">
            <v>0</v>
          </cell>
          <cell r="AG58">
            <v>0</v>
          </cell>
          <cell r="AH58">
            <v>0</v>
          </cell>
          <cell r="AI58">
            <v>0</v>
          </cell>
          <cell r="AJ58">
            <v>0</v>
          </cell>
          <cell r="AK58">
            <v>0</v>
          </cell>
          <cell r="AL58">
            <v>36.536741690266801</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row>
        <row r="60">
          <cell r="AJ60" t="str">
            <v>See p.79</v>
          </cell>
          <cell r="AS60">
            <v>201.66200000000001</v>
          </cell>
        </row>
        <row r="61">
          <cell r="V61">
            <v>37346</v>
          </cell>
          <cell r="AJ61" t="str">
            <v>PF BS as of 9/30/01</v>
          </cell>
        </row>
        <row r="62">
          <cell r="H62">
            <v>0</v>
          </cell>
          <cell r="I62">
            <v>0</v>
          </cell>
          <cell r="J62">
            <v>0</v>
          </cell>
          <cell r="K62">
            <v>0</v>
          </cell>
          <cell r="L62">
            <v>0</v>
          </cell>
          <cell r="M62">
            <v>0</v>
          </cell>
          <cell r="N62">
            <v>0</v>
          </cell>
          <cell r="O62">
            <v>0</v>
          </cell>
          <cell r="P62">
            <v>143.34299999999999</v>
          </cell>
          <cell r="Q62">
            <v>0</v>
          </cell>
          <cell r="R62">
            <v>0</v>
          </cell>
          <cell r="S62">
            <v>0</v>
          </cell>
          <cell r="T62">
            <v>0</v>
          </cell>
          <cell r="U62">
            <v>20.766999999999999</v>
          </cell>
          <cell r="V62">
            <v>42.912999999999997</v>
          </cell>
          <cell r="W62">
            <v>572.90300000000002</v>
          </cell>
          <cell r="X62">
            <v>70.257999999999996</v>
          </cell>
          <cell r="Y62">
            <v>91.347999999999999</v>
          </cell>
          <cell r="Z62">
            <v>60.804000000000002</v>
          </cell>
          <cell r="AA62">
            <v>94.298000000000002</v>
          </cell>
          <cell r="AB62">
            <v>463.815</v>
          </cell>
          <cell r="AC62">
            <v>0.68799999999999994</v>
          </cell>
          <cell r="AD62">
            <v>0</v>
          </cell>
          <cell r="AE62">
            <v>40.206000000000003</v>
          </cell>
          <cell r="AF62">
            <v>93.421000000000006</v>
          </cell>
          <cell r="AG62">
            <v>24.074999999999999</v>
          </cell>
          <cell r="AH62">
            <v>0</v>
          </cell>
          <cell r="AI62">
            <v>0</v>
          </cell>
          <cell r="AJ62">
            <v>58.841999999999999</v>
          </cell>
          <cell r="AK62">
            <v>45.2</v>
          </cell>
          <cell r="AL62">
            <v>385.5</v>
          </cell>
          <cell r="AM62">
            <v>33.501829999999998</v>
          </cell>
          <cell r="AN62">
            <v>3.6070000000000002</v>
          </cell>
          <cell r="AO62">
            <v>0</v>
          </cell>
          <cell r="AR62">
            <v>132.43700000000001</v>
          </cell>
          <cell r="AS62">
            <v>24.074999999999999</v>
          </cell>
          <cell r="AT62">
            <v>14.052</v>
          </cell>
          <cell r="AU62">
            <v>869.2</v>
          </cell>
          <cell r="AV62">
            <v>703.32700000000011</v>
          </cell>
          <cell r="AW62">
            <v>0</v>
          </cell>
          <cell r="AX62">
            <v>0</v>
          </cell>
          <cell r="AY62">
            <v>0</v>
          </cell>
          <cell r="AZ62">
            <v>0</v>
          </cell>
          <cell r="BA62">
            <v>0</v>
          </cell>
          <cell r="BB62">
            <v>0</v>
          </cell>
          <cell r="BC62">
            <v>0</v>
          </cell>
          <cell r="BD62">
            <v>0</v>
          </cell>
          <cell r="BE62">
            <v>0</v>
          </cell>
        </row>
        <row r="63">
          <cell r="H63">
            <v>0</v>
          </cell>
          <cell r="I63">
            <v>0</v>
          </cell>
          <cell r="J63">
            <v>0</v>
          </cell>
          <cell r="K63">
            <v>0</v>
          </cell>
          <cell r="L63">
            <v>0</v>
          </cell>
          <cell r="M63">
            <v>0</v>
          </cell>
          <cell r="N63">
            <v>0</v>
          </cell>
          <cell r="O63">
            <v>0</v>
          </cell>
          <cell r="P63">
            <v>284.63099999999997</v>
          </cell>
          <cell r="Q63">
            <v>0</v>
          </cell>
          <cell r="R63">
            <v>0</v>
          </cell>
          <cell r="S63">
            <v>0</v>
          </cell>
          <cell r="T63">
            <v>0</v>
          </cell>
          <cell r="U63">
            <v>16.481999999999999</v>
          </cell>
          <cell r="V63">
            <v>335.25299999999999</v>
          </cell>
          <cell r="W63">
            <v>102.568</v>
          </cell>
          <cell r="X63">
            <v>147.79900000000001</v>
          </cell>
          <cell r="Y63">
            <v>138.79300000000001</v>
          </cell>
          <cell r="Z63">
            <v>1620.6289999999999</v>
          </cell>
          <cell r="AA63">
            <v>677.18</v>
          </cell>
          <cell r="AB63">
            <v>2061.3310000000001</v>
          </cell>
          <cell r="AC63">
            <v>364.21499999999997</v>
          </cell>
          <cell r="AD63">
            <v>0</v>
          </cell>
          <cell r="AE63">
            <v>226.47300000000001</v>
          </cell>
          <cell r="AF63">
            <v>356.45299999999997</v>
          </cell>
          <cell r="AG63">
            <v>167.529</v>
          </cell>
          <cell r="AH63">
            <v>0</v>
          </cell>
          <cell r="AI63">
            <v>0</v>
          </cell>
          <cell r="AJ63">
            <v>317.221</v>
          </cell>
          <cell r="AK63">
            <v>0</v>
          </cell>
          <cell r="AL63">
            <v>3604.2</v>
          </cell>
          <cell r="AM63">
            <v>181.45</v>
          </cell>
          <cell r="AN63">
            <v>41.622</v>
          </cell>
          <cell r="AO63">
            <v>0</v>
          </cell>
          <cell r="AR63">
            <v>218.86</v>
          </cell>
          <cell r="AS63">
            <v>167.529</v>
          </cell>
          <cell r="AT63">
            <v>66.616</v>
          </cell>
          <cell r="AU63">
            <v>2536</v>
          </cell>
          <cell r="AV63">
            <v>2770.145</v>
          </cell>
          <cell r="AW63">
            <v>0</v>
          </cell>
          <cell r="AX63">
            <v>0</v>
          </cell>
          <cell r="AY63">
            <v>0</v>
          </cell>
          <cell r="AZ63">
            <v>0</v>
          </cell>
          <cell r="BA63">
            <v>0</v>
          </cell>
          <cell r="BB63">
            <v>0</v>
          </cell>
          <cell r="BC63">
            <v>0</v>
          </cell>
          <cell r="BD63">
            <v>0</v>
          </cell>
          <cell r="BE63">
            <v>0</v>
          </cell>
        </row>
        <row r="64">
          <cell r="H64">
            <v>0</v>
          </cell>
          <cell r="I64">
            <v>0</v>
          </cell>
          <cell r="J64">
            <v>0</v>
          </cell>
          <cell r="K64">
            <v>0</v>
          </cell>
          <cell r="L64">
            <v>0</v>
          </cell>
          <cell r="M64">
            <v>0</v>
          </cell>
          <cell r="N64">
            <v>0</v>
          </cell>
          <cell r="O64">
            <v>0</v>
          </cell>
          <cell r="P64">
            <v>0</v>
          </cell>
          <cell r="Q64">
            <v>0</v>
          </cell>
          <cell r="R64">
            <v>0</v>
          </cell>
          <cell r="S64">
            <v>0</v>
          </cell>
          <cell r="T64">
            <v>0</v>
          </cell>
          <cell r="U64">
            <v>0.29299999999999998</v>
          </cell>
          <cell r="W64">
            <v>13.491</v>
          </cell>
          <cell r="X64">
            <v>0</v>
          </cell>
          <cell r="Y64">
            <v>0</v>
          </cell>
          <cell r="Z64">
            <v>21.030999999999999</v>
          </cell>
          <cell r="AA64">
            <v>4.266</v>
          </cell>
          <cell r="AB64">
            <v>17.831</v>
          </cell>
          <cell r="AC64">
            <v>0</v>
          </cell>
          <cell r="AD64">
            <v>0</v>
          </cell>
          <cell r="AE64">
            <v>41.978000000000002</v>
          </cell>
          <cell r="AF64">
            <v>57.145000000000003</v>
          </cell>
          <cell r="AG64">
            <v>27.484999999999999</v>
          </cell>
          <cell r="AH64">
            <v>0</v>
          </cell>
          <cell r="AI64">
            <v>0</v>
          </cell>
          <cell r="AJ64">
            <v>3.7240000000000002</v>
          </cell>
          <cell r="AK64">
            <v>0</v>
          </cell>
          <cell r="AL64">
            <v>160.69999999999999</v>
          </cell>
          <cell r="AM64">
            <v>0</v>
          </cell>
          <cell r="AN64">
            <v>0</v>
          </cell>
          <cell r="AO64">
            <v>0</v>
          </cell>
          <cell r="AR64">
            <v>12.637</v>
          </cell>
          <cell r="AS64">
            <v>27.484999999999999</v>
          </cell>
          <cell r="AT64">
            <v>7.806</v>
          </cell>
          <cell r="AU64">
            <v>870.8</v>
          </cell>
          <cell r="AV64">
            <v>906.09100000000001</v>
          </cell>
          <cell r="AW64">
            <v>0</v>
          </cell>
          <cell r="AX64">
            <v>0</v>
          </cell>
          <cell r="AY64">
            <v>0</v>
          </cell>
          <cell r="AZ64">
            <v>0</v>
          </cell>
          <cell r="BA64">
            <v>0</v>
          </cell>
          <cell r="BB64">
            <v>0</v>
          </cell>
          <cell r="BC64">
            <v>0</v>
          </cell>
          <cell r="BD64">
            <v>0</v>
          </cell>
          <cell r="BE64">
            <v>0</v>
          </cell>
        </row>
        <row r="65">
          <cell r="H65">
            <v>0</v>
          </cell>
          <cell r="I65">
            <v>0</v>
          </cell>
          <cell r="J65">
            <v>0</v>
          </cell>
          <cell r="K65">
            <v>0</v>
          </cell>
          <cell r="L65">
            <v>0</v>
          </cell>
          <cell r="M65">
            <v>0</v>
          </cell>
          <cell r="N65">
            <v>0</v>
          </cell>
          <cell r="O65">
            <v>0</v>
          </cell>
          <cell r="P65">
            <v>206.36099999999999</v>
          </cell>
          <cell r="Q65">
            <v>0</v>
          </cell>
          <cell r="R65">
            <v>0</v>
          </cell>
          <cell r="S65">
            <v>0</v>
          </cell>
          <cell r="T65">
            <v>0</v>
          </cell>
          <cell r="U65">
            <v>10.364000000000001</v>
          </cell>
          <cell r="W65">
            <v>86.736999999999995</v>
          </cell>
          <cell r="X65">
            <v>86.697000000000003</v>
          </cell>
          <cell r="Y65">
            <v>71.028000000000006</v>
          </cell>
          <cell r="Z65">
            <v>2619.4949999999999</v>
          </cell>
          <cell r="AA65">
            <v>1955.385</v>
          </cell>
          <cell r="AB65">
            <v>5295.924</v>
          </cell>
          <cell r="AC65">
            <v>345.50200000000001</v>
          </cell>
          <cell r="AD65">
            <v>0</v>
          </cell>
          <cell r="AE65">
            <v>171.381</v>
          </cell>
          <cell r="AF65">
            <v>293.76400000000001</v>
          </cell>
          <cell r="AG65">
            <v>28.338999999999999</v>
          </cell>
          <cell r="AH65">
            <v>0</v>
          </cell>
          <cell r="AI65">
            <v>0</v>
          </cell>
          <cell r="AJ65">
            <v>81.48</v>
          </cell>
          <cell r="AK65">
            <v>0</v>
          </cell>
          <cell r="AL65">
            <v>6259.3</v>
          </cell>
          <cell r="AM65">
            <v>468.92599999999999</v>
          </cell>
          <cell r="AN65">
            <v>10.763</v>
          </cell>
          <cell r="AO65">
            <v>0</v>
          </cell>
          <cell r="AR65">
            <v>156.03800000000001</v>
          </cell>
          <cell r="AS65">
            <v>28.338999999999999</v>
          </cell>
          <cell r="AT65">
            <v>0</v>
          </cell>
          <cell r="AU65">
            <v>7902</v>
          </cell>
          <cell r="AV65">
            <v>7930.3389999999999</v>
          </cell>
          <cell r="AW65">
            <v>0</v>
          </cell>
          <cell r="AX65">
            <v>0</v>
          </cell>
          <cell r="AY65">
            <v>0</v>
          </cell>
          <cell r="AZ65">
            <v>0</v>
          </cell>
          <cell r="BA65">
            <v>0</v>
          </cell>
          <cell r="BB65">
            <v>0</v>
          </cell>
          <cell r="BC65">
            <v>0</v>
          </cell>
          <cell r="BD65">
            <v>0</v>
          </cell>
          <cell r="BE65">
            <v>0</v>
          </cell>
        </row>
        <row r="66">
          <cell r="H66">
            <v>0</v>
          </cell>
          <cell r="I66">
            <v>0</v>
          </cell>
          <cell r="J66">
            <v>0</v>
          </cell>
          <cell r="K66">
            <v>0</v>
          </cell>
          <cell r="L66">
            <v>0</v>
          </cell>
          <cell r="M66">
            <v>0</v>
          </cell>
          <cell r="N66">
            <v>0</v>
          </cell>
          <cell r="O66">
            <v>0</v>
          </cell>
          <cell r="P66">
            <v>0</v>
          </cell>
          <cell r="Q66">
            <v>0</v>
          </cell>
          <cell r="R66">
            <v>0</v>
          </cell>
          <cell r="S66">
            <v>0</v>
          </cell>
          <cell r="T66">
            <v>0</v>
          </cell>
          <cell r="U66">
            <v>53.353999999999999</v>
          </cell>
          <cell r="W66">
            <v>815.16499999999996</v>
          </cell>
          <cell r="X66">
            <v>348.99099999999999</v>
          </cell>
          <cell r="Y66">
            <v>313.72699999999998</v>
          </cell>
          <cell r="Z66">
            <v>4335.01</v>
          </cell>
          <cell r="AA66">
            <v>2731.1289999999999</v>
          </cell>
          <cell r="AB66">
            <v>7838.9009999999998</v>
          </cell>
          <cell r="AC66">
            <v>727.40599999999995</v>
          </cell>
          <cell r="AD66">
            <v>0</v>
          </cell>
          <cell r="AE66">
            <v>480.49</v>
          </cell>
          <cell r="AF66">
            <v>827.40899999999999</v>
          </cell>
          <cell r="AG66">
            <v>247.428</v>
          </cell>
          <cell r="AH66">
            <v>0</v>
          </cell>
          <cell r="AI66">
            <v>0</v>
          </cell>
          <cell r="AJ66">
            <v>482.88600000000002</v>
          </cell>
          <cell r="AK66">
            <v>0</v>
          </cell>
          <cell r="AL66">
            <v>10409.700000000001</v>
          </cell>
          <cell r="AM66">
            <v>727.31100000000004</v>
          </cell>
          <cell r="AN66">
            <v>67.548000000000002</v>
          </cell>
          <cell r="AO66">
            <v>0</v>
          </cell>
          <cell r="AR66">
            <v>519.97199999999998</v>
          </cell>
          <cell r="AS66">
            <v>247.428</v>
          </cell>
          <cell r="AT66">
            <v>89.408000000000001</v>
          </cell>
          <cell r="AU66">
            <v>12382.6</v>
          </cell>
          <cell r="AV66">
            <v>12719.436</v>
          </cell>
          <cell r="AW66">
            <v>0</v>
          </cell>
          <cell r="AX66">
            <v>0</v>
          </cell>
          <cell r="AY66">
            <v>0</v>
          </cell>
          <cell r="AZ66">
            <v>0</v>
          </cell>
          <cell r="BA66">
            <v>0</v>
          </cell>
          <cell r="BB66">
            <v>0</v>
          </cell>
          <cell r="BC66">
            <v>0</v>
          </cell>
          <cell r="BD66">
            <v>0</v>
          </cell>
          <cell r="BE66">
            <v>0</v>
          </cell>
        </row>
        <row r="67">
          <cell r="H67">
            <v>0</v>
          </cell>
          <cell r="I67">
            <v>0</v>
          </cell>
          <cell r="J67">
            <v>0</v>
          </cell>
          <cell r="K67">
            <v>0</v>
          </cell>
          <cell r="L67">
            <v>0</v>
          </cell>
          <cell r="M67">
            <v>0</v>
          </cell>
          <cell r="N67">
            <v>0</v>
          </cell>
          <cell r="O67">
            <v>0</v>
          </cell>
          <cell r="P67">
            <v>0</v>
          </cell>
          <cell r="Q67">
            <v>0</v>
          </cell>
          <cell r="R67">
            <v>0</v>
          </cell>
          <cell r="S67">
            <v>0</v>
          </cell>
          <cell r="T67">
            <v>0</v>
          </cell>
          <cell r="U67">
            <v>37.055</v>
          </cell>
          <cell r="W67">
            <v>115.32899999999999</v>
          </cell>
          <cell r="X67">
            <v>185.268</v>
          </cell>
          <cell r="Y67">
            <v>11.090999999999999</v>
          </cell>
          <cell r="Z67">
            <v>195.58099999999999</v>
          </cell>
          <cell r="AA67">
            <v>71.009</v>
          </cell>
          <cell r="AB67">
            <v>277.47500000000002</v>
          </cell>
          <cell r="AC67">
            <v>24.536000000000001</v>
          </cell>
          <cell r="AD67">
            <v>0</v>
          </cell>
          <cell r="AE67">
            <v>82.016999999999996</v>
          </cell>
          <cell r="AF67">
            <v>129.49799999999999</v>
          </cell>
          <cell r="AG67">
            <v>180.89599999999999</v>
          </cell>
          <cell r="AH67">
            <v>0</v>
          </cell>
          <cell r="AI67">
            <v>0</v>
          </cell>
          <cell r="AJ67">
            <v>23.617000000000001</v>
          </cell>
          <cell r="AK67">
            <v>0</v>
          </cell>
          <cell r="AL67">
            <v>579.79999999999995</v>
          </cell>
          <cell r="AM67">
            <v>542.04999999999995</v>
          </cell>
          <cell r="AN67">
            <v>6.7640000000000002</v>
          </cell>
          <cell r="AO67">
            <v>0</v>
          </cell>
          <cell r="AR67">
            <v>56.646999999999998</v>
          </cell>
          <cell r="AS67">
            <v>180.89599999999999</v>
          </cell>
          <cell r="AT67">
            <v>10.311</v>
          </cell>
          <cell r="AU67">
            <v>1823.8</v>
          </cell>
          <cell r="AV67">
            <v>2015.0069999999998</v>
          </cell>
          <cell r="AW67">
            <v>0</v>
          </cell>
          <cell r="AX67">
            <v>0</v>
          </cell>
          <cell r="AY67">
            <v>0</v>
          </cell>
          <cell r="AZ67">
            <v>0</v>
          </cell>
          <cell r="BA67">
            <v>0</v>
          </cell>
          <cell r="BB67">
            <v>0</v>
          </cell>
          <cell r="BC67">
            <v>0</v>
          </cell>
          <cell r="BD67">
            <v>0</v>
          </cell>
          <cell r="BE67">
            <v>0</v>
          </cell>
        </row>
        <row r="68">
          <cell r="H68">
            <v>0</v>
          </cell>
          <cell r="I68">
            <v>0</v>
          </cell>
          <cell r="J68">
            <v>0</v>
          </cell>
          <cell r="K68">
            <v>0</v>
          </cell>
          <cell r="L68">
            <v>0</v>
          </cell>
          <cell r="M68">
            <v>0</v>
          </cell>
          <cell r="N68">
            <v>0</v>
          </cell>
          <cell r="O68">
            <v>0</v>
          </cell>
          <cell r="P68">
            <v>0</v>
          </cell>
          <cell r="Q68">
            <v>0</v>
          </cell>
          <cell r="R68">
            <v>0</v>
          </cell>
          <cell r="S68">
            <v>0</v>
          </cell>
          <cell r="T68">
            <v>0</v>
          </cell>
          <cell r="U68">
            <v>10.677</v>
          </cell>
          <cell r="W68">
            <v>1241.213</v>
          </cell>
          <cell r="X68">
            <v>28.251999999999999</v>
          </cell>
          <cell r="Y68">
            <v>83.563000000000002</v>
          </cell>
          <cell r="Z68">
            <v>663.26800000000003</v>
          </cell>
          <cell r="AA68">
            <v>85.805999999999997</v>
          </cell>
          <cell r="AB68">
            <v>2126.1210000000001</v>
          </cell>
          <cell r="AC68">
            <v>198.32400000000001</v>
          </cell>
          <cell r="AD68">
            <v>0</v>
          </cell>
          <cell r="AE68">
            <v>77.122</v>
          </cell>
          <cell r="AF68">
            <v>293.10599999999999</v>
          </cell>
          <cell r="AG68">
            <v>143.16</v>
          </cell>
          <cell r="AH68">
            <v>0</v>
          </cell>
          <cell r="AI68">
            <v>0</v>
          </cell>
          <cell r="AJ68">
            <v>281.48500000000001</v>
          </cell>
          <cell r="AK68">
            <v>0</v>
          </cell>
          <cell r="AL68">
            <v>974.3</v>
          </cell>
          <cell r="AM68">
            <v>127.602</v>
          </cell>
          <cell r="AN68">
            <v>30.233000000000001</v>
          </cell>
          <cell r="AO68">
            <v>0</v>
          </cell>
          <cell r="AR68">
            <v>131.012</v>
          </cell>
          <cell r="AS68">
            <v>143.16</v>
          </cell>
          <cell r="AT68">
            <v>52.091000000000001</v>
          </cell>
          <cell r="AU68">
            <v>1178.3</v>
          </cell>
          <cell r="AV68">
            <v>1373.5509999999999</v>
          </cell>
          <cell r="AW68">
            <v>0</v>
          </cell>
          <cell r="AX68">
            <v>0</v>
          </cell>
          <cell r="AY68">
            <v>0</v>
          </cell>
          <cell r="AZ68">
            <v>0</v>
          </cell>
          <cell r="BA68">
            <v>0</v>
          </cell>
          <cell r="BB68">
            <v>0</v>
          </cell>
          <cell r="BC68">
            <v>0</v>
          </cell>
          <cell r="BD68">
            <v>0</v>
          </cell>
          <cell r="BE68">
            <v>0</v>
          </cell>
        </row>
        <row r="69">
          <cell r="H69">
            <v>0</v>
          </cell>
          <cell r="I69">
            <v>0</v>
          </cell>
          <cell r="J69">
            <v>0</v>
          </cell>
          <cell r="K69">
            <v>0</v>
          </cell>
          <cell r="L69">
            <v>0</v>
          </cell>
          <cell r="M69">
            <v>0</v>
          </cell>
          <cell r="N69">
            <v>0</v>
          </cell>
          <cell r="O69">
            <v>0</v>
          </cell>
          <cell r="P69">
            <v>0</v>
          </cell>
          <cell r="Q69">
            <v>0</v>
          </cell>
          <cell r="R69">
            <v>0</v>
          </cell>
          <cell r="S69">
            <v>0</v>
          </cell>
          <cell r="T69">
            <v>0</v>
          </cell>
          <cell r="U69">
            <v>107.86799999999999</v>
          </cell>
          <cell r="V69">
            <v>924.82899999999995</v>
          </cell>
          <cell r="W69">
            <v>2225.9009999999998</v>
          </cell>
          <cell r="X69">
            <v>922.84900000000005</v>
          </cell>
          <cell r="Y69">
            <v>409.322</v>
          </cell>
          <cell r="Z69">
            <v>5350.3729999999996</v>
          </cell>
          <cell r="AA69">
            <v>2887.944</v>
          </cell>
          <cell r="AB69">
            <v>10600.218999999999</v>
          </cell>
          <cell r="AC69">
            <v>997.43799999999999</v>
          </cell>
          <cell r="AD69">
            <v>0</v>
          </cell>
          <cell r="AE69">
            <v>670.19</v>
          </cell>
          <cell r="AF69">
            <v>1309.519</v>
          </cell>
          <cell r="AG69">
            <v>594.37099999999998</v>
          </cell>
          <cell r="AH69">
            <v>0</v>
          </cell>
          <cell r="AI69">
            <v>0</v>
          </cell>
          <cell r="AJ69">
            <v>793.13599999999997</v>
          </cell>
          <cell r="AK69">
            <v>0</v>
          </cell>
          <cell r="AL69">
            <v>12888.9</v>
          </cell>
          <cell r="AM69">
            <v>1439.8019999999999</v>
          </cell>
          <cell r="AN69">
            <v>105.80200000000001</v>
          </cell>
          <cell r="AO69">
            <v>0</v>
          </cell>
          <cell r="AR69">
            <v>720.822</v>
          </cell>
          <cell r="AS69">
            <v>594.37099999999998</v>
          </cell>
          <cell r="AT69">
            <v>153.495</v>
          </cell>
          <cell r="AU69">
            <v>16256.5</v>
          </cell>
          <cell r="AV69">
            <v>17004.365999999998</v>
          </cell>
          <cell r="AW69">
            <v>0</v>
          </cell>
          <cell r="AX69">
            <v>0</v>
          </cell>
          <cell r="AY69">
            <v>0</v>
          </cell>
          <cell r="AZ69">
            <v>0</v>
          </cell>
          <cell r="BA69">
            <v>0</v>
          </cell>
          <cell r="BB69">
            <v>0</v>
          </cell>
          <cell r="BC69">
            <v>0</v>
          </cell>
          <cell r="BD69">
            <v>0</v>
          </cell>
          <cell r="BE69">
            <v>0</v>
          </cell>
        </row>
        <row r="70">
          <cell r="H70">
            <v>0</v>
          </cell>
          <cell r="I70">
            <v>0</v>
          </cell>
          <cell r="J70">
            <v>0</v>
          </cell>
          <cell r="K70">
            <v>0</v>
          </cell>
          <cell r="L70">
            <v>0</v>
          </cell>
          <cell r="M70">
            <v>0</v>
          </cell>
          <cell r="N70">
            <v>0</v>
          </cell>
          <cell r="O70">
            <v>0</v>
          </cell>
          <cell r="P70">
            <v>0</v>
          </cell>
          <cell r="Q70">
            <v>0</v>
          </cell>
          <cell r="R70">
            <v>0</v>
          </cell>
          <cell r="S70">
            <v>0</v>
          </cell>
          <cell r="T70">
            <v>0</v>
          </cell>
          <cell r="U70">
            <v>5.34</v>
          </cell>
          <cell r="W70">
            <v>22.13</v>
          </cell>
          <cell r="X70">
            <v>44.152000000000001</v>
          </cell>
          <cell r="Y70">
            <v>108.21299999999999</v>
          </cell>
          <cell r="Z70">
            <v>2428.002</v>
          </cell>
          <cell r="AA70">
            <v>1639.876</v>
          </cell>
          <cell r="AB70">
            <v>5076.7669999999998</v>
          </cell>
          <cell r="AC70">
            <v>293.06200000000001</v>
          </cell>
          <cell r="AD70">
            <v>0</v>
          </cell>
          <cell r="AE70">
            <v>148.376</v>
          </cell>
          <cell r="AF70">
            <v>205.71700000000001</v>
          </cell>
          <cell r="AG70">
            <v>65.893000000000001</v>
          </cell>
          <cell r="AH70">
            <v>0</v>
          </cell>
          <cell r="AI70">
            <v>0</v>
          </cell>
          <cell r="AJ70">
            <v>141.47499999999999</v>
          </cell>
          <cell r="AK70">
            <v>0</v>
          </cell>
          <cell r="AL70">
            <v>6249.1</v>
          </cell>
          <cell r="AM70">
            <v>59.509</v>
          </cell>
          <cell r="AN70">
            <v>15.701000000000001</v>
          </cell>
          <cell r="AO70">
            <v>0</v>
          </cell>
          <cell r="AR70">
            <v>112.02500000000001</v>
          </cell>
          <cell r="AS70">
            <v>65.893000000000001</v>
          </cell>
          <cell r="AT70">
            <v>4.5720000000000001</v>
          </cell>
          <cell r="AU70">
            <v>5266.9</v>
          </cell>
          <cell r="AV70">
            <v>5337.3649999999998</v>
          </cell>
          <cell r="AW70">
            <v>0</v>
          </cell>
          <cell r="AX70">
            <v>0</v>
          </cell>
          <cell r="AY70">
            <v>0</v>
          </cell>
          <cell r="AZ70">
            <v>0</v>
          </cell>
          <cell r="BA70">
            <v>0</v>
          </cell>
          <cell r="BB70">
            <v>0</v>
          </cell>
          <cell r="BC70">
            <v>0</v>
          </cell>
          <cell r="BD70">
            <v>0</v>
          </cell>
          <cell r="BE70">
            <v>0</v>
          </cell>
        </row>
        <row r="71">
          <cell r="H71">
            <v>0</v>
          </cell>
          <cell r="I71">
            <v>0</v>
          </cell>
          <cell r="J71">
            <v>0</v>
          </cell>
          <cell r="K71">
            <v>0</v>
          </cell>
          <cell r="L71">
            <v>0</v>
          </cell>
          <cell r="M71">
            <v>0</v>
          </cell>
          <cell r="N71">
            <v>0</v>
          </cell>
          <cell r="O71">
            <v>0</v>
          </cell>
          <cell r="P71">
            <v>0</v>
          </cell>
          <cell r="Q71">
            <v>0</v>
          </cell>
          <cell r="R71">
            <v>0</v>
          </cell>
          <cell r="S71">
            <v>0</v>
          </cell>
          <cell r="T71">
            <v>0</v>
          </cell>
          <cell r="U71">
            <v>13.272</v>
          </cell>
          <cell r="W71">
            <v>143.131</v>
          </cell>
          <cell r="X71">
            <v>123.297</v>
          </cell>
          <cell r="Y71">
            <v>137.387</v>
          </cell>
          <cell r="Z71">
            <v>2818.442</v>
          </cell>
          <cell r="AA71">
            <v>1833.835</v>
          </cell>
          <cell r="AB71">
            <v>5723.3919999999998</v>
          </cell>
          <cell r="AC71">
            <v>362.14100000000002</v>
          </cell>
          <cell r="AD71">
            <v>0</v>
          </cell>
          <cell r="AE71">
            <v>211.059</v>
          </cell>
          <cell r="AF71">
            <v>334.41300000000001</v>
          </cell>
          <cell r="AG71">
            <v>133.71899999999999</v>
          </cell>
          <cell r="AH71">
            <v>0</v>
          </cell>
          <cell r="AI71">
            <v>0</v>
          </cell>
          <cell r="AJ71">
            <v>155.59200000000001</v>
          </cell>
          <cell r="AK71">
            <v>0</v>
          </cell>
          <cell r="AL71">
            <v>7643.8</v>
          </cell>
          <cell r="AM71">
            <v>397.56299999999999</v>
          </cell>
          <cell r="AN71">
            <v>30.297000000000001</v>
          </cell>
          <cell r="AO71">
            <v>0</v>
          </cell>
          <cell r="AR71">
            <v>175.06899999999999</v>
          </cell>
          <cell r="AS71">
            <v>133.71899999999999</v>
          </cell>
          <cell r="AT71">
            <v>47.113999999999997</v>
          </cell>
          <cell r="AU71">
            <v>6770.7</v>
          </cell>
          <cell r="AV71">
            <v>6951.5329999999994</v>
          </cell>
          <cell r="AW71">
            <v>0</v>
          </cell>
          <cell r="AX71">
            <v>0</v>
          </cell>
          <cell r="AY71">
            <v>0</v>
          </cell>
          <cell r="AZ71">
            <v>0</v>
          </cell>
          <cell r="BA71">
            <v>0</v>
          </cell>
          <cell r="BB71">
            <v>0</v>
          </cell>
          <cell r="BC71">
            <v>0</v>
          </cell>
          <cell r="BD71">
            <v>0</v>
          </cell>
          <cell r="BE71">
            <v>0</v>
          </cell>
        </row>
        <row r="72">
          <cell r="H72">
            <v>0</v>
          </cell>
          <cell r="I72">
            <v>0</v>
          </cell>
          <cell r="J72">
            <v>0</v>
          </cell>
          <cell r="K72">
            <v>0</v>
          </cell>
          <cell r="L72">
            <v>0</v>
          </cell>
          <cell r="M72">
            <v>0</v>
          </cell>
          <cell r="N72">
            <v>0</v>
          </cell>
          <cell r="O72">
            <v>0</v>
          </cell>
          <cell r="P72">
            <v>0</v>
          </cell>
          <cell r="Q72">
            <v>0</v>
          </cell>
          <cell r="R72">
            <v>0</v>
          </cell>
          <cell r="S72">
            <v>0</v>
          </cell>
          <cell r="T72">
            <v>0</v>
          </cell>
          <cell r="U72">
            <v>0</v>
          </cell>
          <cell r="W72">
            <v>4.3860000000000001</v>
          </cell>
          <cell r="X72">
            <v>0</v>
          </cell>
          <cell r="Y72">
            <v>0</v>
          </cell>
          <cell r="Z72">
            <v>55.506999999999998</v>
          </cell>
          <cell r="AA72">
            <v>0</v>
          </cell>
          <cell r="AB72">
            <v>30</v>
          </cell>
          <cell r="AC72">
            <v>0</v>
          </cell>
          <cell r="AD72">
            <v>0</v>
          </cell>
          <cell r="AE72">
            <v>0</v>
          </cell>
          <cell r="AF72">
            <v>7.2430000000000003</v>
          </cell>
          <cell r="AG72">
            <v>12.371</v>
          </cell>
          <cell r="AH72">
            <v>0</v>
          </cell>
          <cell r="AI72">
            <v>0</v>
          </cell>
          <cell r="AJ72">
            <v>0</v>
          </cell>
          <cell r="AK72">
            <v>27.8</v>
          </cell>
          <cell r="AL72">
            <v>33.4</v>
          </cell>
          <cell r="AM72">
            <v>270.38200000000001</v>
          </cell>
          <cell r="AN72">
            <v>10.4</v>
          </cell>
          <cell r="AO72">
            <v>0</v>
          </cell>
          <cell r="AR72">
            <v>0</v>
          </cell>
          <cell r="AS72">
            <v>12.371</v>
          </cell>
          <cell r="AT72">
            <v>0</v>
          </cell>
          <cell r="AU72">
            <v>17.2</v>
          </cell>
          <cell r="AV72">
            <v>29.570999999999998</v>
          </cell>
          <cell r="AW72">
            <v>0</v>
          </cell>
          <cell r="AX72">
            <v>0</v>
          </cell>
          <cell r="AY72">
            <v>0</v>
          </cell>
          <cell r="AZ72">
            <v>0</v>
          </cell>
          <cell r="BA72">
            <v>0</v>
          </cell>
          <cell r="BB72">
            <v>0</v>
          </cell>
          <cell r="BC72">
            <v>0</v>
          </cell>
          <cell r="BD72">
            <v>0</v>
          </cell>
          <cell r="BE72">
            <v>0</v>
          </cell>
        </row>
        <row r="73">
          <cell r="H73">
            <v>0</v>
          </cell>
          <cell r="I73">
            <v>0</v>
          </cell>
          <cell r="J73">
            <v>0</v>
          </cell>
          <cell r="K73">
            <v>0</v>
          </cell>
          <cell r="L73">
            <v>0</v>
          </cell>
          <cell r="M73">
            <v>0</v>
          </cell>
          <cell r="N73">
            <v>0</v>
          </cell>
          <cell r="O73">
            <v>0</v>
          </cell>
          <cell r="P73">
            <v>0</v>
          </cell>
          <cell r="Q73">
            <v>0</v>
          </cell>
          <cell r="R73">
            <v>0</v>
          </cell>
          <cell r="S73">
            <v>0</v>
          </cell>
          <cell r="T73">
            <v>0</v>
          </cell>
          <cell r="U73">
            <v>0</v>
          </cell>
          <cell r="W73">
            <v>172.5</v>
          </cell>
          <cell r="X73">
            <v>0</v>
          </cell>
          <cell r="Y73">
            <v>0</v>
          </cell>
          <cell r="Z73">
            <v>0</v>
          </cell>
          <cell r="AA73">
            <v>300</v>
          </cell>
          <cell r="AB73">
            <v>300</v>
          </cell>
          <cell r="AC73">
            <v>0</v>
          </cell>
          <cell r="AD73">
            <v>0</v>
          </cell>
          <cell r="AE73">
            <v>0</v>
          </cell>
          <cell r="AF73">
            <v>0</v>
          </cell>
          <cell r="AG73">
            <v>0</v>
          </cell>
          <cell r="AH73">
            <v>0</v>
          </cell>
          <cell r="AI73">
            <v>0</v>
          </cell>
          <cell r="AJ73">
            <v>0</v>
          </cell>
          <cell r="AK73">
            <v>0</v>
          </cell>
          <cell r="AL73">
            <v>0</v>
          </cell>
          <cell r="AM73">
            <v>0</v>
          </cell>
          <cell r="AN73">
            <v>0</v>
          </cell>
          <cell r="AO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row>
        <row r="74">
          <cell r="H74">
            <v>0</v>
          </cell>
          <cell r="I74">
            <v>0</v>
          </cell>
          <cell r="J74">
            <v>0</v>
          </cell>
          <cell r="K74">
            <v>0</v>
          </cell>
          <cell r="L74">
            <v>0</v>
          </cell>
          <cell r="M74">
            <v>0</v>
          </cell>
          <cell r="N74">
            <v>0</v>
          </cell>
          <cell r="O74">
            <v>0</v>
          </cell>
          <cell r="P74">
            <v>0</v>
          </cell>
          <cell r="Q74">
            <v>0</v>
          </cell>
          <cell r="R74">
            <v>0</v>
          </cell>
          <cell r="S74">
            <v>0</v>
          </cell>
          <cell r="T74">
            <v>0</v>
          </cell>
          <cell r="U74">
            <v>3.028</v>
          </cell>
          <cell r="V74">
            <v>224.68799999999999</v>
          </cell>
          <cell r="W74">
            <v>14.313000000000001</v>
          </cell>
          <cell r="X74">
            <v>332</v>
          </cell>
          <cell r="Y74">
            <v>0</v>
          </cell>
          <cell r="Z74">
            <v>1398.4649999999999</v>
          </cell>
          <cell r="AA74">
            <v>340.93399999999997</v>
          </cell>
          <cell r="AB74">
            <v>1208.8889999999999</v>
          </cell>
          <cell r="AC74">
            <v>242.01499999999999</v>
          </cell>
          <cell r="AD74">
            <v>0</v>
          </cell>
          <cell r="AE74">
            <v>125</v>
          </cell>
          <cell r="AF74">
            <v>241.96799999999999</v>
          </cell>
          <cell r="AG74">
            <v>203.97300000000001</v>
          </cell>
          <cell r="AH74">
            <v>0</v>
          </cell>
          <cell r="AI74">
            <v>0</v>
          </cell>
          <cell r="AJ74">
            <v>227.2</v>
          </cell>
          <cell r="AK74">
            <v>929.7</v>
          </cell>
          <cell r="AL74">
            <v>1293.4000000000001</v>
          </cell>
          <cell r="AM74">
            <v>177.7</v>
          </cell>
          <cell r="AN74">
            <v>0</v>
          </cell>
          <cell r="AO74">
            <v>0</v>
          </cell>
          <cell r="AR74">
            <v>0</v>
          </cell>
          <cell r="AS74">
            <v>203.97300000000001</v>
          </cell>
          <cell r="AT74">
            <v>0</v>
          </cell>
          <cell r="AU74">
            <v>2464</v>
          </cell>
          <cell r="AV74">
            <v>2667.973</v>
          </cell>
          <cell r="AW74">
            <v>0</v>
          </cell>
          <cell r="AX74">
            <v>0</v>
          </cell>
          <cell r="AY74">
            <v>0</v>
          </cell>
          <cell r="AZ74">
            <v>0</v>
          </cell>
          <cell r="BA74">
            <v>0</v>
          </cell>
          <cell r="BB74">
            <v>0</v>
          </cell>
          <cell r="BC74">
            <v>0</v>
          </cell>
          <cell r="BD74">
            <v>0</v>
          </cell>
          <cell r="BE74">
            <v>0</v>
          </cell>
        </row>
        <row r="75">
          <cell r="H75">
            <v>0</v>
          </cell>
          <cell r="I75">
            <v>0</v>
          </cell>
          <cell r="J75">
            <v>0</v>
          </cell>
          <cell r="K75">
            <v>0</v>
          </cell>
          <cell r="L75">
            <v>0</v>
          </cell>
          <cell r="M75">
            <v>0</v>
          </cell>
          <cell r="N75">
            <v>0</v>
          </cell>
          <cell r="O75">
            <v>0</v>
          </cell>
          <cell r="P75">
            <v>0</v>
          </cell>
          <cell r="Q75">
            <v>0</v>
          </cell>
          <cell r="R75">
            <v>0</v>
          </cell>
          <cell r="S75">
            <v>0</v>
          </cell>
          <cell r="T75">
            <v>0</v>
          </cell>
          <cell r="U75">
            <v>0</v>
          </cell>
          <cell r="W75">
            <v>0</v>
          </cell>
          <cell r="X75">
            <v>0</v>
          </cell>
          <cell r="Y75">
            <v>0</v>
          </cell>
          <cell r="Z75">
            <v>300</v>
          </cell>
          <cell r="AA75">
            <v>0</v>
          </cell>
          <cell r="AB75">
            <v>0</v>
          </cell>
          <cell r="AC75">
            <v>132</v>
          </cell>
          <cell r="AD75">
            <v>0</v>
          </cell>
          <cell r="AE75">
            <v>0</v>
          </cell>
          <cell r="AF75">
            <v>0</v>
          </cell>
          <cell r="AG75">
            <v>0</v>
          </cell>
          <cell r="AH75">
            <v>0</v>
          </cell>
          <cell r="AI75">
            <v>0</v>
          </cell>
          <cell r="AJ75">
            <v>0</v>
          </cell>
          <cell r="AK75">
            <v>0</v>
          </cell>
          <cell r="AL75">
            <v>196.1</v>
          </cell>
          <cell r="AM75">
            <v>0</v>
          </cell>
          <cell r="AN75">
            <v>0</v>
          </cell>
          <cell r="AO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row>
        <row r="76">
          <cell r="H76">
            <v>0</v>
          </cell>
          <cell r="I76">
            <v>0</v>
          </cell>
          <cell r="J76">
            <v>0</v>
          </cell>
          <cell r="K76">
            <v>0</v>
          </cell>
          <cell r="L76">
            <v>0</v>
          </cell>
          <cell r="M76">
            <v>0</v>
          </cell>
          <cell r="N76">
            <v>0</v>
          </cell>
          <cell r="O76">
            <v>0</v>
          </cell>
          <cell r="P76">
            <v>0</v>
          </cell>
          <cell r="Q76">
            <v>0</v>
          </cell>
          <cell r="R76">
            <v>0</v>
          </cell>
          <cell r="S76">
            <v>0</v>
          </cell>
          <cell r="T76">
            <v>0</v>
          </cell>
          <cell r="U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row>
        <row r="77">
          <cell r="H77">
            <v>0</v>
          </cell>
          <cell r="I77">
            <v>0</v>
          </cell>
          <cell r="J77">
            <v>0</v>
          </cell>
          <cell r="K77">
            <v>0</v>
          </cell>
          <cell r="L77">
            <v>0</v>
          </cell>
          <cell r="M77">
            <v>0</v>
          </cell>
          <cell r="N77">
            <v>0</v>
          </cell>
          <cell r="O77">
            <v>0</v>
          </cell>
          <cell r="P77">
            <v>0</v>
          </cell>
          <cell r="Q77">
            <v>0</v>
          </cell>
          <cell r="R77">
            <v>0</v>
          </cell>
          <cell r="S77">
            <v>0</v>
          </cell>
          <cell r="T77">
            <v>0</v>
          </cell>
          <cell r="U77">
            <v>0</v>
          </cell>
          <cell r="W77">
            <v>2.4550000000000001</v>
          </cell>
          <cell r="X77">
            <v>45.417000000000002</v>
          </cell>
          <cell r="Y77">
            <v>0</v>
          </cell>
          <cell r="Z77">
            <v>0</v>
          </cell>
          <cell r="AA77">
            <v>0</v>
          </cell>
          <cell r="AB77">
            <v>0</v>
          </cell>
          <cell r="AC77">
            <v>0</v>
          </cell>
          <cell r="AD77">
            <v>0</v>
          </cell>
          <cell r="AE77">
            <v>0</v>
          </cell>
          <cell r="AF77">
            <v>7.5389999999999997</v>
          </cell>
          <cell r="AG77">
            <v>0</v>
          </cell>
          <cell r="AH77">
            <v>0</v>
          </cell>
          <cell r="AI77">
            <v>0</v>
          </cell>
          <cell r="AJ77">
            <v>1.321</v>
          </cell>
          <cell r="AK77">
            <v>0</v>
          </cell>
          <cell r="AL77">
            <v>0</v>
          </cell>
          <cell r="AM77">
            <v>0</v>
          </cell>
          <cell r="AN77">
            <v>0</v>
          </cell>
          <cell r="AO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row>
        <row r="78">
          <cell r="H78">
            <v>0</v>
          </cell>
          <cell r="I78">
            <v>0</v>
          </cell>
          <cell r="J78">
            <v>0</v>
          </cell>
          <cell r="K78">
            <v>0</v>
          </cell>
          <cell r="L78">
            <v>0</v>
          </cell>
          <cell r="M78">
            <v>0</v>
          </cell>
          <cell r="N78">
            <v>0</v>
          </cell>
          <cell r="O78">
            <v>0</v>
          </cell>
          <cell r="P78">
            <v>0</v>
          </cell>
          <cell r="Q78">
            <v>0</v>
          </cell>
          <cell r="R78">
            <v>0</v>
          </cell>
          <cell r="S78">
            <v>0</v>
          </cell>
          <cell r="T78">
            <v>0</v>
          </cell>
          <cell r="U78">
            <v>91.567999999999998</v>
          </cell>
          <cell r="V78">
            <v>471.05399999999997</v>
          </cell>
          <cell r="W78">
            <v>1703.2080000000001</v>
          </cell>
          <cell r="X78">
            <v>375.39800000000002</v>
          </cell>
          <cell r="Y78">
            <v>271.21300000000002</v>
          </cell>
          <cell r="Z78">
            <v>809.50900000000001</v>
          </cell>
          <cell r="AA78">
            <v>402.92500000000001</v>
          </cell>
          <cell r="AB78">
            <v>3049.7260000000001</v>
          </cell>
          <cell r="AC78">
            <v>246.459</v>
          </cell>
          <cell r="AD78">
            <v>0</v>
          </cell>
          <cell r="AE78">
            <v>324.77800000000002</v>
          </cell>
          <cell r="AF78">
            <v>707.42499999999995</v>
          </cell>
          <cell r="AG78">
            <v>245.49199999999999</v>
          </cell>
          <cell r="AH78">
            <v>0</v>
          </cell>
          <cell r="AI78">
            <v>0</v>
          </cell>
          <cell r="AJ78">
            <v>404.96600000000001</v>
          </cell>
          <cell r="AK78">
            <v>45.4</v>
          </cell>
          <cell r="AL78">
            <v>3783.1</v>
          </cell>
          <cell r="AM78">
            <v>805.57983000000002</v>
          </cell>
          <cell r="AN78">
            <v>75.504999999999995</v>
          </cell>
          <cell r="AO78">
            <v>0</v>
          </cell>
          <cell r="AR78">
            <v>543.28300000000002</v>
          </cell>
          <cell r="AS78">
            <v>245.49199999999999</v>
          </cell>
          <cell r="AT78">
            <v>103.72</v>
          </cell>
          <cell r="AU78">
            <v>6209</v>
          </cell>
          <cell r="AV78">
            <v>6209</v>
          </cell>
          <cell r="AW78">
            <v>0</v>
          </cell>
          <cell r="AX78">
            <v>0</v>
          </cell>
          <cell r="AY78">
            <v>0</v>
          </cell>
          <cell r="AZ78">
            <v>0</v>
          </cell>
          <cell r="BA78">
            <v>0</v>
          </cell>
          <cell r="BB78">
            <v>0</v>
          </cell>
          <cell r="BC78">
            <v>0</v>
          </cell>
          <cell r="BD78">
            <v>0</v>
          </cell>
          <cell r="BE78">
            <v>0</v>
          </cell>
        </row>
        <row r="80">
          <cell r="Z80" t="str">
            <v>Purchase price</v>
          </cell>
          <cell r="AA80">
            <v>2427.7871613734401</v>
          </cell>
          <cell r="AK80">
            <v>1025.9000000000001</v>
          </cell>
        </row>
        <row r="81">
          <cell r="Z81" t="str">
            <v>Goodwill created</v>
          </cell>
          <cell r="AA81">
            <v>1618.2781613734401</v>
          </cell>
          <cell r="AQ81">
            <v>0.01</v>
          </cell>
        </row>
        <row r="83">
          <cell r="H83">
            <v>0</v>
          </cell>
          <cell r="I83">
            <v>0</v>
          </cell>
          <cell r="J83">
            <v>0</v>
          </cell>
          <cell r="K83">
            <v>0</v>
          </cell>
          <cell r="L83">
            <v>0</v>
          </cell>
          <cell r="M83">
            <v>0</v>
          </cell>
          <cell r="N83">
            <v>0</v>
          </cell>
          <cell r="O83">
            <v>0</v>
          </cell>
          <cell r="P83">
            <v>0</v>
          </cell>
          <cell r="Q83">
            <v>0</v>
          </cell>
          <cell r="R83">
            <v>0</v>
          </cell>
          <cell r="S83">
            <v>0</v>
          </cell>
          <cell r="T83">
            <v>0</v>
          </cell>
          <cell r="U83">
            <v>21.657</v>
          </cell>
          <cell r="V83">
            <v>248.679</v>
          </cell>
          <cell r="W83">
            <v>156.005</v>
          </cell>
          <cell r="X83">
            <v>157.667</v>
          </cell>
          <cell r="Y83">
            <v>266.45699999999999</v>
          </cell>
          <cell r="Z83">
            <v>5476.2640000000001</v>
          </cell>
          <cell r="AA83">
            <v>3518.8519999999999</v>
          </cell>
          <cell r="AB83">
            <v>9918.6090000000004</v>
          </cell>
          <cell r="AC83">
            <v>966.68299999999999</v>
          </cell>
          <cell r="AD83">
            <v>0</v>
          </cell>
          <cell r="AE83">
            <v>455.31200000000001</v>
          </cell>
          <cell r="AF83">
            <v>647.09299999999996</v>
          </cell>
          <cell r="AG83">
            <v>215.48400000000001</v>
          </cell>
          <cell r="AH83">
            <v>178.49700000000001</v>
          </cell>
          <cell r="AI83">
            <v>172.74</v>
          </cell>
          <cell r="AJ83">
            <v>351.23700000000002</v>
          </cell>
          <cell r="AK83">
            <v>809.9</v>
          </cell>
          <cell r="AL83">
            <v>9629</v>
          </cell>
          <cell r="AM83">
            <v>292.33499999999998</v>
          </cell>
          <cell r="AN83">
            <v>93.427999999999997</v>
          </cell>
          <cell r="AO83">
            <v>0</v>
          </cell>
          <cell r="AP83">
            <v>305.11900000000003</v>
          </cell>
          <cell r="AQ83">
            <v>37.41225</v>
          </cell>
          <cell r="AR83">
            <v>357.39400000000001</v>
          </cell>
          <cell r="AS83">
            <v>215.48400000000001</v>
          </cell>
          <cell r="AT83">
            <v>50.173999999999999</v>
          </cell>
          <cell r="AU83">
            <v>11541.3</v>
          </cell>
          <cell r="AV83">
            <v>11806.958000000001</v>
          </cell>
          <cell r="AW83">
            <v>0</v>
          </cell>
          <cell r="AX83">
            <v>0</v>
          </cell>
          <cell r="AY83">
            <v>0</v>
          </cell>
          <cell r="AZ83">
            <v>0</v>
          </cell>
          <cell r="BA83">
            <v>0</v>
          </cell>
          <cell r="BB83">
            <v>0</v>
          </cell>
          <cell r="BC83">
            <v>0</v>
          </cell>
          <cell r="BD83">
            <v>0</v>
          </cell>
          <cell r="BE83">
            <v>0</v>
          </cell>
        </row>
        <row r="84">
          <cell r="H84">
            <v>0</v>
          </cell>
          <cell r="I84">
            <v>0</v>
          </cell>
          <cell r="J84">
            <v>0</v>
          </cell>
          <cell r="K84">
            <v>0</v>
          </cell>
          <cell r="L84">
            <v>0</v>
          </cell>
          <cell r="M84">
            <v>0</v>
          </cell>
          <cell r="N84">
            <v>0</v>
          </cell>
          <cell r="O84">
            <v>0</v>
          </cell>
          <cell r="P84">
            <v>0</v>
          </cell>
          <cell r="Q84">
            <v>0</v>
          </cell>
          <cell r="R84">
            <v>0</v>
          </cell>
          <cell r="S84">
            <v>0</v>
          </cell>
          <cell r="T84">
            <v>0</v>
          </cell>
          <cell r="U84">
            <v>17.899000000000001</v>
          </cell>
          <cell r="V84">
            <v>225.50800000000001</v>
          </cell>
          <cell r="W84">
            <v>141.75</v>
          </cell>
          <cell r="X84">
            <v>148.267</v>
          </cell>
          <cell r="Y84">
            <v>168.346</v>
          </cell>
          <cell r="Z84">
            <v>4805.4430000000002</v>
          </cell>
          <cell r="AA84">
            <v>2921.424</v>
          </cell>
          <cell r="AB84">
            <v>8467.9760000000006</v>
          </cell>
          <cell r="AC84">
            <v>924.50800000000004</v>
          </cell>
          <cell r="AD84">
            <v>0</v>
          </cell>
          <cell r="AE84">
            <v>449.39400000000001</v>
          </cell>
          <cell r="AF84">
            <v>593.89499999999998</v>
          </cell>
          <cell r="AG84">
            <v>181.416</v>
          </cell>
          <cell r="AH84">
            <v>124.28</v>
          </cell>
          <cell r="AI84">
            <v>174.83175</v>
          </cell>
          <cell r="AJ84">
            <v>299.11175000000003</v>
          </cell>
          <cell r="AK84">
            <v>708.8</v>
          </cell>
          <cell r="AL84">
            <v>8002.7</v>
          </cell>
          <cell r="AM84">
            <v>262.61099999999999</v>
          </cell>
          <cell r="AN84">
            <v>62.843999999999994</v>
          </cell>
          <cell r="AO84">
            <v>0</v>
          </cell>
          <cell r="AP84">
            <v>270.04000000000002</v>
          </cell>
          <cell r="AQ84">
            <v>33.266723499999998</v>
          </cell>
          <cell r="AR84">
            <v>326.089</v>
          </cell>
          <cell r="AS84">
            <v>181.416</v>
          </cell>
          <cell r="AT84">
            <v>46.067</v>
          </cell>
          <cell r="AU84">
            <v>10334.200000000001</v>
          </cell>
          <cell r="AV84">
            <v>10561.682999999999</v>
          </cell>
          <cell r="AW84">
            <v>0</v>
          </cell>
          <cell r="AX84">
            <v>0</v>
          </cell>
          <cell r="AY84">
            <v>0</v>
          </cell>
          <cell r="AZ84">
            <v>0</v>
          </cell>
          <cell r="BA84">
            <v>0</v>
          </cell>
          <cell r="BB84">
            <v>0</v>
          </cell>
          <cell r="BC84">
            <v>0</v>
          </cell>
          <cell r="BD84">
            <v>0</v>
          </cell>
          <cell r="BE84">
            <v>0</v>
          </cell>
        </row>
        <row r="85">
          <cell r="H85">
            <v>0</v>
          </cell>
          <cell r="I85">
            <v>0</v>
          </cell>
          <cell r="J85">
            <v>0</v>
          </cell>
          <cell r="K85">
            <v>0</v>
          </cell>
          <cell r="L85">
            <v>0</v>
          </cell>
          <cell r="M85">
            <v>0</v>
          </cell>
          <cell r="N85">
            <v>0</v>
          </cell>
          <cell r="O85">
            <v>0</v>
          </cell>
          <cell r="P85">
            <v>0</v>
          </cell>
          <cell r="Q85">
            <v>0</v>
          </cell>
          <cell r="R85">
            <v>0</v>
          </cell>
          <cell r="S85">
            <v>0</v>
          </cell>
          <cell r="T85">
            <v>0</v>
          </cell>
          <cell r="U85">
            <v>1.7278360343183984E-2</v>
          </cell>
          <cell r="V85">
            <v>0.43128503980766286</v>
          </cell>
          <cell r="W85">
            <v>0.42099100438629095</v>
          </cell>
          <cell r="X85">
            <v>0.3300802249607146</v>
          </cell>
          <cell r="Y85">
            <v>0.21561950471758168</v>
          </cell>
          <cell r="Z85">
            <v>0.31872743830702677</v>
          </cell>
          <cell r="AA85">
            <v>0.29031699628740149</v>
          </cell>
          <cell r="AB85">
            <v>0.84</v>
          </cell>
          <cell r="AC85">
            <v>0.29162740478994892</v>
          </cell>
          <cell r="AD85">
            <v>0</v>
          </cell>
          <cell r="AE85">
            <v>6.0223542610213163E-2</v>
          </cell>
          <cell r="AF85">
            <v>0.44770700492409626</v>
          </cell>
          <cell r="AG85">
            <v>0.40808768517133026</v>
          </cell>
          <cell r="AH85">
            <v>0</v>
          </cell>
          <cell r="AI85">
            <v>0</v>
          </cell>
          <cell r="AJ85">
            <v>0.45888117014543139</v>
          </cell>
          <cell r="AK85">
            <v>0.4525043177892919</v>
          </cell>
          <cell r="AL85">
            <v>0.37332887700534761</v>
          </cell>
          <cell r="AM85">
            <v>0.45</v>
          </cell>
          <cell r="AN85">
            <v>7.0000000000000007E-2</v>
          </cell>
          <cell r="AO85">
            <v>0</v>
          </cell>
          <cell r="AP85">
            <v>0.30981640291161994</v>
          </cell>
          <cell r="AQ85">
            <v>0.15012607013017476</v>
          </cell>
          <cell r="AR85">
            <v>0.36397215097105173</v>
          </cell>
          <cell r="AS85">
            <v>10.909000000000001</v>
          </cell>
          <cell r="AT85">
            <v>1.883</v>
          </cell>
          <cell r="AU85">
            <v>0</v>
          </cell>
          <cell r="AV85">
            <v>0.71137334829321408</v>
          </cell>
          <cell r="AW85">
            <v>0</v>
          </cell>
          <cell r="AX85">
            <v>0</v>
          </cell>
          <cell r="AY85">
            <v>0</v>
          </cell>
          <cell r="AZ85">
            <v>0</v>
          </cell>
          <cell r="BA85">
            <v>0</v>
          </cell>
          <cell r="BB85">
            <v>0</v>
          </cell>
          <cell r="BC85">
            <v>0</v>
          </cell>
          <cell r="BD85">
            <v>0</v>
          </cell>
          <cell r="BE85">
            <v>0</v>
          </cell>
        </row>
        <row r="86">
          <cell r="H86">
            <v>0</v>
          </cell>
          <cell r="I86">
            <v>0</v>
          </cell>
          <cell r="J86">
            <v>0</v>
          </cell>
          <cell r="K86">
            <v>0</v>
          </cell>
          <cell r="L86">
            <v>0</v>
          </cell>
          <cell r="M86">
            <v>0</v>
          </cell>
          <cell r="N86">
            <v>0</v>
          </cell>
          <cell r="O86">
            <v>0</v>
          </cell>
          <cell r="P86">
            <v>0</v>
          </cell>
          <cell r="Q86">
            <v>0</v>
          </cell>
          <cell r="R86">
            <v>0</v>
          </cell>
          <cell r="S86">
            <v>0</v>
          </cell>
          <cell r="T86">
            <v>0</v>
          </cell>
          <cell r="U86">
            <v>-1.5869880152772291E-2</v>
          </cell>
          <cell r="V86">
            <v>0.37235744721740821</v>
          </cell>
          <cell r="W86">
            <v>0.38252283498449885</v>
          </cell>
          <cell r="X86">
            <v>0.32712136578769435</v>
          </cell>
          <cell r="Y86">
            <v>0.19861669236299087</v>
          </cell>
          <cell r="Z86">
            <v>0.19353407875648096</v>
          </cell>
          <cell r="AA86">
            <v>0.24000267823754298</v>
          </cell>
          <cell r="AB86">
            <v>0.86386163431927232</v>
          </cell>
          <cell r="AC86">
            <v>0.25331095131911907</v>
          </cell>
          <cell r="AD86">
            <v>0</v>
          </cell>
          <cell r="AE86">
            <v>-5.3598091495930367E-2</v>
          </cell>
          <cell r="AF86">
            <v>0.36981411950122839</v>
          </cell>
          <cell r="AG86">
            <v>0.41052728681598466</v>
          </cell>
          <cell r="AH86">
            <v>0</v>
          </cell>
          <cell r="AI86">
            <v>0</v>
          </cell>
          <cell r="AJ86">
            <v>0.27767711258448685</v>
          </cell>
          <cell r="AK86">
            <v>0.29782807151007989</v>
          </cell>
          <cell r="AL86">
            <v>0.2348356489325652</v>
          </cell>
          <cell r="AM86">
            <v>0.41</v>
          </cell>
          <cell r="AN86">
            <v>-0.04</v>
          </cell>
          <cell r="AO86">
            <v>0</v>
          </cell>
          <cell r="AP86">
            <v>0.26646511352184482</v>
          </cell>
          <cell r="AQ86">
            <v>0.1235437885176776</v>
          </cell>
          <cell r="AR86">
            <v>0.31</v>
          </cell>
          <cell r="AS86">
            <v>11.1257</v>
          </cell>
          <cell r="AT86">
            <v>1.389</v>
          </cell>
          <cell r="AU86">
            <v>0</v>
          </cell>
          <cell r="AV86">
            <v>0.59019103295155451</v>
          </cell>
          <cell r="AW86">
            <v>0</v>
          </cell>
          <cell r="AX86">
            <v>0</v>
          </cell>
          <cell r="AY86">
            <v>0</v>
          </cell>
          <cell r="AZ86">
            <v>0</v>
          </cell>
          <cell r="BA86">
            <v>0</v>
          </cell>
          <cell r="BB86">
            <v>0</v>
          </cell>
          <cell r="BC86">
            <v>0</v>
          </cell>
          <cell r="BD86">
            <v>0</v>
          </cell>
          <cell r="BE86">
            <v>0</v>
          </cell>
        </row>
        <row r="88">
          <cell r="AK88">
            <v>1000</v>
          </cell>
        </row>
        <row r="90">
          <cell r="H90">
            <v>0</v>
          </cell>
          <cell r="I90">
            <v>0</v>
          </cell>
          <cell r="J90">
            <v>0</v>
          </cell>
          <cell r="K90">
            <v>0</v>
          </cell>
          <cell r="L90">
            <v>0</v>
          </cell>
          <cell r="M90">
            <v>0</v>
          </cell>
          <cell r="N90">
            <v>0</v>
          </cell>
          <cell r="O90">
            <v>0</v>
          </cell>
          <cell r="P90">
            <v>0</v>
          </cell>
          <cell r="Q90">
            <v>0</v>
          </cell>
          <cell r="R90">
            <v>0</v>
          </cell>
          <cell r="S90">
            <v>0</v>
          </cell>
          <cell r="T90">
            <v>0</v>
          </cell>
          <cell r="U90">
            <v>62.274999999999999</v>
          </cell>
          <cell r="W90">
            <v>476.03399999999999</v>
          </cell>
          <cell r="X90">
            <v>488.137</v>
          </cell>
          <cell r="Y90">
            <v>266.45699999999999</v>
          </cell>
          <cell r="Z90">
            <v>15240.338</v>
          </cell>
          <cell r="AA90">
            <v>10306.288</v>
          </cell>
          <cell r="AB90">
            <v>19604.884999999998</v>
          </cell>
          <cell r="AC90">
            <v>966.68299999999999</v>
          </cell>
          <cell r="AD90">
            <v>0</v>
          </cell>
          <cell r="AE90">
            <v>1350.422</v>
          </cell>
          <cell r="AF90">
            <v>647.09299999999996</v>
          </cell>
          <cell r="AG90">
            <v>215.48400000000001</v>
          </cell>
          <cell r="AH90">
            <v>465.33100000000002</v>
          </cell>
          <cell r="AI90">
            <v>518.22</v>
          </cell>
          <cell r="AJ90">
            <v>983.55100000000004</v>
          </cell>
          <cell r="AK90">
            <v>1585.4</v>
          </cell>
          <cell r="AL90">
            <v>27094.2</v>
          </cell>
          <cell r="AM90">
            <v>0</v>
          </cell>
          <cell r="AN90">
            <v>93.427999999999997</v>
          </cell>
          <cell r="AO90">
            <v>0</v>
          </cell>
          <cell r="AP90">
            <v>0</v>
          </cell>
          <cell r="AQ90">
            <v>0</v>
          </cell>
          <cell r="AR90">
            <v>1049.2940000000001</v>
          </cell>
          <cell r="AS90">
            <v>621.09399999999994</v>
          </cell>
          <cell r="AT90">
            <v>161.69800000000001</v>
          </cell>
          <cell r="AU90">
            <v>32628.400000000001</v>
          </cell>
          <cell r="AV90">
            <v>33411.191999999995</v>
          </cell>
          <cell r="AW90">
            <v>0</v>
          </cell>
          <cell r="AX90">
            <v>0</v>
          </cell>
          <cell r="AY90">
            <v>0</v>
          </cell>
          <cell r="AZ90">
            <v>0</v>
          </cell>
          <cell r="BA90">
            <v>0</v>
          </cell>
          <cell r="BB90">
            <v>0</v>
          </cell>
          <cell r="BC90">
            <v>0</v>
          </cell>
          <cell r="BD90">
            <v>0</v>
          </cell>
          <cell r="BE90">
            <v>0</v>
          </cell>
        </row>
        <row r="91">
          <cell r="H91">
            <v>0</v>
          </cell>
          <cell r="I91">
            <v>0</v>
          </cell>
          <cell r="J91">
            <v>0</v>
          </cell>
          <cell r="K91">
            <v>0</v>
          </cell>
          <cell r="L91">
            <v>0</v>
          </cell>
          <cell r="M91">
            <v>0</v>
          </cell>
          <cell r="N91">
            <v>0</v>
          </cell>
          <cell r="O91">
            <v>0</v>
          </cell>
          <cell r="P91">
            <v>0</v>
          </cell>
          <cell r="Q91">
            <v>0</v>
          </cell>
          <cell r="R91">
            <v>0</v>
          </cell>
          <cell r="S91">
            <v>0</v>
          </cell>
          <cell r="T91">
            <v>0</v>
          </cell>
          <cell r="U91">
            <v>53.747999999999998</v>
          </cell>
          <cell r="W91">
            <v>425.25</v>
          </cell>
          <cell r="X91">
            <v>449.28500000000003</v>
          </cell>
          <cell r="Y91">
            <v>168.346</v>
          </cell>
          <cell r="Z91">
            <v>13888.268</v>
          </cell>
          <cell r="AA91">
            <v>8582.2189999999991</v>
          </cell>
          <cell r="AB91">
            <v>16551.510999999999</v>
          </cell>
          <cell r="AC91">
            <v>924.50800000000004</v>
          </cell>
          <cell r="AD91">
            <v>0</v>
          </cell>
          <cell r="AE91">
            <v>1367.192</v>
          </cell>
          <cell r="AF91">
            <v>593.89499999999998</v>
          </cell>
          <cell r="AG91">
            <v>181.416</v>
          </cell>
          <cell r="AH91">
            <v>337.72699999999998</v>
          </cell>
          <cell r="AI91">
            <v>524.49524999999994</v>
          </cell>
          <cell r="AJ91">
            <v>862.22224999999992</v>
          </cell>
          <cell r="AK91">
            <v>1395.8</v>
          </cell>
          <cell r="AL91">
            <v>22885.200000000001</v>
          </cell>
          <cell r="AM91">
            <v>0</v>
          </cell>
          <cell r="AN91">
            <v>62.844000000000001</v>
          </cell>
          <cell r="AO91">
            <v>0</v>
          </cell>
          <cell r="AP91">
            <v>270.04000000000002</v>
          </cell>
          <cell r="AQ91">
            <v>0</v>
          </cell>
          <cell r="AR91">
            <v>965.88300000000004</v>
          </cell>
          <cell r="AS91">
            <v>507.48599999999999</v>
          </cell>
          <cell r="AT91">
            <v>135.73500000000001</v>
          </cell>
          <cell r="AU91">
            <v>28405.8</v>
          </cell>
          <cell r="AV91">
            <v>29049.021000000001</v>
          </cell>
          <cell r="AW91">
            <v>0</v>
          </cell>
          <cell r="AX91">
            <v>0</v>
          </cell>
          <cell r="AY91">
            <v>0</v>
          </cell>
          <cell r="AZ91">
            <v>0</v>
          </cell>
          <cell r="BA91">
            <v>0</v>
          </cell>
          <cell r="BB91">
            <v>0</v>
          </cell>
          <cell r="BC91">
            <v>0</v>
          </cell>
          <cell r="BD91">
            <v>0</v>
          </cell>
          <cell r="BE91">
            <v>0</v>
          </cell>
        </row>
        <row r="92">
          <cell r="H92">
            <v>0</v>
          </cell>
          <cell r="I92">
            <v>0</v>
          </cell>
          <cell r="J92">
            <v>0</v>
          </cell>
          <cell r="K92">
            <v>0</v>
          </cell>
          <cell r="L92">
            <v>0</v>
          </cell>
          <cell r="M92">
            <v>0</v>
          </cell>
          <cell r="N92">
            <v>0</v>
          </cell>
          <cell r="O92">
            <v>0</v>
          </cell>
          <cell r="P92">
            <v>0</v>
          </cell>
          <cell r="Q92">
            <v>0</v>
          </cell>
          <cell r="R92">
            <v>0</v>
          </cell>
          <cell r="S92">
            <v>0</v>
          </cell>
          <cell r="T92">
            <v>0</v>
          </cell>
          <cell r="U92">
            <v>71.149000000000001</v>
          </cell>
          <cell r="V92">
            <v>859.20799999999997</v>
          </cell>
          <cell r="W92">
            <v>567</v>
          </cell>
          <cell r="X92">
            <v>598.23099999999999</v>
          </cell>
          <cell r="Y92">
            <v>805.12</v>
          </cell>
          <cell r="Z92">
            <v>18725.611000000001</v>
          </cell>
          <cell r="AA92">
            <v>11609.995000000001</v>
          </cell>
          <cell r="AB92">
            <v>34599.31</v>
          </cell>
          <cell r="AC92">
            <v>3814.9940000000001</v>
          </cell>
          <cell r="AD92">
            <v>0</v>
          </cell>
          <cell r="AE92">
            <v>1794.932</v>
          </cell>
          <cell r="AF92">
            <v>2558.2429999999999</v>
          </cell>
          <cell r="AG92">
            <v>774.71799999999996</v>
          </cell>
          <cell r="AH92">
            <v>0</v>
          </cell>
          <cell r="AI92">
            <v>0</v>
          </cell>
          <cell r="AJ92">
            <v>1192.922</v>
          </cell>
          <cell r="AK92">
            <v>2880</v>
          </cell>
          <cell r="AL92">
            <v>31280.2</v>
          </cell>
          <cell r="AM92">
            <v>1179.4469999999999</v>
          </cell>
          <cell r="AN92">
            <v>297.92500000000001</v>
          </cell>
          <cell r="AO92">
            <v>0</v>
          </cell>
          <cell r="AP92">
            <v>1156.4549999999999</v>
          </cell>
          <cell r="AQ92">
            <v>149.649</v>
          </cell>
          <cell r="AR92">
            <v>1306.1039999999998</v>
          </cell>
          <cell r="AS92">
            <v>695.178</v>
          </cell>
          <cell r="AT92">
            <v>189.06200000000001</v>
          </cell>
          <cell r="AU92">
            <v>38660.1</v>
          </cell>
          <cell r="AV92">
            <v>39544.339999999997</v>
          </cell>
          <cell r="AW92">
            <v>0</v>
          </cell>
          <cell r="AX92">
            <v>0</v>
          </cell>
          <cell r="AY92">
            <v>0</v>
          </cell>
          <cell r="AZ92">
            <v>0</v>
          </cell>
          <cell r="BA92">
            <v>0</v>
          </cell>
          <cell r="BB92">
            <v>0</v>
          </cell>
          <cell r="BC92">
            <v>0</v>
          </cell>
          <cell r="BD92">
            <v>0</v>
          </cell>
          <cell r="BE92">
            <v>0</v>
          </cell>
        </row>
        <row r="93">
          <cell r="Z93">
            <v>20077.681</v>
          </cell>
          <cell r="AA93">
            <v>13334.064000000004</v>
          </cell>
        </row>
        <row r="94">
          <cell r="AA94" t="str">
            <v>Gross profit margin</v>
          </cell>
          <cell r="AB94">
            <v>0.94488973862334935</v>
          </cell>
          <cell r="AP94" t="str">
            <v>Webster 2 mos. 2002 rev Stub</v>
          </cell>
          <cell r="AR94">
            <v>33.628000000000043</v>
          </cell>
        </row>
        <row r="95">
          <cell r="AP95" t="str">
            <v>Webster 9 mos. 2001 rev Stub</v>
          </cell>
          <cell r="AR95">
            <v>114.54700000000003</v>
          </cell>
        </row>
        <row r="97">
          <cell r="H97">
            <v>0</v>
          </cell>
          <cell r="I97">
            <v>0</v>
          </cell>
          <cell r="J97">
            <v>0</v>
          </cell>
          <cell r="K97">
            <v>0</v>
          </cell>
          <cell r="L97">
            <v>0</v>
          </cell>
          <cell r="M97">
            <v>0</v>
          </cell>
          <cell r="N97">
            <v>0</v>
          </cell>
          <cell r="O97">
            <v>0</v>
          </cell>
          <cell r="P97">
            <v>0</v>
          </cell>
          <cell r="Q97">
            <v>0</v>
          </cell>
          <cell r="R97">
            <v>0</v>
          </cell>
          <cell r="S97">
            <v>0</v>
          </cell>
          <cell r="T97">
            <v>0</v>
          </cell>
          <cell r="U97">
            <v>19.698</v>
          </cell>
          <cell r="W97">
            <v>216.41900000000001</v>
          </cell>
          <cell r="X97">
            <v>216.59299999999999</v>
          </cell>
          <cell r="Y97">
            <v>236.62700000000001</v>
          </cell>
          <cell r="Z97">
            <v>14275.785999999998</v>
          </cell>
          <cell r="AA97">
            <v>9872.7469999999994</v>
          </cell>
          <cell r="AB97">
            <v>18618.958999999999</v>
          </cell>
          <cell r="AC97">
            <v>863.65200000000004</v>
          </cell>
          <cell r="AD97">
            <v>0</v>
          </cell>
          <cell r="AE97">
            <v>1038.3720000000001</v>
          </cell>
          <cell r="AF97">
            <v>468.70299999999997</v>
          </cell>
          <cell r="AG97">
            <v>133.029</v>
          </cell>
          <cell r="AH97">
            <v>391.76600000000002</v>
          </cell>
          <cell r="AI97">
            <v>360.16800000000001</v>
          </cell>
          <cell r="AJ97">
            <v>751.93399999999997</v>
          </cell>
          <cell r="AK97">
            <v>1166.8</v>
          </cell>
          <cell r="AL97">
            <v>25081.3</v>
          </cell>
          <cell r="AM97">
            <v>0</v>
          </cell>
          <cell r="AN97">
            <v>81.884</v>
          </cell>
          <cell r="AO97">
            <v>0</v>
          </cell>
          <cell r="AR97">
            <v>686.7298876000001</v>
          </cell>
          <cell r="AS97">
            <v>384.524</v>
          </cell>
          <cell r="AT97">
            <v>112.71599999999999</v>
          </cell>
          <cell r="AU97">
            <v>29644.7</v>
          </cell>
          <cell r="AV97">
            <v>30141.94</v>
          </cell>
          <cell r="AW97">
            <v>0</v>
          </cell>
          <cell r="AX97">
            <v>0</v>
          </cell>
          <cell r="AY97">
            <v>0</v>
          </cell>
          <cell r="AZ97">
            <v>0</v>
          </cell>
          <cell r="BA97">
            <v>0</v>
          </cell>
          <cell r="BB97">
            <v>0</v>
          </cell>
          <cell r="BC97">
            <v>0</v>
          </cell>
          <cell r="BD97">
            <v>0</v>
          </cell>
          <cell r="BE97">
            <v>0</v>
          </cell>
        </row>
        <row r="98">
          <cell r="H98">
            <v>0</v>
          </cell>
          <cell r="I98">
            <v>0</v>
          </cell>
          <cell r="J98">
            <v>0</v>
          </cell>
          <cell r="K98">
            <v>0</v>
          </cell>
          <cell r="L98">
            <v>0</v>
          </cell>
          <cell r="M98">
            <v>0</v>
          </cell>
          <cell r="N98">
            <v>0</v>
          </cell>
          <cell r="O98">
            <v>0</v>
          </cell>
          <cell r="P98">
            <v>0</v>
          </cell>
          <cell r="Q98">
            <v>0</v>
          </cell>
          <cell r="R98">
            <v>0</v>
          </cell>
          <cell r="S98">
            <v>0</v>
          </cell>
          <cell r="T98">
            <v>0</v>
          </cell>
          <cell r="U98">
            <v>18.738</v>
          </cell>
          <cell r="W98">
            <v>181.52725172831819</v>
          </cell>
          <cell r="X98">
            <v>198.11799999999999</v>
          </cell>
          <cell r="Y98">
            <v>146.73599999999999</v>
          </cell>
          <cell r="Z98">
            <v>12953.74</v>
          </cell>
          <cell r="AA98">
            <v>8201.2559999999994</v>
          </cell>
          <cell r="AB98">
            <v>15629.226999999999</v>
          </cell>
          <cell r="AC98">
            <v>825.625</v>
          </cell>
          <cell r="AD98">
            <v>0</v>
          </cell>
          <cell r="AE98">
            <v>1046.492</v>
          </cell>
          <cell r="AF98">
            <v>434.53800000000001</v>
          </cell>
          <cell r="AG98">
            <v>112.727</v>
          </cell>
          <cell r="AH98">
            <v>289.32</v>
          </cell>
          <cell r="AI98">
            <v>365.86500000000001</v>
          </cell>
          <cell r="AJ98">
            <v>655.18499999999995</v>
          </cell>
          <cell r="AK98">
            <v>1040.5999999999999</v>
          </cell>
          <cell r="AL98">
            <v>21145.200000000001</v>
          </cell>
          <cell r="AM98">
            <v>0</v>
          </cell>
          <cell r="AN98">
            <v>54.695999999999998</v>
          </cell>
          <cell r="AO98">
            <v>0</v>
          </cell>
          <cell r="AP98">
            <v>176.94499999999999</v>
          </cell>
          <cell r="AQ98">
            <v>0</v>
          </cell>
          <cell r="AR98">
            <v>636.44850990000009</v>
          </cell>
          <cell r="AS98">
            <v>320.38800000000003</v>
          </cell>
          <cell r="AT98">
            <v>96.327999999999989</v>
          </cell>
          <cell r="AU98">
            <v>25771.1</v>
          </cell>
          <cell r="AV98">
            <v>26187.815999999999</v>
          </cell>
          <cell r="AW98">
            <v>0</v>
          </cell>
          <cell r="AX98">
            <v>0</v>
          </cell>
          <cell r="AY98">
            <v>0</v>
          </cell>
          <cell r="AZ98">
            <v>0</v>
          </cell>
          <cell r="BA98">
            <v>0</v>
          </cell>
          <cell r="BB98">
            <v>0</v>
          </cell>
          <cell r="BC98">
            <v>0</v>
          </cell>
          <cell r="BD98">
            <v>0</v>
          </cell>
          <cell r="BE98">
            <v>0</v>
          </cell>
        </row>
        <row r="99">
          <cell r="H99">
            <v>0</v>
          </cell>
          <cell r="I99">
            <v>0</v>
          </cell>
          <cell r="J99">
            <v>0</v>
          </cell>
          <cell r="K99">
            <v>0</v>
          </cell>
          <cell r="L99">
            <v>0</v>
          </cell>
          <cell r="M99">
            <v>0</v>
          </cell>
          <cell r="N99">
            <v>0</v>
          </cell>
          <cell r="O99">
            <v>0</v>
          </cell>
          <cell r="P99">
            <v>0</v>
          </cell>
          <cell r="Q99">
            <v>0</v>
          </cell>
          <cell r="R99">
            <v>0</v>
          </cell>
          <cell r="S99">
            <v>0</v>
          </cell>
          <cell r="T99">
            <v>0</v>
          </cell>
          <cell r="U99">
            <v>24.577000000000002</v>
          </cell>
          <cell r="V99">
            <v>311.23200000000003</v>
          </cell>
          <cell r="W99">
            <v>242.03633563775759</v>
          </cell>
          <cell r="X99">
            <v>265.58699999999999</v>
          </cell>
          <cell r="Y99">
            <v>712.971</v>
          </cell>
          <cell r="Z99">
            <v>17486.464</v>
          </cell>
          <cell r="AA99">
            <v>11090.414000000001</v>
          </cell>
          <cell r="AB99">
            <v>32718.568999999996</v>
          </cell>
          <cell r="AC99">
            <v>3406.7579999999998</v>
          </cell>
          <cell r="AD99">
            <v>0</v>
          </cell>
          <cell r="AE99">
            <v>1384.3860000000002</v>
          </cell>
          <cell r="AF99">
            <v>1858.9190000000001</v>
          </cell>
          <cell r="AG99">
            <v>479.73500000000001</v>
          </cell>
          <cell r="AH99">
            <v>0</v>
          </cell>
          <cell r="AI99">
            <v>0</v>
          </cell>
          <cell r="AJ99">
            <v>914.89700000000005</v>
          </cell>
          <cell r="AK99">
            <v>2142.8000000000002</v>
          </cell>
          <cell r="AL99">
            <v>28849.200000000001</v>
          </cell>
          <cell r="AM99">
            <v>613.04200000000003</v>
          </cell>
          <cell r="AN99">
            <v>262.23200000000003</v>
          </cell>
          <cell r="AO99">
            <v>0</v>
          </cell>
          <cell r="AP99">
            <v>747.30100000000004</v>
          </cell>
          <cell r="AQ99">
            <v>110.994</v>
          </cell>
          <cell r="AR99">
            <v>858.29499999999996</v>
          </cell>
          <cell r="AS99">
            <v>435.90100000000001</v>
          </cell>
          <cell r="AT99">
            <v>133.524</v>
          </cell>
          <cell r="AU99">
            <v>35050.199999999997</v>
          </cell>
          <cell r="AV99">
            <v>35619.624999999993</v>
          </cell>
          <cell r="AW99">
            <v>0</v>
          </cell>
          <cell r="AX99">
            <v>0</v>
          </cell>
          <cell r="AY99">
            <v>0</v>
          </cell>
          <cell r="AZ99">
            <v>0</v>
          </cell>
          <cell r="BA99">
            <v>0</v>
          </cell>
          <cell r="BB99">
            <v>0</v>
          </cell>
          <cell r="BC99">
            <v>0</v>
          </cell>
          <cell r="BD99">
            <v>0</v>
          </cell>
          <cell r="BE99">
            <v>0</v>
          </cell>
        </row>
        <row r="100">
          <cell r="Z100">
            <v>18808.509999999998</v>
          </cell>
          <cell r="AA100">
            <v>12761.905000000001</v>
          </cell>
        </row>
        <row r="101">
          <cell r="AA101" t="str">
            <v>SG&amp;A margin</v>
          </cell>
          <cell r="AB101">
            <v>3.5396086017057772E-2</v>
          </cell>
        </row>
        <row r="104">
          <cell r="H104">
            <v>0</v>
          </cell>
          <cell r="I104">
            <v>0</v>
          </cell>
          <cell r="J104">
            <v>0</v>
          </cell>
          <cell r="K104">
            <v>0</v>
          </cell>
          <cell r="L104">
            <v>0</v>
          </cell>
          <cell r="M104">
            <v>0</v>
          </cell>
          <cell r="N104">
            <v>0</v>
          </cell>
          <cell r="O104">
            <v>0</v>
          </cell>
          <cell r="P104">
            <v>0</v>
          </cell>
          <cell r="Q104">
            <v>0</v>
          </cell>
          <cell r="R104">
            <v>0</v>
          </cell>
          <cell r="S104">
            <v>0</v>
          </cell>
          <cell r="T104">
            <v>0</v>
          </cell>
          <cell r="U104">
            <v>31.42</v>
          </cell>
          <cell r="W104">
            <v>132.999</v>
          </cell>
          <cell r="X104">
            <v>150.18799999999999</v>
          </cell>
          <cell r="Y104">
            <v>14.661</v>
          </cell>
          <cell r="Z104">
            <v>700.26400000000001</v>
          </cell>
          <cell r="AA104">
            <v>241.745</v>
          </cell>
          <cell r="AB104">
            <v>602.16800000000001</v>
          </cell>
          <cell r="AC104">
            <v>75.724000000000004</v>
          </cell>
          <cell r="AD104">
            <v>0</v>
          </cell>
          <cell r="AE104">
            <v>290.37700000000001</v>
          </cell>
          <cell r="AF104">
            <v>143.19200000000001</v>
          </cell>
          <cell r="AG104">
            <v>51.006999999999998</v>
          </cell>
          <cell r="AH104">
            <v>31.154</v>
          </cell>
          <cell r="AI104">
            <v>102.20399999999999</v>
          </cell>
          <cell r="AJ104">
            <v>133.358</v>
          </cell>
          <cell r="AK104">
            <v>303.60000000000002</v>
          </cell>
          <cell r="AL104">
            <v>1518.1</v>
          </cell>
          <cell r="AM104">
            <v>0</v>
          </cell>
          <cell r="AN104">
            <v>10.985999999999999</v>
          </cell>
          <cell r="AO104">
            <v>0</v>
          </cell>
          <cell r="AR104">
            <v>256.42146035999997</v>
          </cell>
          <cell r="AS104">
            <v>150.73399999999998</v>
          </cell>
          <cell r="AT104">
            <v>39.524999999999999</v>
          </cell>
          <cell r="AU104">
            <v>1552.4</v>
          </cell>
          <cell r="AV104">
            <v>1742.6590000000001</v>
          </cell>
          <cell r="AW104">
            <v>0</v>
          </cell>
          <cell r="AX104">
            <v>0</v>
          </cell>
          <cell r="AY104">
            <v>0</v>
          </cell>
          <cell r="AZ104">
            <v>0</v>
          </cell>
          <cell r="BA104">
            <v>0</v>
          </cell>
          <cell r="BB104">
            <v>0</v>
          </cell>
          <cell r="BC104">
            <v>0</v>
          </cell>
          <cell r="BD104">
            <v>0</v>
          </cell>
          <cell r="BE104">
            <v>0</v>
          </cell>
        </row>
        <row r="105">
          <cell r="H105">
            <v>0</v>
          </cell>
          <cell r="I105">
            <v>0</v>
          </cell>
          <cell r="J105">
            <v>0</v>
          </cell>
          <cell r="K105">
            <v>0</v>
          </cell>
          <cell r="L105">
            <v>0</v>
          </cell>
          <cell r="M105">
            <v>0</v>
          </cell>
          <cell r="N105">
            <v>0</v>
          </cell>
          <cell r="O105">
            <v>0</v>
          </cell>
          <cell r="P105">
            <v>0</v>
          </cell>
          <cell r="Q105">
            <v>0</v>
          </cell>
          <cell r="R105">
            <v>0</v>
          </cell>
          <cell r="S105">
            <v>0</v>
          </cell>
          <cell r="T105">
            <v>0</v>
          </cell>
          <cell r="U105">
            <v>27.006000000000004</v>
          </cell>
          <cell r="W105">
            <v>156.1768782149995</v>
          </cell>
          <cell r="X105">
            <v>144.71100000000001</v>
          </cell>
          <cell r="Y105">
            <v>8.9809999999999999</v>
          </cell>
          <cell r="Z105">
            <v>717.07899999999995</v>
          </cell>
          <cell r="AA105">
            <v>224.512</v>
          </cell>
          <cell r="AB105">
            <v>597.33799999999997</v>
          </cell>
          <cell r="AC105">
            <v>72.700999999999993</v>
          </cell>
          <cell r="AD105">
            <v>0</v>
          </cell>
          <cell r="AE105">
            <v>325.358</v>
          </cell>
          <cell r="AF105">
            <v>129.94999999999999</v>
          </cell>
          <cell r="AG105">
            <v>39.011000000000003</v>
          </cell>
          <cell r="AH105">
            <v>21.861000000000001</v>
          </cell>
          <cell r="AI105">
            <v>112.542</v>
          </cell>
          <cell r="AJ105">
            <v>134.40299999999999</v>
          </cell>
          <cell r="AK105">
            <v>258.39999999999998</v>
          </cell>
          <cell r="AL105">
            <v>1369.4</v>
          </cell>
          <cell r="AM105">
            <v>0</v>
          </cell>
          <cell r="AN105">
            <v>8.2260000000000009</v>
          </cell>
          <cell r="AO105">
            <v>0</v>
          </cell>
          <cell r="AP105">
            <v>68.897000000000006</v>
          </cell>
          <cell r="AQ105">
            <v>0</v>
          </cell>
          <cell r="AR105">
            <v>238.47122689000003</v>
          </cell>
          <cell r="AS105">
            <v>116.28100000000001</v>
          </cell>
          <cell r="AT105">
            <v>33.345999999999997</v>
          </cell>
          <cell r="AU105">
            <v>1431.9</v>
          </cell>
          <cell r="AV105">
            <v>1581.527</v>
          </cell>
          <cell r="AW105">
            <v>0</v>
          </cell>
          <cell r="AX105">
            <v>0</v>
          </cell>
          <cell r="AY105">
            <v>0</v>
          </cell>
          <cell r="AZ105">
            <v>0</v>
          </cell>
          <cell r="BA105">
            <v>0</v>
          </cell>
          <cell r="BB105">
            <v>0</v>
          </cell>
          <cell r="BC105">
            <v>0</v>
          </cell>
          <cell r="BD105">
            <v>0</v>
          </cell>
          <cell r="BE105">
            <v>0</v>
          </cell>
        </row>
        <row r="106">
          <cell r="H106">
            <v>0</v>
          </cell>
          <cell r="I106">
            <v>0</v>
          </cell>
          <cell r="J106">
            <v>0</v>
          </cell>
          <cell r="K106">
            <v>0</v>
          </cell>
          <cell r="L106">
            <v>0</v>
          </cell>
          <cell r="M106">
            <v>0</v>
          </cell>
          <cell r="N106">
            <v>0</v>
          </cell>
          <cell r="O106">
            <v>0</v>
          </cell>
          <cell r="P106">
            <v>0</v>
          </cell>
          <cell r="Q106">
            <v>0</v>
          </cell>
          <cell r="R106">
            <v>0</v>
          </cell>
          <cell r="S106">
            <v>0</v>
          </cell>
          <cell r="T106">
            <v>0</v>
          </cell>
          <cell r="U106">
            <v>33.099999999999994</v>
          </cell>
          <cell r="V106">
            <v>269.70600000000002</v>
          </cell>
          <cell r="W106">
            <v>208.23583761999933</v>
          </cell>
          <cell r="X106">
            <v>181.56799999999998</v>
          </cell>
          <cell r="Y106">
            <v>48.348999999999997</v>
          </cell>
          <cell r="Z106">
            <v>879.18899999999996</v>
          </cell>
          <cell r="AA106">
            <v>303.03800000000001</v>
          </cell>
          <cell r="AB106">
            <v>1197.5029999999999</v>
          </cell>
          <cell r="AC106">
            <v>296.80700000000002</v>
          </cell>
          <cell r="AD106">
            <v>0</v>
          </cell>
          <cell r="AE106">
            <v>384.77600000000001</v>
          </cell>
          <cell r="AF106">
            <v>544.27799999999991</v>
          </cell>
          <cell r="AG106">
            <v>180.54499999999999</v>
          </cell>
          <cell r="AH106">
            <v>0</v>
          </cell>
          <cell r="AI106">
            <v>0</v>
          </cell>
          <cell r="AJ106">
            <v>172.601</v>
          </cell>
          <cell r="AK106">
            <v>0</v>
          </cell>
          <cell r="AL106">
            <v>2075.5</v>
          </cell>
          <cell r="AM106">
            <v>347.03</v>
          </cell>
          <cell r="AN106">
            <v>34.326999999999998</v>
          </cell>
          <cell r="AO106">
            <v>0</v>
          </cell>
          <cell r="AP106">
            <v>294.03899999999999</v>
          </cell>
          <cell r="AQ106">
            <v>28.146000000000001</v>
          </cell>
          <cell r="AR106">
            <v>322.185</v>
          </cell>
          <cell r="AS106">
            <v>158.08800000000002</v>
          </cell>
          <cell r="AT106">
            <v>46.335999999999999</v>
          </cell>
          <cell r="AU106">
            <v>1999.6</v>
          </cell>
          <cell r="AV106">
            <v>2204.0239999999999</v>
          </cell>
          <cell r="AW106">
            <v>0</v>
          </cell>
          <cell r="AX106">
            <v>0</v>
          </cell>
          <cell r="AY106">
            <v>0</v>
          </cell>
          <cell r="AZ106">
            <v>0</v>
          </cell>
          <cell r="BA106">
            <v>0</v>
          </cell>
          <cell r="BB106">
            <v>0</v>
          </cell>
          <cell r="BC106">
            <v>0</v>
          </cell>
          <cell r="BD106">
            <v>0</v>
          </cell>
          <cell r="BE106">
            <v>0</v>
          </cell>
        </row>
        <row r="107">
          <cell r="Z107">
            <v>862.37400000000002</v>
          </cell>
          <cell r="AA107">
            <v>320.27100000000002</v>
          </cell>
        </row>
        <row r="108">
          <cell r="AB108">
            <v>683.23800000000188</v>
          </cell>
        </row>
        <row r="111">
          <cell r="H111">
            <v>0</v>
          </cell>
          <cell r="I111">
            <v>0</v>
          </cell>
          <cell r="J111">
            <v>0</v>
          </cell>
          <cell r="K111">
            <v>0</v>
          </cell>
          <cell r="L111">
            <v>0</v>
          </cell>
          <cell r="M111">
            <v>0</v>
          </cell>
          <cell r="N111">
            <v>0</v>
          </cell>
          <cell r="O111">
            <v>0</v>
          </cell>
          <cell r="P111">
            <v>0</v>
          </cell>
          <cell r="Q111">
            <v>0</v>
          </cell>
          <cell r="R111">
            <v>0</v>
          </cell>
          <cell r="S111">
            <v>0</v>
          </cell>
          <cell r="T111">
            <v>0</v>
          </cell>
          <cell r="U111">
            <v>11.292999999999999</v>
          </cell>
          <cell r="W111">
            <v>29.094999999999999</v>
          </cell>
          <cell r="X111">
            <v>33.395000000000003</v>
          </cell>
          <cell r="Y111">
            <v>0</v>
          </cell>
          <cell r="Z111">
            <v>0</v>
          </cell>
          <cell r="AA111">
            <v>0</v>
          </cell>
          <cell r="AB111">
            <v>0</v>
          </cell>
          <cell r="AC111">
            <v>0</v>
          </cell>
          <cell r="AD111">
            <v>0</v>
          </cell>
          <cell r="AE111">
            <v>0</v>
          </cell>
          <cell r="AF111">
            <v>0</v>
          </cell>
          <cell r="AG111">
            <v>0</v>
          </cell>
          <cell r="AH111">
            <v>0</v>
          </cell>
          <cell r="AI111">
            <v>0</v>
          </cell>
          <cell r="AJ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row>
        <row r="112">
          <cell r="H112">
            <v>0</v>
          </cell>
          <cell r="I112">
            <v>0</v>
          </cell>
          <cell r="J112">
            <v>0</v>
          </cell>
          <cell r="K112">
            <v>0</v>
          </cell>
          <cell r="L112">
            <v>0</v>
          </cell>
          <cell r="M112">
            <v>0</v>
          </cell>
          <cell r="N112">
            <v>0</v>
          </cell>
          <cell r="O112">
            <v>0</v>
          </cell>
          <cell r="P112">
            <v>0</v>
          </cell>
          <cell r="Q112">
            <v>0</v>
          </cell>
          <cell r="R112">
            <v>0</v>
          </cell>
          <cell r="S112">
            <v>0</v>
          </cell>
          <cell r="T112">
            <v>0</v>
          </cell>
          <cell r="U112">
            <v>8.11</v>
          </cell>
          <cell r="W112">
            <v>31.519609449231673</v>
          </cell>
          <cell r="X112">
            <v>30.375</v>
          </cell>
          <cell r="Y112">
            <v>0</v>
          </cell>
          <cell r="Z112">
            <v>0</v>
          </cell>
          <cell r="AA112">
            <v>0</v>
          </cell>
          <cell r="AB112">
            <v>0</v>
          </cell>
          <cell r="AC112">
            <v>0</v>
          </cell>
          <cell r="AD112">
            <v>0</v>
          </cell>
          <cell r="AE112">
            <v>0</v>
          </cell>
          <cell r="AF112">
            <v>0</v>
          </cell>
          <cell r="AG112">
            <v>0</v>
          </cell>
          <cell r="AH112">
            <v>0</v>
          </cell>
          <cell r="AI112">
            <v>0</v>
          </cell>
          <cell r="AJ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row>
        <row r="113">
          <cell r="H113">
            <v>0</v>
          </cell>
          <cell r="I113">
            <v>0</v>
          </cell>
          <cell r="J113">
            <v>0</v>
          </cell>
          <cell r="K113">
            <v>0</v>
          </cell>
          <cell r="L113">
            <v>0</v>
          </cell>
          <cell r="M113">
            <v>0</v>
          </cell>
          <cell r="N113">
            <v>0</v>
          </cell>
          <cell r="O113">
            <v>0</v>
          </cell>
          <cell r="P113">
            <v>0</v>
          </cell>
          <cell r="Q113">
            <v>0</v>
          </cell>
          <cell r="R113">
            <v>0</v>
          </cell>
          <cell r="S113">
            <v>0</v>
          </cell>
          <cell r="T113">
            <v>0</v>
          </cell>
          <cell r="U113">
            <v>11.116</v>
          </cell>
          <cell r="V113">
            <v>46.601999999999997</v>
          </cell>
          <cell r="W113">
            <v>42.0261459323089</v>
          </cell>
          <cell r="X113">
            <v>39.486000000000004</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147.5</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row>
        <row r="116">
          <cell r="AF116">
            <v>29.406999999999982</v>
          </cell>
        </row>
        <row r="117">
          <cell r="AF117">
            <v>155.04599999999994</v>
          </cell>
        </row>
        <row r="119">
          <cell r="H119">
            <v>0</v>
          </cell>
          <cell r="I119">
            <v>0</v>
          </cell>
          <cell r="J119">
            <v>0</v>
          </cell>
          <cell r="K119">
            <v>0</v>
          </cell>
          <cell r="L119">
            <v>0</v>
          </cell>
          <cell r="M119">
            <v>0</v>
          </cell>
          <cell r="N119">
            <v>0</v>
          </cell>
          <cell r="O119">
            <v>0</v>
          </cell>
          <cell r="P119">
            <v>0</v>
          </cell>
          <cell r="Q119">
            <v>0</v>
          </cell>
          <cell r="R119">
            <v>0</v>
          </cell>
          <cell r="S119">
            <v>0</v>
          </cell>
          <cell r="T119">
            <v>0</v>
          </cell>
          <cell r="U119">
            <v>-0.1359999999999999</v>
          </cell>
          <cell r="W119">
            <v>97.520999999999987</v>
          </cell>
          <cell r="X119">
            <v>87.960999999999999</v>
          </cell>
          <cell r="Y119">
            <v>14.523</v>
          </cell>
          <cell r="Z119">
            <v>264.28800000000001</v>
          </cell>
          <cell r="AA119">
            <v>179.416</v>
          </cell>
          <cell r="AB119">
            <v>354.30900000000003</v>
          </cell>
          <cell r="AC119">
            <v>23.326000000000001</v>
          </cell>
          <cell r="AD119">
            <v>0</v>
          </cell>
          <cell r="AE119">
            <v>25.34</v>
          </cell>
          <cell r="AF119">
            <v>35.198</v>
          </cell>
          <cell r="AG119">
            <v>21.308</v>
          </cell>
          <cell r="AH119">
            <v>36.216000000000001</v>
          </cell>
          <cell r="AI119">
            <v>28.707000000000001</v>
          </cell>
          <cell r="AJ119">
            <v>64.923000000000002</v>
          </cell>
          <cell r="AK119">
            <v>115</v>
          </cell>
          <cell r="AL119">
            <v>552.70000000000005</v>
          </cell>
          <cell r="AM119">
            <v>0</v>
          </cell>
          <cell r="AN119">
            <v>11.609</v>
          </cell>
          <cell r="AO119">
            <v>0</v>
          </cell>
          <cell r="AR119">
            <v>110.62633092</v>
          </cell>
          <cell r="AS119">
            <v>53.835000000000001</v>
          </cell>
          <cell r="AT119">
            <v>9.4570000000000007</v>
          </cell>
          <cell r="AU119">
            <v>1431.3</v>
          </cell>
          <cell r="AV119">
            <v>1494.5920000000001</v>
          </cell>
          <cell r="AW119">
            <v>0</v>
          </cell>
          <cell r="AX119">
            <v>0</v>
          </cell>
          <cell r="AY119">
            <v>0</v>
          </cell>
          <cell r="AZ119">
            <v>0</v>
          </cell>
          <cell r="BA119">
            <v>0</v>
          </cell>
          <cell r="BB119">
            <v>0</v>
          </cell>
          <cell r="BC119">
            <v>0</v>
          </cell>
          <cell r="BD119">
            <v>0</v>
          </cell>
          <cell r="BE119">
            <v>0</v>
          </cell>
        </row>
        <row r="120">
          <cell r="H120">
            <v>0</v>
          </cell>
          <cell r="I120">
            <v>0</v>
          </cell>
          <cell r="J120">
            <v>0</v>
          </cell>
          <cell r="K120">
            <v>0</v>
          </cell>
          <cell r="L120">
            <v>0</v>
          </cell>
          <cell r="M120">
            <v>0</v>
          </cell>
          <cell r="N120">
            <v>0</v>
          </cell>
          <cell r="O120">
            <v>0</v>
          </cell>
          <cell r="P120">
            <v>0</v>
          </cell>
          <cell r="Q120">
            <v>0</v>
          </cell>
          <cell r="R120">
            <v>0</v>
          </cell>
          <cell r="S120">
            <v>0</v>
          </cell>
          <cell r="T120">
            <v>0</v>
          </cell>
          <cell r="U120">
            <v>-0.10600000000000165</v>
          </cell>
          <cell r="W120">
            <v>53.954883522820339</v>
          </cell>
          <cell r="X120">
            <v>76.080999999999989</v>
          </cell>
          <cell r="Y120">
            <v>12.225</v>
          </cell>
          <cell r="Z120">
            <v>217.44900000000001</v>
          </cell>
          <cell r="AA120">
            <v>144.625</v>
          </cell>
          <cell r="AB120">
            <v>294.02499999999998</v>
          </cell>
          <cell r="AC120">
            <v>20.574999999999999</v>
          </cell>
          <cell r="AD120">
            <v>0</v>
          </cell>
          <cell r="AE120">
            <v>34.225999999999999</v>
          </cell>
          <cell r="AF120">
            <v>29.407</v>
          </cell>
          <cell r="AG120">
            <v>21.936999999999998</v>
          </cell>
          <cell r="AH120">
            <v>19.831</v>
          </cell>
          <cell r="AI120">
            <v>26.346000000000004</v>
          </cell>
          <cell r="AJ120">
            <v>46.177000000000007</v>
          </cell>
          <cell r="AK120">
            <v>96.8</v>
          </cell>
          <cell r="AL120">
            <v>410.5</v>
          </cell>
          <cell r="AM120">
            <v>0</v>
          </cell>
          <cell r="AN120">
            <v>9.3010000000000002</v>
          </cell>
          <cell r="AO120">
            <v>0</v>
          </cell>
          <cell r="AP120">
            <v>24.198</v>
          </cell>
          <cell r="AQ120">
            <v>0</v>
          </cell>
          <cell r="AR120">
            <v>96.873057330000009</v>
          </cell>
          <cell r="AS120">
            <v>48.537999999999997</v>
          </cell>
          <cell r="AT120">
            <v>6.46</v>
          </cell>
          <cell r="AU120">
            <v>1203.8</v>
          </cell>
          <cell r="AV120">
            <v>1258.7979999999998</v>
          </cell>
          <cell r="AW120">
            <v>0</v>
          </cell>
          <cell r="AX120">
            <v>0</v>
          </cell>
          <cell r="AY120">
            <v>0</v>
          </cell>
          <cell r="AZ120">
            <v>0</v>
          </cell>
          <cell r="BA120">
            <v>0</v>
          </cell>
          <cell r="BB120">
            <v>0</v>
          </cell>
          <cell r="BC120">
            <v>0</v>
          </cell>
          <cell r="BD120">
            <v>0</v>
          </cell>
          <cell r="BE120">
            <v>0</v>
          </cell>
        </row>
        <row r="121">
          <cell r="H121">
            <v>0</v>
          </cell>
          <cell r="I121">
            <v>0</v>
          </cell>
          <cell r="J121">
            <v>0</v>
          </cell>
          <cell r="K121">
            <v>0</v>
          </cell>
          <cell r="L121">
            <v>0</v>
          </cell>
          <cell r="M121">
            <v>0</v>
          </cell>
          <cell r="N121">
            <v>0</v>
          </cell>
          <cell r="O121">
            <v>0</v>
          </cell>
          <cell r="P121">
            <v>0</v>
          </cell>
          <cell r="Q121">
            <v>0</v>
          </cell>
          <cell r="R121">
            <v>0</v>
          </cell>
          <cell r="S121">
            <v>0</v>
          </cell>
          <cell r="T121">
            <v>0</v>
          </cell>
          <cell r="U121">
            <v>0.8819999999999979</v>
          </cell>
          <cell r="V121">
            <v>231.66800000000001</v>
          </cell>
          <cell r="W121">
            <v>71.93984469709379</v>
          </cell>
          <cell r="X121">
            <v>111.59</v>
          </cell>
          <cell r="Y121">
            <v>45.207000000000001</v>
          </cell>
          <cell r="Z121">
            <v>283.30200000000002</v>
          </cell>
          <cell r="AA121">
            <v>200.434</v>
          </cell>
          <cell r="AB121">
            <v>620.68299999999999</v>
          </cell>
          <cell r="AC121">
            <v>88.96</v>
          </cell>
          <cell r="AD121">
            <v>0</v>
          </cell>
          <cell r="AE121">
            <v>25.77</v>
          </cell>
          <cell r="AF121">
            <v>155.04599999999999</v>
          </cell>
          <cell r="AG121">
            <v>74.876999999999995</v>
          </cell>
          <cell r="AH121">
            <v>0</v>
          </cell>
          <cell r="AI121">
            <v>0</v>
          </cell>
          <cell r="AJ121">
            <v>56.185000000000002</v>
          </cell>
          <cell r="AK121">
            <v>209</v>
          </cell>
          <cell r="AL121">
            <v>576.79999999999995</v>
          </cell>
          <cell r="AM121">
            <v>219.375</v>
          </cell>
          <cell r="AN121">
            <v>-5.774</v>
          </cell>
          <cell r="AO121">
            <v>0</v>
          </cell>
          <cell r="AP121">
            <v>115.11499999999999</v>
          </cell>
          <cell r="AQ121">
            <v>10.509</v>
          </cell>
          <cell r="AR121">
            <v>122.532</v>
          </cell>
          <cell r="AS121">
            <v>68.950999999999993</v>
          </cell>
          <cell r="AT121">
            <v>9.202</v>
          </cell>
          <cell r="AU121">
            <v>1612</v>
          </cell>
          <cell r="AV121">
            <v>1690.153</v>
          </cell>
          <cell r="AW121">
            <v>0</v>
          </cell>
          <cell r="AX121">
            <v>0</v>
          </cell>
          <cell r="AY121">
            <v>0</v>
          </cell>
          <cell r="AZ121">
            <v>0</v>
          </cell>
          <cell r="BA121">
            <v>0</v>
          </cell>
          <cell r="BB121">
            <v>0</v>
          </cell>
          <cell r="BC121">
            <v>0</v>
          </cell>
          <cell r="BD121">
            <v>0</v>
          </cell>
          <cell r="BE121">
            <v>0</v>
          </cell>
        </row>
        <row r="122">
          <cell r="Z122">
            <v>330.14100000000002</v>
          </cell>
          <cell r="AA122">
            <v>235.22499999999999</v>
          </cell>
        </row>
        <row r="123">
          <cell r="AA123" t="str">
            <v>EBIT margin</v>
          </cell>
          <cell r="AB123">
            <v>1.6921175472876377E-2</v>
          </cell>
        </row>
        <row r="126">
          <cell r="H126">
            <v>0</v>
          </cell>
          <cell r="I126">
            <v>0</v>
          </cell>
          <cell r="J126">
            <v>0</v>
          </cell>
          <cell r="K126">
            <v>0</v>
          </cell>
          <cell r="L126">
            <v>0</v>
          </cell>
          <cell r="M126">
            <v>0</v>
          </cell>
          <cell r="N126">
            <v>0</v>
          </cell>
          <cell r="O126">
            <v>0</v>
          </cell>
          <cell r="P126">
            <v>0</v>
          </cell>
          <cell r="Q126">
            <v>0</v>
          </cell>
          <cell r="R126">
            <v>0</v>
          </cell>
          <cell r="S126">
            <v>0</v>
          </cell>
          <cell r="T126">
            <v>0</v>
          </cell>
          <cell r="U126">
            <v>-0.76</v>
          </cell>
          <cell r="W126">
            <v>7.9530000000000003</v>
          </cell>
          <cell r="X126">
            <v>19.346</v>
          </cell>
          <cell r="Y126">
            <v>0</v>
          </cell>
          <cell r="Z126">
            <v>112.25200000000001</v>
          </cell>
          <cell r="AA126">
            <v>20.698333333333334</v>
          </cell>
          <cell r="AB126">
            <v>75.745000000000005</v>
          </cell>
          <cell r="AC126">
            <v>3.367</v>
          </cell>
          <cell r="AD126">
            <v>0</v>
          </cell>
          <cell r="AE126">
            <v>9.7590000000000003</v>
          </cell>
          <cell r="AF126">
            <v>4.8280000000000003</v>
          </cell>
          <cell r="AG126">
            <v>0</v>
          </cell>
          <cell r="AH126">
            <v>0</v>
          </cell>
          <cell r="AI126">
            <v>0.11</v>
          </cell>
          <cell r="AJ126">
            <v>7.6979999999999995</v>
          </cell>
          <cell r="AK126">
            <v>47.4</v>
          </cell>
          <cell r="AL126">
            <v>81.2</v>
          </cell>
          <cell r="AM126">
            <v>0</v>
          </cell>
          <cell r="AN126">
            <v>8.6999999999999994E-2</v>
          </cell>
          <cell r="AO126">
            <v>0</v>
          </cell>
          <cell r="AP126">
            <v>0</v>
          </cell>
          <cell r="AQ126">
            <v>0</v>
          </cell>
          <cell r="AR126">
            <v>8.3000000000000004E-2</v>
          </cell>
          <cell r="AS126">
            <v>5.7580000000000009</v>
          </cell>
          <cell r="AT126">
            <v>0</v>
          </cell>
          <cell r="AU126">
            <v>107</v>
          </cell>
          <cell r="AV126">
            <v>112.758</v>
          </cell>
          <cell r="AW126">
            <v>0</v>
          </cell>
          <cell r="AX126">
            <v>0</v>
          </cell>
          <cell r="AY126">
            <v>0</v>
          </cell>
          <cell r="AZ126">
            <v>0</v>
          </cell>
          <cell r="BA126">
            <v>0</v>
          </cell>
          <cell r="BB126">
            <v>0</v>
          </cell>
          <cell r="BC126">
            <v>0</v>
          </cell>
          <cell r="BD126">
            <v>0</v>
          </cell>
          <cell r="BE126">
            <v>0</v>
          </cell>
        </row>
        <row r="127">
          <cell r="H127">
            <v>0</v>
          </cell>
          <cell r="I127">
            <v>0</v>
          </cell>
          <cell r="J127">
            <v>0</v>
          </cell>
          <cell r="K127">
            <v>0</v>
          </cell>
          <cell r="L127">
            <v>0</v>
          </cell>
          <cell r="M127">
            <v>0</v>
          </cell>
          <cell r="N127">
            <v>0</v>
          </cell>
          <cell r="O127">
            <v>0</v>
          </cell>
          <cell r="P127">
            <v>0</v>
          </cell>
          <cell r="Q127">
            <v>0</v>
          </cell>
          <cell r="R127">
            <v>0</v>
          </cell>
          <cell r="S127">
            <v>0</v>
          </cell>
          <cell r="T127">
            <v>0</v>
          </cell>
          <cell r="U127">
            <v>-0.91200000000000003</v>
          </cell>
          <cell r="W127">
            <v>10.056750000000001</v>
          </cell>
          <cell r="X127">
            <v>20.728999999999999</v>
          </cell>
          <cell r="Y127">
            <v>0</v>
          </cell>
          <cell r="Z127">
            <v>91.204999999999998</v>
          </cell>
          <cell r="AA127">
            <v>31.202999999999999</v>
          </cell>
          <cell r="AB127">
            <v>91.802999999999997</v>
          </cell>
          <cell r="AC127">
            <v>5.032</v>
          </cell>
          <cell r="AD127">
            <v>0</v>
          </cell>
          <cell r="AE127">
            <v>14.395</v>
          </cell>
          <cell r="AF127">
            <v>5.3680000000000003</v>
          </cell>
          <cell r="AG127">
            <v>0</v>
          </cell>
          <cell r="AH127">
            <v>0</v>
          </cell>
          <cell r="AI127">
            <v>5.109</v>
          </cell>
          <cell r="AJ127">
            <v>7.6979999999999995</v>
          </cell>
          <cell r="AK127">
            <v>52.5</v>
          </cell>
          <cell r="AL127">
            <v>84.4</v>
          </cell>
          <cell r="AM127">
            <v>0</v>
          </cell>
          <cell r="AN127">
            <v>4.8000000000000001E-2</v>
          </cell>
          <cell r="AO127">
            <v>0</v>
          </cell>
          <cell r="AP127">
            <v>0</v>
          </cell>
          <cell r="AQ127">
            <v>0</v>
          </cell>
          <cell r="AR127">
            <v>9.8000000000000004E-2</v>
          </cell>
          <cell r="AS127">
            <v>8.14</v>
          </cell>
          <cell r="AT127">
            <v>0</v>
          </cell>
          <cell r="AU127">
            <v>116.9</v>
          </cell>
          <cell r="AV127">
            <v>125.04</v>
          </cell>
          <cell r="AW127">
            <v>0</v>
          </cell>
          <cell r="AX127">
            <v>0</v>
          </cell>
          <cell r="AY127">
            <v>0</v>
          </cell>
          <cell r="AZ127">
            <v>0</v>
          </cell>
          <cell r="BA127">
            <v>0</v>
          </cell>
          <cell r="BB127">
            <v>0</v>
          </cell>
          <cell r="BC127">
            <v>0</v>
          </cell>
          <cell r="BD127">
            <v>0</v>
          </cell>
          <cell r="BE127">
            <v>0</v>
          </cell>
        </row>
        <row r="128">
          <cell r="H128">
            <v>0</v>
          </cell>
          <cell r="I128">
            <v>0</v>
          </cell>
          <cell r="J128">
            <v>0</v>
          </cell>
          <cell r="K128">
            <v>0</v>
          </cell>
          <cell r="L128">
            <v>0</v>
          </cell>
          <cell r="M128">
            <v>0</v>
          </cell>
          <cell r="N128">
            <v>0</v>
          </cell>
          <cell r="O128">
            <v>0</v>
          </cell>
          <cell r="P128">
            <v>0</v>
          </cell>
          <cell r="Q128">
            <v>0</v>
          </cell>
          <cell r="R128">
            <v>0</v>
          </cell>
          <cell r="S128">
            <v>0</v>
          </cell>
          <cell r="T128">
            <v>0</v>
          </cell>
          <cell r="U128">
            <v>-1.3460000000000001</v>
          </cell>
          <cell r="V128">
            <v>1.258</v>
          </cell>
          <cell r="W128">
            <v>13.409000000000002</v>
          </cell>
          <cell r="X128">
            <v>26.922000000000001</v>
          </cell>
          <cell r="Y128">
            <v>0</v>
          </cell>
          <cell r="Z128">
            <v>159.06666666666669</v>
          </cell>
          <cell r="AA128">
            <v>41.856999999999999</v>
          </cell>
          <cell r="AB128">
            <v>200.92366666666669</v>
          </cell>
          <cell r="AC128">
            <v>17.692999999999998</v>
          </cell>
          <cell r="AD128">
            <v>0</v>
          </cell>
          <cell r="AE128">
            <v>19.670000000000002</v>
          </cell>
          <cell r="AF128">
            <v>17.324000000000002</v>
          </cell>
          <cell r="AG128">
            <v>13.374000000000001</v>
          </cell>
          <cell r="AH128">
            <v>0</v>
          </cell>
          <cell r="AI128">
            <v>0</v>
          </cell>
          <cell r="AJ128">
            <v>8.6509999999999998</v>
          </cell>
          <cell r="AK128">
            <v>100.8</v>
          </cell>
          <cell r="AL128">
            <v>111.6</v>
          </cell>
          <cell r="AM128">
            <v>16.542000000000002</v>
          </cell>
          <cell r="AN128">
            <v>0</v>
          </cell>
          <cell r="AO128">
            <v>0</v>
          </cell>
          <cell r="AP128">
            <v>7.0810000000000004</v>
          </cell>
          <cell r="AQ128">
            <v>0.13100000000000001</v>
          </cell>
          <cell r="AR128">
            <v>4.6910000000000007</v>
          </cell>
          <cell r="AS128">
            <v>15.755999999999998</v>
          </cell>
          <cell r="AT128">
            <v>0</v>
          </cell>
          <cell r="AU128">
            <v>154.9</v>
          </cell>
          <cell r="AV128">
            <v>170.65600000000001</v>
          </cell>
          <cell r="AW128">
            <v>0</v>
          </cell>
          <cell r="AX128">
            <v>0</v>
          </cell>
          <cell r="AY128">
            <v>0</v>
          </cell>
          <cell r="AZ128">
            <v>0</v>
          </cell>
          <cell r="BA128">
            <v>0</v>
          </cell>
          <cell r="BB128">
            <v>0</v>
          </cell>
          <cell r="BC128">
            <v>0</v>
          </cell>
          <cell r="BD128">
            <v>0</v>
          </cell>
          <cell r="BE128">
            <v>0</v>
          </cell>
        </row>
        <row r="133">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W133">
            <v>16.024000000000001</v>
          </cell>
          <cell r="X133">
            <v>2.1579999999999999</v>
          </cell>
          <cell r="Y133">
            <v>0.86699999999999999</v>
          </cell>
          <cell r="Z133">
            <v>0</v>
          </cell>
          <cell r="AA133">
            <v>0</v>
          </cell>
          <cell r="AB133">
            <v>0</v>
          </cell>
          <cell r="AC133">
            <v>0</v>
          </cell>
          <cell r="AD133">
            <v>0</v>
          </cell>
          <cell r="AE133">
            <v>0.32600000000000001</v>
          </cell>
          <cell r="AF133">
            <v>2.4390000000000001</v>
          </cell>
          <cell r="AG133">
            <v>0</v>
          </cell>
          <cell r="AH133">
            <v>0.83799999999999997</v>
          </cell>
          <cell r="AI133">
            <v>0</v>
          </cell>
          <cell r="AJ133">
            <v>0.83799999999999997</v>
          </cell>
          <cell r="AL133">
            <v>0</v>
          </cell>
          <cell r="AM133">
            <v>0</v>
          </cell>
          <cell r="AN133">
            <v>0.112</v>
          </cell>
          <cell r="AO133">
            <v>0</v>
          </cell>
          <cell r="AP133">
            <v>0</v>
          </cell>
          <cell r="AQ133">
            <v>0</v>
          </cell>
          <cell r="AR133">
            <v>0</v>
          </cell>
          <cell r="AS133">
            <v>2.2650000000000001</v>
          </cell>
          <cell r="AT133">
            <v>0.22300000000000003</v>
          </cell>
          <cell r="AU133">
            <v>0</v>
          </cell>
          <cell r="AV133">
            <v>2.488</v>
          </cell>
          <cell r="AW133">
            <v>0</v>
          </cell>
          <cell r="AX133">
            <v>0</v>
          </cell>
          <cell r="AY133">
            <v>0</v>
          </cell>
          <cell r="AZ133">
            <v>0</v>
          </cell>
          <cell r="BA133">
            <v>0</v>
          </cell>
          <cell r="BB133">
            <v>0</v>
          </cell>
          <cell r="BC133">
            <v>0</v>
          </cell>
          <cell r="BD133">
            <v>0</v>
          </cell>
          <cell r="BE133">
            <v>0</v>
          </cell>
        </row>
        <row r="134">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W134">
            <v>11.177</v>
          </cell>
          <cell r="X134">
            <v>2.5390000000000001</v>
          </cell>
          <cell r="Y134">
            <v>1.873</v>
          </cell>
          <cell r="Z134">
            <v>0</v>
          </cell>
          <cell r="AA134">
            <v>0</v>
          </cell>
          <cell r="AB134">
            <v>0</v>
          </cell>
          <cell r="AC134">
            <v>0</v>
          </cell>
          <cell r="AD134">
            <v>0</v>
          </cell>
          <cell r="AE134">
            <v>1.8080000000000001</v>
          </cell>
          <cell r="AF134">
            <v>1.2410000000000001</v>
          </cell>
          <cell r="AG134">
            <v>0</v>
          </cell>
          <cell r="AH134">
            <v>2.1259999999999999</v>
          </cell>
          <cell r="AI134">
            <v>0</v>
          </cell>
          <cell r="AJ134">
            <v>2.1259999999999999</v>
          </cell>
          <cell r="AL134">
            <v>0</v>
          </cell>
          <cell r="AM134">
            <v>0</v>
          </cell>
          <cell r="AN134">
            <v>0.05</v>
          </cell>
          <cell r="AO134">
            <v>0</v>
          </cell>
          <cell r="AP134">
            <v>0</v>
          </cell>
          <cell r="AQ134">
            <v>0</v>
          </cell>
          <cell r="AR134">
            <v>0</v>
          </cell>
          <cell r="AS134">
            <v>2.298</v>
          </cell>
          <cell r="AT134">
            <v>1.3530000000000002</v>
          </cell>
          <cell r="AU134">
            <v>0</v>
          </cell>
          <cell r="AV134">
            <v>3.6510000000000002</v>
          </cell>
          <cell r="AW134">
            <v>0</v>
          </cell>
          <cell r="AX134">
            <v>0</v>
          </cell>
          <cell r="AY134">
            <v>0</v>
          </cell>
          <cell r="AZ134">
            <v>0</v>
          </cell>
          <cell r="BA134">
            <v>0</v>
          </cell>
          <cell r="BB134">
            <v>0</v>
          </cell>
          <cell r="BC134">
            <v>0</v>
          </cell>
          <cell r="BD134">
            <v>0</v>
          </cell>
          <cell r="BE134">
            <v>0</v>
          </cell>
        </row>
        <row r="135">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6.2229999999999999</v>
          </cell>
          <cell r="W135">
            <v>14.902666666666667</v>
          </cell>
          <cell r="X135">
            <v>3.4860000000000002</v>
          </cell>
          <cell r="Y135">
            <v>5.9720000000000004</v>
          </cell>
          <cell r="Z135">
            <v>0</v>
          </cell>
          <cell r="AA135">
            <v>0</v>
          </cell>
          <cell r="AB135">
            <v>0</v>
          </cell>
          <cell r="AC135">
            <v>0</v>
          </cell>
          <cell r="AD135">
            <v>0</v>
          </cell>
          <cell r="AE135">
            <v>2.706</v>
          </cell>
          <cell r="AF135">
            <v>10.077999999999999</v>
          </cell>
          <cell r="AG135">
            <v>2.2650000000000001</v>
          </cell>
          <cell r="AH135">
            <v>0</v>
          </cell>
          <cell r="AI135">
            <v>0</v>
          </cell>
          <cell r="AJ135">
            <v>0</v>
          </cell>
          <cell r="AK135">
            <v>0</v>
          </cell>
          <cell r="AL135">
            <v>0</v>
          </cell>
          <cell r="AM135">
            <v>0</v>
          </cell>
          <cell r="AN135">
            <v>0.56799999999999995</v>
          </cell>
          <cell r="AO135">
            <v>0</v>
          </cell>
          <cell r="AP135">
            <v>0</v>
          </cell>
          <cell r="AQ135">
            <v>0</v>
          </cell>
          <cell r="AR135">
            <v>0</v>
          </cell>
          <cell r="AS135">
            <v>2.298</v>
          </cell>
          <cell r="AT135">
            <v>1.542</v>
          </cell>
          <cell r="AU135">
            <v>0</v>
          </cell>
          <cell r="AV135">
            <v>3.84</v>
          </cell>
          <cell r="AW135">
            <v>0</v>
          </cell>
          <cell r="AX135">
            <v>0</v>
          </cell>
          <cell r="AY135">
            <v>0</v>
          </cell>
          <cell r="AZ135">
            <v>0</v>
          </cell>
          <cell r="BA135">
            <v>0</v>
          </cell>
          <cell r="BB135">
            <v>0</v>
          </cell>
          <cell r="BC135">
            <v>0</v>
          </cell>
          <cell r="BD135">
            <v>0</v>
          </cell>
          <cell r="BE135">
            <v>0</v>
          </cell>
        </row>
        <row r="141">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W141">
            <v>0.98</v>
          </cell>
          <cell r="X141">
            <v>0</v>
          </cell>
          <cell r="Y141">
            <v>0</v>
          </cell>
          <cell r="Z141">
            <v>0</v>
          </cell>
          <cell r="AA141">
            <v>0</v>
          </cell>
          <cell r="AB141">
            <v>0</v>
          </cell>
          <cell r="AC141">
            <v>0</v>
          </cell>
          <cell r="AD141">
            <v>0</v>
          </cell>
          <cell r="AE141">
            <v>0</v>
          </cell>
          <cell r="AF141">
            <v>0.56899999999999995</v>
          </cell>
          <cell r="AG141">
            <v>0</v>
          </cell>
          <cell r="AH141">
            <v>0.5796</v>
          </cell>
          <cell r="AI141">
            <v>0</v>
          </cell>
          <cell r="AJ141">
            <v>0.5796</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row>
        <row r="142">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W142">
            <v>0.06</v>
          </cell>
          <cell r="X142">
            <v>0</v>
          </cell>
          <cell r="Y142">
            <v>0</v>
          </cell>
          <cell r="Z142">
            <v>0</v>
          </cell>
          <cell r="AA142">
            <v>0</v>
          </cell>
          <cell r="AB142">
            <v>0</v>
          </cell>
          <cell r="AC142">
            <v>0</v>
          </cell>
          <cell r="AD142">
            <v>0</v>
          </cell>
          <cell r="AE142">
            <v>0</v>
          </cell>
          <cell r="AF142">
            <v>0.53100000000000003</v>
          </cell>
          <cell r="AG142">
            <v>0</v>
          </cell>
          <cell r="AH142">
            <v>0.28559999999999997</v>
          </cell>
          <cell r="AI142">
            <v>0</v>
          </cell>
          <cell r="AJ142">
            <v>0.28559999999999997</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row>
        <row r="143">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1.462</v>
          </cell>
          <cell r="AG143">
            <v>0</v>
          </cell>
          <cell r="AH143">
            <v>0</v>
          </cell>
          <cell r="AI143">
            <v>0</v>
          </cell>
          <cell r="AJ143">
            <v>0.41519999999999996</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row>
        <row r="149">
          <cell r="H149">
            <v>0</v>
          </cell>
          <cell r="I149">
            <v>0</v>
          </cell>
          <cell r="J149">
            <v>0</v>
          </cell>
          <cell r="K149">
            <v>0</v>
          </cell>
          <cell r="L149">
            <v>0</v>
          </cell>
          <cell r="M149">
            <v>0</v>
          </cell>
          <cell r="N149">
            <v>0</v>
          </cell>
          <cell r="O149">
            <v>0</v>
          </cell>
          <cell r="P149">
            <v>0</v>
          </cell>
          <cell r="Q149">
            <v>0</v>
          </cell>
          <cell r="R149">
            <v>0</v>
          </cell>
          <cell r="S149">
            <v>0</v>
          </cell>
          <cell r="T149">
            <v>0</v>
          </cell>
          <cell r="U149">
            <v>-0.82199999999999995</v>
          </cell>
          <cell r="W149">
            <v>72.207999999999998</v>
          </cell>
          <cell r="X149">
            <v>54.305199999999999</v>
          </cell>
          <cell r="Y149">
            <v>9.6189999999999998</v>
          </cell>
          <cell r="Z149">
            <v>0</v>
          </cell>
          <cell r="AA149">
            <v>0</v>
          </cell>
          <cell r="AB149">
            <v>167.09980000000002</v>
          </cell>
          <cell r="AC149">
            <v>11.884399999999999</v>
          </cell>
          <cell r="AD149">
            <v>0</v>
          </cell>
          <cell r="AE149">
            <v>11.396800000000001</v>
          </cell>
          <cell r="AF149">
            <v>19.73</v>
          </cell>
          <cell r="AG149">
            <v>10.909000000000001</v>
          </cell>
          <cell r="AH149">
            <v>22.082000000000001</v>
          </cell>
          <cell r="AI149">
            <v>17.373000000000001</v>
          </cell>
          <cell r="AJ149">
            <v>39.454999999999998</v>
          </cell>
          <cell r="AK149">
            <v>46</v>
          </cell>
          <cell r="AL149">
            <v>301.89999999999998</v>
          </cell>
          <cell r="AM149">
            <v>0</v>
          </cell>
          <cell r="AN149">
            <v>0.85399999999999998</v>
          </cell>
          <cell r="AO149">
            <v>0</v>
          </cell>
          <cell r="AP149">
            <v>0</v>
          </cell>
          <cell r="AQ149">
            <v>0</v>
          </cell>
          <cell r="AS149">
            <v>27.588999999999999</v>
          </cell>
          <cell r="AT149">
            <v>5.6859999999999999</v>
          </cell>
          <cell r="AU149">
            <v>872.6</v>
          </cell>
          <cell r="AV149">
            <v>905.875</v>
          </cell>
          <cell r="AW149">
            <v>0</v>
          </cell>
          <cell r="AX149">
            <v>0</v>
          </cell>
          <cell r="AY149">
            <v>0</v>
          </cell>
          <cell r="AZ149">
            <v>0</v>
          </cell>
          <cell r="BA149">
            <v>0</v>
          </cell>
          <cell r="BB149">
            <v>0</v>
          </cell>
          <cell r="BC149">
            <v>0</v>
          </cell>
          <cell r="BD149">
            <v>0</v>
          </cell>
          <cell r="BE149">
            <v>0</v>
          </cell>
        </row>
        <row r="150">
          <cell r="H150">
            <v>0</v>
          </cell>
          <cell r="I150">
            <v>0</v>
          </cell>
          <cell r="J150">
            <v>0</v>
          </cell>
          <cell r="K150">
            <v>0</v>
          </cell>
          <cell r="L150">
            <v>0</v>
          </cell>
          <cell r="M150">
            <v>0</v>
          </cell>
          <cell r="N150">
            <v>0</v>
          </cell>
          <cell r="O150">
            <v>0</v>
          </cell>
          <cell r="P150">
            <v>0</v>
          </cell>
          <cell r="Q150">
            <v>0</v>
          </cell>
          <cell r="R150">
            <v>0</v>
          </cell>
          <cell r="S150">
            <v>0</v>
          </cell>
          <cell r="T150">
            <v>0</v>
          </cell>
          <cell r="U150">
            <v>-9.4015999999999984</v>
          </cell>
          <cell r="W150">
            <v>15.532500000000001</v>
          </cell>
          <cell r="X150">
            <v>45.239400000000003</v>
          </cell>
          <cell r="Y150">
            <v>8.8580000000000005</v>
          </cell>
          <cell r="Z150">
            <v>0</v>
          </cell>
          <cell r="AA150">
            <v>0</v>
          </cell>
          <cell r="AB150">
            <v>115.86057699999999</v>
          </cell>
          <cell r="AC150">
            <v>10.110399999999998</v>
          </cell>
          <cell r="AD150">
            <v>0</v>
          </cell>
          <cell r="AE150">
            <v>5.8875999999999991</v>
          </cell>
          <cell r="AF150">
            <v>15.956</v>
          </cell>
          <cell r="AG150">
            <v>11.125</v>
          </cell>
          <cell r="AH150">
            <v>13.395</v>
          </cell>
          <cell r="AI150">
            <v>12.120750000000001</v>
          </cell>
          <cell r="AJ150">
            <v>25.515750000000001</v>
          </cell>
          <cell r="AK150">
            <v>28.086200000000002</v>
          </cell>
          <cell r="AL150">
            <v>198.9</v>
          </cell>
          <cell r="AM150">
            <v>0</v>
          </cell>
          <cell r="AN150">
            <v>-0.53300000000000003</v>
          </cell>
          <cell r="AO150">
            <v>0</v>
          </cell>
          <cell r="AP150">
            <v>9.6159999999999997</v>
          </cell>
          <cell r="AQ150">
            <v>2.5602499999999999</v>
          </cell>
          <cell r="AS150">
            <v>24.225000000000001</v>
          </cell>
          <cell r="AT150">
            <v>4.8570000000000002</v>
          </cell>
          <cell r="AU150">
            <v>518.79999999999995</v>
          </cell>
          <cell r="AV150">
            <v>547.88199999999995</v>
          </cell>
          <cell r="AW150">
            <v>0</v>
          </cell>
          <cell r="AX150">
            <v>0</v>
          </cell>
          <cell r="AY150">
            <v>0</v>
          </cell>
          <cell r="AZ150">
            <v>0</v>
          </cell>
          <cell r="BA150">
            <v>0</v>
          </cell>
          <cell r="BB150">
            <v>0</v>
          </cell>
          <cell r="BC150">
            <v>0</v>
          </cell>
          <cell r="BD150">
            <v>0</v>
          </cell>
          <cell r="BE150">
            <v>0</v>
          </cell>
        </row>
        <row r="151">
          <cell r="H151">
            <v>0</v>
          </cell>
          <cell r="I151">
            <v>0</v>
          </cell>
          <cell r="J151">
            <v>0</v>
          </cell>
          <cell r="K151">
            <v>0</v>
          </cell>
          <cell r="L151">
            <v>0</v>
          </cell>
          <cell r="M151">
            <v>0</v>
          </cell>
          <cell r="N151">
            <v>0</v>
          </cell>
          <cell r="O151">
            <v>0</v>
          </cell>
          <cell r="P151">
            <v>0</v>
          </cell>
          <cell r="Q151">
            <v>0</v>
          </cell>
          <cell r="R151">
            <v>0</v>
          </cell>
          <cell r="S151">
            <v>0</v>
          </cell>
          <cell r="T151">
            <v>0</v>
          </cell>
          <cell r="U151">
            <v>-8.9296000000000042</v>
          </cell>
          <cell r="V151">
            <v>177.45399930934306</v>
          </cell>
          <cell r="W151">
            <v>20.71</v>
          </cell>
          <cell r="X151">
            <v>84.511600000000001</v>
          </cell>
          <cell r="Y151">
            <v>31.986000000000001</v>
          </cell>
          <cell r="Z151">
            <v>80.3</v>
          </cell>
          <cell r="AA151">
            <v>98.340199999999996</v>
          </cell>
          <cell r="AB151">
            <v>251.047</v>
          </cell>
          <cell r="AC151">
            <v>34.117000000000004</v>
          </cell>
          <cell r="AD151">
            <v>0</v>
          </cell>
          <cell r="AE151">
            <v>5.2836000000000007</v>
          </cell>
          <cell r="AF151">
            <v>94.669000000000011</v>
          </cell>
          <cell r="AG151">
            <v>37.869</v>
          </cell>
          <cell r="AH151">
            <v>0</v>
          </cell>
          <cell r="AI151">
            <v>0</v>
          </cell>
          <cell r="AJ151">
            <v>28.309000000000001</v>
          </cell>
          <cell r="AK151">
            <v>69.412600000000012</v>
          </cell>
          <cell r="AL151">
            <v>289.2</v>
          </cell>
          <cell r="AM151">
            <v>141.5</v>
          </cell>
          <cell r="AN151">
            <v>-4.4580000000000002</v>
          </cell>
          <cell r="AO151">
            <v>0</v>
          </cell>
          <cell r="AP151">
            <v>76.474999999999994</v>
          </cell>
          <cell r="AQ151">
            <v>10.241</v>
          </cell>
          <cell r="AR151">
            <v>79.626999999999995</v>
          </cell>
          <cell r="AS151">
            <v>34.289000000000001</v>
          </cell>
          <cell r="AT151">
            <v>6.4554</v>
          </cell>
          <cell r="AU151">
            <v>942.7</v>
          </cell>
          <cell r="AV151">
            <v>983.44439999999997</v>
          </cell>
          <cell r="AW151">
            <v>0</v>
          </cell>
          <cell r="AX151">
            <v>0</v>
          </cell>
          <cell r="AY151">
            <v>0</v>
          </cell>
          <cell r="AZ151">
            <v>0</v>
          </cell>
          <cell r="BA151">
            <v>0</v>
          </cell>
          <cell r="BB151">
            <v>0</v>
          </cell>
          <cell r="BC151">
            <v>0</v>
          </cell>
          <cell r="BD151">
            <v>0</v>
          </cell>
          <cell r="BE151">
            <v>0</v>
          </cell>
        </row>
        <row r="152">
          <cell r="Z152">
            <v>80.3</v>
          </cell>
          <cell r="AA152">
            <v>98.340199999999996</v>
          </cell>
        </row>
        <row r="157">
          <cell r="AU157" t="str">
            <v>CAH stand alone</v>
          </cell>
          <cell r="AV157" t="str">
            <v>Pro forma</v>
          </cell>
        </row>
        <row r="158">
          <cell r="H158">
            <v>0</v>
          </cell>
          <cell r="I158">
            <v>0</v>
          </cell>
          <cell r="J158">
            <v>0</v>
          </cell>
          <cell r="K158">
            <v>0</v>
          </cell>
          <cell r="L158">
            <v>0</v>
          </cell>
          <cell r="M158">
            <v>0</v>
          </cell>
          <cell r="N158">
            <v>0</v>
          </cell>
          <cell r="O158">
            <v>0</v>
          </cell>
          <cell r="P158">
            <v>0</v>
          </cell>
          <cell r="Q158">
            <v>0</v>
          </cell>
          <cell r="R158">
            <v>0</v>
          </cell>
          <cell r="S158">
            <v>0</v>
          </cell>
          <cell r="T158">
            <v>0</v>
          </cell>
          <cell r="U158">
            <v>-5.1920161697827177E-2</v>
          </cell>
          <cell r="W158">
            <v>1.3420563526875324</v>
          </cell>
          <cell r="X158">
            <v>1.1336729155358858</v>
          </cell>
          <cell r="Y158">
            <v>0.21561950471758168</v>
          </cell>
          <cell r="Z158">
            <v>0</v>
          </cell>
          <cell r="AA158">
            <v>0</v>
          </cell>
          <cell r="AB158">
            <v>1.4994194341501936</v>
          </cell>
          <cell r="AC158">
            <v>0.29162740478994892</v>
          </cell>
          <cell r="AD158">
            <v>0</v>
          </cell>
          <cell r="AE158">
            <v>0.15865688471872261</v>
          </cell>
          <cell r="AF158">
            <v>0.44770700492409626</v>
          </cell>
          <cell r="AG158">
            <v>0.40808768517133026</v>
          </cell>
          <cell r="AH158">
            <v>0</v>
          </cell>
          <cell r="AI158">
            <v>0</v>
          </cell>
          <cell r="AJ158">
            <v>1.2316604187202145</v>
          </cell>
          <cell r="AK158">
            <v>0.7962543177892919</v>
          </cell>
          <cell r="AL158">
            <v>1.0096989966555185</v>
          </cell>
          <cell r="AM158">
            <v>0</v>
          </cell>
          <cell r="AN158">
            <v>7.0000000000000007E-2</v>
          </cell>
          <cell r="AO158">
            <v>0</v>
          </cell>
          <cell r="AS158">
            <v>0</v>
          </cell>
          <cell r="AT158">
            <v>0</v>
          </cell>
          <cell r="AU158">
            <v>1.8977816441931274</v>
          </cell>
          <cell r="AV158">
            <v>1.9049200553432737</v>
          </cell>
          <cell r="AW158">
            <v>0</v>
          </cell>
          <cell r="AX158">
            <v>0</v>
          </cell>
          <cell r="AY158">
            <v>0</v>
          </cell>
          <cell r="AZ158">
            <v>0</v>
          </cell>
          <cell r="BA158">
            <v>0</v>
          </cell>
          <cell r="BB158">
            <v>0</v>
          </cell>
          <cell r="BC158">
            <v>0</v>
          </cell>
          <cell r="BD158">
            <v>0</v>
          </cell>
          <cell r="BE158">
            <v>0</v>
          </cell>
        </row>
        <row r="159">
          <cell r="H159">
            <v>0</v>
          </cell>
          <cell r="I159">
            <v>0</v>
          </cell>
          <cell r="J159">
            <v>0</v>
          </cell>
          <cell r="K159">
            <v>0</v>
          </cell>
          <cell r="L159">
            <v>0</v>
          </cell>
          <cell r="M159">
            <v>0</v>
          </cell>
          <cell r="N159">
            <v>0</v>
          </cell>
          <cell r="O159">
            <v>0</v>
          </cell>
          <cell r="P159">
            <v>0</v>
          </cell>
          <cell r="Q159">
            <v>0</v>
          </cell>
          <cell r="R159">
            <v>0</v>
          </cell>
          <cell r="S159">
            <v>0</v>
          </cell>
          <cell r="T159">
            <v>0</v>
          </cell>
          <cell r="U159">
            <v>-0.64575863726904315</v>
          </cell>
          <cell r="W159">
            <v>0.28868671474239832</v>
          </cell>
          <cell r="X159">
            <v>0.9604764230058811</v>
          </cell>
          <cell r="Y159">
            <v>0.19861669236299087</v>
          </cell>
          <cell r="Z159">
            <v>0</v>
          </cell>
          <cell r="AA159">
            <v>0</v>
          </cell>
          <cell r="AB159">
            <v>1.1103661353240726</v>
          </cell>
          <cell r="AC159">
            <v>0.25331095131911907</v>
          </cell>
          <cell r="AD159">
            <v>0</v>
          </cell>
          <cell r="AE159">
            <v>8.2608634648033544E-2</v>
          </cell>
          <cell r="AF159">
            <v>0.36981411950122839</v>
          </cell>
          <cell r="AG159">
            <v>0.41050145751079298</v>
          </cell>
          <cell r="AH159">
            <v>0</v>
          </cell>
          <cell r="AI159">
            <v>0</v>
          </cell>
          <cell r="AJ159">
            <v>0.82418229323443903</v>
          </cell>
          <cell r="AK159">
            <v>0.58024625332826174</v>
          </cell>
          <cell r="AL159">
            <v>0.6804652754019842</v>
          </cell>
          <cell r="AM159">
            <v>0</v>
          </cell>
          <cell r="AN159">
            <v>-0.04</v>
          </cell>
          <cell r="AO159">
            <v>0</v>
          </cell>
          <cell r="AP159">
            <v>0.14214968882581636</v>
          </cell>
          <cell r="AQ159">
            <v>0</v>
          </cell>
          <cell r="AS159">
            <v>0</v>
          </cell>
          <cell r="AT159">
            <v>0</v>
          </cell>
          <cell r="AU159">
            <v>1.1429830359109936</v>
          </cell>
          <cell r="AV159">
            <v>1.1665877997386225</v>
          </cell>
          <cell r="AW159">
            <v>0</v>
          </cell>
          <cell r="AX159">
            <v>0</v>
          </cell>
          <cell r="AY159">
            <v>0</v>
          </cell>
          <cell r="AZ159">
            <v>0</v>
          </cell>
          <cell r="BA159">
            <v>0</v>
          </cell>
          <cell r="BB159">
            <v>0</v>
          </cell>
          <cell r="BC159">
            <v>0</v>
          </cell>
          <cell r="BD159">
            <v>0</v>
          </cell>
          <cell r="BE159">
            <v>0</v>
          </cell>
        </row>
        <row r="160">
          <cell r="H160">
            <v>0</v>
          </cell>
          <cell r="I160">
            <v>0</v>
          </cell>
          <cell r="J160">
            <v>0</v>
          </cell>
          <cell r="K160">
            <v>0</v>
          </cell>
          <cell r="L160">
            <v>0</v>
          </cell>
          <cell r="M160">
            <v>0</v>
          </cell>
          <cell r="N160">
            <v>0</v>
          </cell>
          <cell r="O160">
            <v>0</v>
          </cell>
          <cell r="P160">
            <v>0</v>
          </cell>
          <cell r="Q160">
            <v>0</v>
          </cell>
          <cell r="R160">
            <v>0</v>
          </cell>
          <cell r="S160">
            <v>0</v>
          </cell>
          <cell r="T160">
            <v>0</v>
          </cell>
          <cell r="U160">
            <v>-0.60457684495599218</v>
          </cell>
          <cell r="V160">
            <v>1.2918271786108628</v>
          </cell>
          <cell r="W160">
            <v>0.38491561965653109</v>
          </cell>
          <cell r="X160">
            <v>1.7966283296838792</v>
          </cell>
          <cell r="Y160">
            <v>0.71788978378603308</v>
          </cell>
          <cell r="Z160">
            <v>0.78890634591155917</v>
          </cell>
          <cell r="AA160">
            <v>0.96614206523302504</v>
          </cell>
          <cell r="AB160">
            <v>2.37</v>
          </cell>
          <cell r="AC160">
            <v>0.84475202416619222</v>
          </cell>
          <cell r="AD160">
            <v>0</v>
          </cell>
          <cell r="AE160">
            <v>7.409443408265437E-2</v>
          </cell>
          <cell r="AF160">
            <v>2.1740498335055691</v>
          </cell>
          <cell r="AG160">
            <v>1.4010507232971994</v>
          </cell>
          <cell r="AH160">
            <v>0</v>
          </cell>
          <cell r="AI160">
            <v>0</v>
          </cell>
          <cell r="AJ160">
            <v>0.90773236693242798</v>
          </cell>
          <cell r="AK160">
            <v>1.3104134415707005</v>
          </cell>
          <cell r="AL160">
            <v>0.98736770228747017</v>
          </cell>
          <cell r="AM160">
            <v>2.0301291248206601</v>
          </cell>
          <cell r="AN160">
            <v>-0.36523021464853356</v>
          </cell>
          <cell r="AO160">
            <v>0</v>
          </cell>
          <cell r="AP160">
            <v>1.1322249200521142</v>
          </cell>
          <cell r="AQ160">
            <v>0</v>
          </cell>
          <cell r="AR160">
            <v>1.1690426203514748</v>
          </cell>
          <cell r="AS160">
            <v>0</v>
          </cell>
          <cell r="AT160">
            <v>0</v>
          </cell>
          <cell r="AU160">
            <v>2.0695938529088913</v>
          </cell>
          <cell r="AV160">
            <v>2.0869072935790371</v>
          </cell>
          <cell r="AW160">
            <v>0</v>
          </cell>
          <cell r="AX160">
            <v>0</v>
          </cell>
          <cell r="AY160">
            <v>0</v>
          </cell>
          <cell r="AZ160">
            <v>0</v>
          </cell>
          <cell r="BA160">
            <v>0</v>
          </cell>
          <cell r="BB160">
            <v>0</v>
          </cell>
          <cell r="BC160">
            <v>0</v>
          </cell>
          <cell r="BD160">
            <v>0</v>
          </cell>
          <cell r="BE160">
            <v>0</v>
          </cell>
        </row>
        <row r="163">
          <cell r="AK163">
            <v>1000</v>
          </cell>
        </row>
        <row r="166">
          <cell r="H166">
            <v>0</v>
          </cell>
          <cell r="I166">
            <v>0</v>
          </cell>
          <cell r="J166">
            <v>0</v>
          </cell>
          <cell r="K166">
            <v>0</v>
          </cell>
          <cell r="L166">
            <v>0</v>
          </cell>
          <cell r="M166">
            <v>0</v>
          </cell>
          <cell r="N166">
            <v>0</v>
          </cell>
          <cell r="O166">
            <v>0</v>
          </cell>
          <cell r="P166">
            <v>0</v>
          </cell>
          <cell r="Q166">
            <v>0</v>
          </cell>
          <cell r="R166">
            <v>0</v>
          </cell>
          <cell r="S166">
            <v>0</v>
          </cell>
          <cell r="T166">
            <v>0</v>
          </cell>
          <cell r="U166">
            <v>5.0110000000000001</v>
          </cell>
          <cell r="W166">
            <v>15.741</v>
          </cell>
          <cell r="X166">
            <v>23.265000000000001</v>
          </cell>
          <cell r="Y166">
            <v>0.64600000000000002</v>
          </cell>
          <cell r="Z166">
            <v>0</v>
          </cell>
          <cell r="AA166">
            <v>0</v>
          </cell>
          <cell r="AB166">
            <v>32.15</v>
          </cell>
          <cell r="AC166">
            <v>3.9809999999999999</v>
          </cell>
          <cell r="AD166">
            <v>0</v>
          </cell>
          <cell r="AE166">
            <v>13.801</v>
          </cell>
          <cell r="AF166">
            <v>5.798</v>
          </cell>
          <cell r="AG166">
            <v>10.14</v>
          </cell>
          <cell r="AH166">
            <v>2.3690000000000002</v>
          </cell>
          <cell r="AI166">
            <v>5.5410000000000004</v>
          </cell>
          <cell r="AJ166">
            <v>7.91</v>
          </cell>
          <cell r="AK166">
            <v>37.6</v>
          </cell>
          <cell r="AL166">
            <v>153.5</v>
          </cell>
          <cell r="AM166">
            <v>0</v>
          </cell>
          <cell r="AN166">
            <v>0.73099999999999998</v>
          </cell>
          <cell r="AO166">
            <v>0</v>
          </cell>
          <cell r="AS166">
            <v>32.001000000000005</v>
          </cell>
          <cell r="AT166">
            <v>4.2259999999999991</v>
          </cell>
          <cell r="AU166">
            <v>181.5</v>
          </cell>
          <cell r="AV166">
            <v>217.727</v>
          </cell>
          <cell r="AW166">
            <v>0</v>
          </cell>
          <cell r="AX166">
            <v>0</v>
          </cell>
          <cell r="AY166">
            <v>0</v>
          </cell>
          <cell r="AZ166">
            <v>0</v>
          </cell>
          <cell r="BA166">
            <v>0</v>
          </cell>
          <cell r="BB166">
            <v>0</v>
          </cell>
          <cell r="BC166">
            <v>0</v>
          </cell>
          <cell r="BD166">
            <v>0</v>
          </cell>
          <cell r="BE166">
            <v>0</v>
          </cell>
        </row>
        <row r="167">
          <cell r="H167">
            <v>0</v>
          </cell>
          <cell r="I167">
            <v>0</v>
          </cell>
          <cell r="J167">
            <v>0</v>
          </cell>
          <cell r="K167">
            <v>0</v>
          </cell>
          <cell r="L167">
            <v>0</v>
          </cell>
          <cell r="M167">
            <v>0</v>
          </cell>
          <cell r="N167">
            <v>0</v>
          </cell>
          <cell r="O167">
            <v>0</v>
          </cell>
          <cell r="P167">
            <v>0</v>
          </cell>
          <cell r="Q167">
            <v>0</v>
          </cell>
          <cell r="R167">
            <v>0</v>
          </cell>
          <cell r="S167">
            <v>0</v>
          </cell>
          <cell r="T167">
            <v>0</v>
          </cell>
          <cell r="U167">
            <v>4.0979999999999999</v>
          </cell>
          <cell r="W167">
            <v>18.335250000000002</v>
          </cell>
          <cell r="X167">
            <v>22.844000000000001</v>
          </cell>
          <cell r="Y167">
            <v>0.40400000000000003</v>
          </cell>
          <cell r="Z167">
            <v>0</v>
          </cell>
          <cell r="AA167">
            <v>0</v>
          </cell>
          <cell r="AB167">
            <v>30.920999999999999</v>
          </cell>
          <cell r="AC167">
            <v>4.2720000000000002</v>
          </cell>
          <cell r="AD167">
            <v>0</v>
          </cell>
          <cell r="AE167">
            <v>17.189</v>
          </cell>
          <cell r="AF167">
            <v>7.6419999999999995</v>
          </cell>
          <cell r="AG167">
            <v>7.7410000000000005</v>
          </cell>
          <cell r="AH167">
            <v>1.986</v>
          </cell>
          <cell r="AI167">
            <v>7.2164999999999999</v>
          </cell>
          <cell r="AJ167">
            <v>9.2025000000000006</v>
          </cell>
          <cell r="AK167">
            <v>39</v>
          </cell>
          <cell r="AL167">
            <v>177.8</v>
          </cell>
          <cell r="AM167">
            <v>0</v>
          </cell>
          <cell r="AN167">
            <v>0.7</v>
          </cell>
          <cell r="AO167">
            <v>0</v>
          </cell>
          <cell r="AP167">
            <v>2.7509999999999999</v>
          </cell>
          <cell r="AQ167">
            <v>0.1998675</v>
          </cell>
          <cell r="AS167">
            <v>22.279</v>
          </cell>
          <cell r="AT167">
            <v>3.6370000000000005</v>
          </cell>
          <cell r="AU167">
            <v>175.2</v>
          </cell>
          <cell r="AV167">
            <v>201.11599999999999</v>
          </cell>
          <cell r="AW167">
            <v>0</v>
          </cell>
          <cell r="AX167">
            <v>0</v>
          </cell>
          <cell r="AY167">
            <v>0</v>
          </cell>
          <cell r="AZ167">
            <v>0</v>
          </cell>
          <cell r="BA167">
            <v>0</v>
          </cell>
          <cell r="BB167">
            <v>0</v>
          </cell>
          <cell r="BC167">
            <v>0</v>
          </cell>
          <cell r="BD167">
            <v>0</v>
          </cell>
          <cell r="BE167">
            <v>0</v>
          </cell>
        </row>
        <row r="168">
          <cell r="H168">
            <v>0</v>
          </cell>
          <cell r="I168">
            <v>0</v>
          </cell>
          <cell r="J168">
            <v>0</v>
          </cell>
          <cell r="K168">
            <v>0</v>
          </cell>
          <cell r="L168">
            <v>0</v>
          </cell>
          <cell r="M168">
            <v>0</v>
          </cell>
          <cell r="N168">
            <v>0</v>
          </cell>
          <cell r="O168">
            <v>0</v>
          </cell>
          <cell r="P168">
            <v>0</v>
          </cell>
          <cell r="Q168">
            <v>0</v>
          </cell>
          <cell r="R168">
            <v>0</v>
          </cell>
          <cell r="S168">
            <v>0</v>
          </cell>
          <cell r="T168">
            <v>0</v>
          </cell>
          <cell r="U168">
            <v>5.4969999999999999</v>
          </cell>
          <cell r="V168">
            <v>30.077000000000002</v>
          </cell>
          <cell r="W168">
            <v>24.447000000000003</v>
          </cell>
          <cell r="X168">
            <v>32.134</v>
          </cell>
          <cell r="Y168">
            <v>3.4</v>
          </cell>
          <cell r="Z168">
            <v>82.698000000000008</v>
          </cell>
          <cell r="AA168">
            <v>17.420000000000002</v>
          </cell>
          <cell r="AB168">
            <v>62.555</v>
          </cell>
          <cell r="AC168">
            <v>22.469000000000001</v>
          </cell>
          <cell r="AD168">
            <v>0</v>
          </cell>
          <cell r="AE168">
            <v>24.97</v>
          </cell>
          <cell r="AF168">
            <v>28.346000000000004</v>
          </cell>
          <cell r="AG168">
            <v>39.561</v>
          </cell>
          <cell r="AH168">
            <v>0</v>
          </cell>
          <cell r="AI168">
            <v>0</v>
          </cell>
          <cell r="AJ168">
            <v>16.257000000000001</v>
          </cell>
          <cell r="AK168">
            <v>82</v>
          </cell>
          <cell r="AL168">
            <v>246.1</v>
          </cell>
          <cell r="AM168">
            <v>71.373000000000005</v>
          </cell>
          <cell r="AN168">
            <v>4.056</v>
          </cell>
          <cell r="AO168">
            <v>0</v>
          </cell>
          <cell r="AP168">
            <v>10.19</v>
          </cell>
          <cell r="AQ168">
            <v>0.79947000000000001</v>
          </cell>
          <cell r="AR168">
            <v>10.989469999999999</v>
          </cell>
          <cell r="AS168">
            <v>32.238</v>
          </cell>
          <cell r="AT168">
            <v>5.5010000000000003</v>
          </cell>
          <cell r="AU168">
            <v>280.60000000000002</v>
          </cell>
          <cell r="AV168">
            <v>318.339</v>
          </cell>
          <cell r="AW168">
            <v>0</v>
          </cell>
          <cell r="AX168">
            <v>0</v>
          </cell>
          <cell r="AY168">
            <v>0</v>
          </cell>
          <cell r="AZ168">
            <v>0</v>
          </cell>
          <cell r="BA168">
            <v>0</v>
          </cell>
          <cell r="BB168">
            <v>0</v>
          </cell>
          <cell r="BC168">
            <v>0</v>
          </cell>
          <cell r="BD168">
            <v>0</v>
          </cell>
          <cell r="BE168">
            <v>0</v>
          </cell>
        </row>
        <row r="174">
          <cell r="H174">
            <v>0</v>
          </cell>
          <cell r="I174">
            <v>0</v>
          </cell>
          <cell r="J174">
            <v>0</v>
          </cell>
          <cell r="K174">
            <v>0</v>
          </cell>
          <cell r="L174">
            <v>0</v>
          </cell>
          <cell r="M174">
            <v>0</v>
          </cell>
          <cell r="N174">
            <v>0</v>
          </cell>
          <cell r="O174">
            <v>0</v>
          </cell>
          <cell r="P174">
            <v>0</v>
          </cell>
          <cell r="Q174">
            <v>0</v>
          </cell>
          <cell r="R174">
            <v>0</v>
          </cell>
          <cell r="S174">
            <v>0</v>
          </cell>
          <cell r="T174">
            <v>0</v>
          </cell>
          <cell r="U174">
            <v>18.178999999999998</v>
          </cell>
          <cell r="W174">
            <v>25.146999999999998</v>
          </cell>
          <cell r="X174">
            <v>49.847000000000001</v>
          </cell>
          <cell r="Y174">
            <v>1.849</v>
          </cell>
          <cell r="Z174">
            <v>0</v>
          </cell>
          <cell r="AA174">
            <v>0</v>
          </cell>
          <cell r="AB174">
            <v>20.998999999999999</v>
          </cell>
          <cell r="AC174">
            <v>1.3320000000000001</v>
          </cell>
          <cell r="AD174">
            <v>0</v>
          </cell>
          <cell r="AE174">
            <v>16.545999999999999</v>
          </cell>
          <cell r="AF174">
            <v>17.59</v>
          </cell>
          <cell r="AG174">
            <v>8.9949999999999992</v>
          </cell>
          <cell r="AH174">
            <v>4.4660000000000002</v>
          </cell>
          <cell r="AI174">
            <v>2.999333333333333</v>
          </cell>
          <cell r="AJ174">
            <v>7.4653333333333336</v>
          </cell>
          <cell r="AK174">
            <v>15.9</v>
          </cell>
          <cell r="AL174">
            <v>74.8</v>
          </cell>
          <cell r="AM174">
            <v>0</v>
          </cell>
          <cell r="AN174">
            <v>0.46</v>
          </cell>
          <cell r="AO174">
            <v>0</v>
          </cell>
          <cell r="AS174">
            <v>46.41</v>
          </cell>
          <cell r="AT174">
            <v>2.23</v>
          </cell>
          <cell r="AU174">
            <v>186.1</v>
          </cell>
          <cell r="AV174">
            <v>234.74</v>
          </cell>
          <cell r="AW174">
            <v>0</v>
          </cell>
          <cell r="AX174">
            <v>0</v>
          </cell>
          <cell r="AY174">
            <v>0</v>
          </cell>
          <cell r="AZ174">
            <v>0</v>
          </cell>
          <cell r="BA174">
            <v>0</v>
          </cell>
          <cell r="BB174">
            <v>0</v>
          </cell>
          <cell r="BC174">
            <v>0</v>
          </cell>
          <cell r="BD174">
            <v>0</v>
          </cell>
          <cell r="BE174">
            <v>0</v>
          </cell>
        </row>
        <row r="175">
          <cell r="H175">
            <v>0</v>
          </cell>
          <cell r="I175">
            <v>0</v>
          </cell>
          <cell r="J175">
            <v>0</v>
          </cell>
          <cell r="K175">
            <v>0</v>
          </cell>
          <cell r="L175">
            <v>0</v>
          </cell>
          <cell r="M175">
            <v>0</v>
          </cell>
          <cell r="N175">
            <v>0</v>
          </cell>
          <cell r="O175">
            <v>0</v>
          </cell>
          <cell r="P175">
            <v>0</v>
          </cell>
          <cell r="Q175">
            <v>0</v>
          </cell>
          <cell r="R175">
            <v>0</v>
          </cell>
          <cell r="S175">
            <v>0</v>
          </cell>
          <cell r="T175">
            <v>0</v>
          </cell>
          <cell r="U175">
            <v>10.798</v>
          </cell>
          <cell r="W175">
            <v>26.192250000000001</v>
          </cell>
          <cell r="X175">
            <v>17.690000000000001</v>
          </cell>
          <cell r="Y175">
            <v>0.121</v>
          </cell>
          <cell r="Z175">
            <v>0</v>
          </cell>
          <cell r="AA175">
            <v>0</v>
          </cell>
          <cell r="AB175">
            <v>26.433</v>
          </cell>
          <cell r="AC175">
            <v>5.0129999999999999</v>
          </cell>
          <cell r="AD175">
            <v>0</v>
          </cell>
          <cell r="AE175">
            <v>16.494</v>
          </cell>
          <cell r="AF175">
            <v>6.157</v>
          </cell>
          <cell r="AG175">
            <v>10.218999999999999</v>
          </cell>
          <cell r="AH175">
            <v>1.419</v>
          </cell>
          <cell r="AI175">
            <v>2.8485</v>
          </cell>
          <cell r="AJ175">
            <v>4.2675000000000001</v>
          </cell>
          <cell r="AK175">
            <v>14</v>
          </cell>
          <cell r="AL175">
            <v>96</v>
          </cell>
          <cell r="AM175">
            <v>0</v>
          </cell>
          <cell r="AN175">
            <v>0.56599999999999995</v>
          </cell>
          <cell r="AO175">
            <v>0</v>
          </cell>
          <cell r="AP175">
            <v>2.3980000000000001</v>
          </cell>
          <cell r="AQ175">
            <v>0.12210275</v>
          </cell>
          <cell r="AS175">
            <v>28.722999999999999</v>
          </cell>
          <cell r="AT175">
            <v>4.9450000000000003</v>
          </cell>
          <cell r="AU175">
            <v>234.8</v>
          </cell>
          <cell r="AV175">
            <v>268.46800000000002</v>
          </cell>
          <cell r="AW175">
            <v>0</v>
          </cell>
          <cell r="AX175">
            <v>0</v>
          </cell>
          <cell r="AY175">
            <v>0</v>
          </cell>
          <cell r="AZ175">
            <v>0</v>
          </cell>
          <cell r="BA175">
            <v>0</v>
          </cell>
          <cell r="BB175">
            <v>0</v>
          </cell>
          <cell r="BC175">
            <v>0</v>
          </cell>
          <cell r="BD175">
            <v>0</v>
          </cell>
          <cell r="BE175">
            <v>0</v>
          </cell>
        </row>
        <row r="176">
          <cell r="H176">
            <v>0</v>
          </cell>
          <cell r="I176">
            <v>0</v>
          </cell>
          <cell r="J176">
            <v>0</v>
          </cell>
          <cell r="K176">
            <v>0</v>
          </cell>
          <cell r="L176">
            <v>0</v>
          </cell>
          <cell r="M176">
            <v>0</v>
          </cell>
          <cell r="N176">
            <v>0</v>
          </cell>
          <cell r="O176">
            <v>0</v>
          </cell>
          <cell r="P176">
            <v>0</v>
          </cell>
          <cell r="Q176">
            <v>0</v>
          </cell>
          <cell r="R176">
            <v>0</v>
          </cell>
          <cell r="S176">
            <v>0</v>
          </cell>
          <cell r="T176">
            <v>0</v>
          </cell>
          <cell r="U176">
            <v>15.15</v>
          </cell>
          <cell r="V176">
            <v>37.673000000000002</v>
          </cell>
          <cell r="W176">
            <v>34.923000000000002</v>
          </cell>
          <cell r="X176">
            <v>40.412000000000006</v>
          </cell>
          <cell r="Y176">
            <v>7.4459999999999997</v>
          </cell>
          <cell r="Z176">
            <v>69.308999999999997</v>
          </cell>
          <cell r="AA176">
            <v>16.619</v>
          </cell>
          <cell r="AB176">
            <v>55.454999999999998</v>
          </cell>
          <cell r="AC176">
            <v>10.147</v>
          </cell>
          <cell r="AD176">
            <v>0</v>
          </cell>
          <cell r="AE176">
            <v>22.856999999999999</v>
          </cell>
          <cell r="AF176">
            <v>46.127000000000002</v>
          </cell>
          <cell r="AG176">
            <v>64.891999999999996</v>
          </cell>
          <cell r="AH176">
            <v>2.6349999999999998</v>
          </cell>
          <cell r="AI176">
            <v>3.798</v>
          </cell>
          <cell r="AJ176">
            <v>6.4329999999999998</v>
          </cell>
          <cell r="AK176">
            <v>40.1</v>
          </cell>
          <cell r="AL176">
            <v>158.9</v>
          </cell>
          <cell r="AM176">
            <v>109.76300000000001</v>
          </cell>
          <cell r="AN176">
            <v>2.85</v>
          </cell>
          <cell r="AO176">
            <v>0</v>
          </cell>
          <cell r="AP176">
            <v>15.372999999999999</v>
          </cell>
          <cell r="AQ176">
            <v>0.48841099999999998</v>
          </cell>
          <cell r="AR176">
            <v>15.861410999999999</v>
          </cell>
          <cell r="AS176">
            <v>45.980999999999995</v>
          </cell>
          <cell r="AT176">
            <v>6.8949999999999996</v>
          </cell>
          <cell r="AU176">
            <v>341.2</v>
          </cell>
          <cell r="AV176">
            <v>394.07599999999996</v>
          </cell>
          <cell r="AW176">
            <v>0</v>
          </cell>
          <cell r="AX176">
            <v>0</v>
          </cell>
          <cell r="AY176">
            <v>0</v>
          </cell>
          <cell r="AZ176">
            <v>0</v>
          </cell>
          <cell r="BA176">
            <v>0</v>
          </cell>
          <cell r="BB176">
            <v>0</v>
          </cell>
          <cell r="BC176">
            <v>0</v>
          </cell>
          <cell r="BD176">
            <v>0</v>
          </cell>
          <cell r="BE176">
            <v>0</v>
          </cell>
        </row>
        <row r="180">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row>
        <row r="181">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row>
        <row r="184">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row>
        <row r="185">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row>
        <row r="186">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row>
        <row r="190">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row>
        <row r="191">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row>
        <row r="192">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row>
        <row r="193">
          <cell r="Z193" t="str">
            <v>B</v>
          </cell>
        </row>
        <row r="196">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row>
        <row r="197">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row>
        <row r="198">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row>
        <row r="204">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row>
        <row r="205">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row>
        <row r="206">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row>
        <row r="207">
          <cell r="Y207">
            <v>0</v>
          </cell>
          <cell r="Z207">
            <v>0</v>
          </cell>
        </row>
        <row r="212">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254.59899999999999</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row>
        <row r="213">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22.143000000000001</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row>
        <row r="214">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2.4900000000000002</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row>
        <row r="215">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row>
        <row r="216">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14.489000000000001</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row>
        <row r="217">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0.42934186742525265</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row>
        <row r="221">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row>
        <row r="222">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row>
        <row r="223">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row>
        <row r="224">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row>
        <row r="229">
          <cell r="H229" t="str">
            <v>Spare</v>
          </cell>
          <cell r="I229" t="str">
            <v>Spare</v>
          </cell>
          <cell r="J229" t="str">
            <v>Spare</v>
          </cell>
          <cell r="K229" t="str">
            <v>Spare</v>
          </cell>
          <cell r="L229" t="str">
            <v>Spare</v>
          </cell>
          <cell r="M229" t="str">
            <v>Spare</v>
          </cell>
          <cell r="N229" t="str">
            <v>Spare</v>
          </cell>
          <cell r="O229" t="str">
            <v>Spare</v>
          </cell>
          <cell r="P229" t="str">
            <v>Spare</v>
          </cell>
          <cell r="Q229" t="str">
            <v>Spare</v>
          </cell>
          <cell r="R229" t="str">
            <v>Spare</v>
          </cell>
          <cell r="S229" t="str">
            <v>Spare</v>
          </cell>
          <cell r="T229" t="str">
            <v>Spare</v>
          </cell>
          <cell r="U229" t="str">
            <v>Spare</v>
          </cell>
          <cell r="V229" t="str">
            <v>Spare</v>
          </cell>
          <cell r="W229" t="str">
            <v>Spare</v>
          </cell>
          <cell r="X229" t="str">
            <v>Spare</v>
          </cell>
          <cell r="Y229" t="str">
            <v>Spare</v>
          </cell>
          <cell r="Z229" t="str">
            <v>Spare</v>
          </cell>
          <cell r="AA229" t="str">
            <v>Spare</v>
          </cell>
          <cell r="AB229" t="str">
            <v>Spare</v>
          </cell>
          <cell r="AC229" t="str">
            <v>Spare</v>
          </cell>
          <cell r="AD229" t="str">
            <v>Spare</v>
          </cell>
          <cell r="AE229" t="str">
            <v>Spare</v>
          </cell>
          <cell r="AF229" t="str">
            <v>Spare</v>
          </cell>
          <cell r="AG229" t="str">
            <v>Spare</v>
          </cell>
          <cell r="AH229">
            <v>0.13140653897996923</v>
          </cell>
          <cell r="AI229" t="str">
            <v>Spare</v>
          </cell>
          <cell r="AJ229" t="str">
            <v>Spare</v>
          </cell>
          <cell r="AK229" t="str">
            <v>Spare</v>
          </cell>
          <cell r="AL229" t="str">
            <v>Spare</v>
          </cell>
          <cell r="AM229" t="str">
            <v>Spare</v>
          </cell>
          <cell r="AN229" t="str">
            <v>Spare</v>
          </cell>
          <cell r="AO229" t="str">
            <v>Spare</v>
          </cell>
          <cell r="AP229" t="str">
            <v>Spare</v>
          </cell>
          <cell r="AQ229" t="str">
            <v>Spare</v>
          </cell>
          <cell r="AR229" t="str">
            <v>Spare</v>
          </cell>
          <cell r="AS229" t="str">
            <v>Spare</v>
          </cell>
          <cell r="AT229" t="str">
            <v>Spare</v>
          </cell>
          <cell r="AU229" t="str">
            <v>Spare</v>
          </cell>
          <cell r="AV229" t="str">
            <v>Spare</v>
          </cell>
          <cell r="AW229" t="str">
            <v>Spare</v>
          </cell>
          <cell r="AX229" t="str">
            <v>Spare</v>
          </cell>
          <cell r="AY229" t="str">
            <v>Spare</v>
          </cell>
          <cell r="AZ229" t="str">
            <v>Spare</v>
          </cell>
          <cell r="BA229" t="str">
            <v>Spare</v>
          </cell>
          <cell r="BB229" t="str">
            <v>Spare</v>
          </cell>
          <cell r="BC229" t="str">
            <v>Spare</v>
          </cell>
          <cell r="BD229" t="str">
            <v>Spare</v>
          </cell>
          <cell r="BE229" t="str">
            <v>Spare</v>
          </cell>
        </row>
        <row r="230">
          <cell r="H230" t="str">
            <v>Spare</v>
          </cell>
          <cell r="I230" t="str">
            <v>Spare</v>
          </cell>
          <cell r="J230" t="str">
            <v>Spare</v>
          </cell>
          <cell r="K230" t="str">
            <v>Spare</v>
          </cell>
          <cell r="L230" t="str">
            <v>Spare</v>
          </cell>
          <cell r="M230" t="str">
            <v>Spare</v>
          </cell>
          <cell r="N230" t="str">
            <v>Spare</v>
          </cell>
          <cell r="O230" t="str">
            <v>Spare</v>
          </cell>
          <cell r="P230" t="str">
            <v>Spare</v>
          </cell>
          <cell r="Q230" t="str">
            <v>Spare</v>
          </cell>
          <cell r="R230" t="str">
            <v>Spare</v>
          </cell>
          <cell r="S230" t="str">
            <v>Spare</v>
          </cell>
          <cell r="T230" t="str">
            <v>Spare</v>
          </cell>
          <cell r="U230" t="str">
            <v>Spare</v>
          </cell>
          <cell r="V230" t="str">
            <v>Spare</v>
          </cell>
          <cell r="W230" t="str">
            <v>Spare</v>
          </cell>
          <cell r="X230" t="str">
            <v>Spare</v>
          </cell>
          <cell r="Y230" t="str">
            <v>Spare</v>
          </cell>
          <cell r="Z230" t="str">
            <v>Spare</v>
          </cell>
          <cell r="AA230" t="str">
            <v>Spare</v>
          </cell>
          <cell r="AB230" t="str">
            <v>Spare</v>
          </cell>
          <cell r="AC230" t="str">
            <v>Spare</v>
          </cell>
          <cell r="AD230" t="str">
            <v>Spare</v>
          </cell>
          <cell r="AE230" t="str">
            <v>Spare</v>
          </cell>
          <cell r="AF230" t="str">
            <v>Spare</v>
          </cell>
          <cell r="AG230" t="str">
            <v>Spare</v>
          </cell>
          <cell r="AH230" t="str">
            <v>Spare</v>
          </cell>
          <cell r="AI230" t="str">
            <v>Spare</v>
          </cell>
          <cell r="AJ230" t="str">
            <v>Spare</v>
          </cell>
          <cell r="AK230" t="str">
            <v>Spare</v>
          </cell>
          <cell r="AL230" t="str">
            <v>Spare</v>
          </cell>
          <cell r="AM230" t="str">
            <v>Spare</v>
          </cell>
          <cell r="AN230" t="str">
            <v>Spare</v>
          </cell>
          <cell r="AO230" t="str">
            <v>Spare</v>
          </cell>
          <cell r="AP230" t="str">
            <v>Spare</v>
          </cell>
          <cell r="AQ230" t="str">
            <v>Spare</v>
          </cell>
          <cell r="AR230" t="str">
            <v>Spare</v>
          </cell>
          <cell r="AS230" t="str">
            <v>Spare</v>
          </cell>
          <cell r="AT230" t="str">
            <v>Spare</v>
          </cell>
          <cell r="AU230" t="str">
            <v>Spare</v>
          </cell>
          <cell r="AV230" t="str">
            <v>Spare</v>
          </cell>
          <cell r="AW230" t="str">
            <v>Spare</v>
          </cell>
          <cell r="AX230" t="str">
            <v>Spare</v>
          </cell>
          <cell r="AY230" t="str">
            <v>Spare</v>
          </cell>
          <cell r="AZ230" t="str">
            <v>Spare</v>
          </cell>
          <cell r="BA230" t="str">
            <v>Spare</v>
          </cell>
          <cell r="BB230" t="str">
            <v>Spare</v>
          </cell>
          <cell r="BC230" t="str">
            <v>Spare</v>
          </cell>
          <cell r="BD230" t="str">
            <v>Spare</v>
          </cell>
          <cell r="BE230" t="str">
            <v>Spare</v>
          </cell>
        </row>
        <row r="231">
          <cell r="H231" t="str">
            <v>Spare</v>
          </cell>
          <cell r="I231" t="str">
            <v>Spare</v>
          </cell>
          <cell r="J231" t="str">
            <v>Spare</v>
          </cell>
          <cell r="K231" t="str">
            <v>Spare</v>
          </cell>
          <cell r="L231" t="str">
            <v>Spare</v>
          </cell>
          <cell r="M231" t="str">
            <v>Spare</v>
          </cell>
          <cell r="N231" t="str">
            <v>Spare</v>
          </cell>
          <cell r="O231" t="str">
            <v>Spare</v>
          </cell>
          <cell r="P231" t="str">
            <v>Spare</v>
          </cell>
          <cell r="Q231" t="str">
            <v>Spare</v>
          </cell>
          <cell r="R231" t="str">
            <v>Spare</v>
          </cell>
          <cell r="S231" t="str">
            <v>Spare</v>
          </cell>
          <cell r="T231" t="str">
            <v>Spare</v>
          </cell>
          <cell r="U231" t="str">
            <v>Spare</v>
          </cell>
          <cell r="V231" t="str">
            <v>Spare</v>
          </cell>
          <cell r="W231" t="str">
            <v>Spare</v>
          </cell>
          <cell r="X231" t="str">
            <v>Spare</v>
          </cell>
          <cell r="Y231" t="str">
            <v>Spare</v>
          </cell>
          <cell r="Z231" t="str">
            <v>Spare</v>
          </cell>
          <cell r="AA231" t="str">
            <v>Spare</v>
          </cell>
          <cell r="AB231" t="str">
            <v>Spare</v>
          </cell>
          <cell r="AC231" t="str">
            <v>Spare</v>
          </cell>
          <cell r="AD231" t="str">
            <v>Spare</v>
          </cell>
          <cell r="AE231" t="str">
            <v>Spare</v>
          </cell>
          <cell r="AF231" t="str">
            <v>Spare</v>
          </cell>
          <cell r="AG231" t="str">
            <v>Spare</v>
          </cell>
          <cell r="AH231" t="str">
            <v>Spare</v>
          </cell>
          <cell r="AI231" t="str">
            <v>Spare</v>
          </cell>
          <cell r="AJ231" t="str">
            <v>Spare</v>
          </cell>
          <cell r="AK231" t="str">
            <v>Spare</v>
          </cell>
          <cell r="AL231" t="str">
            <v>Spare</v>
          </cell>
          <cell r="AM231" t="str">
            <v>Spare</v>
          </cell>
          <cell r="AN231" t="str">
            <v>Spare</v>
          </cell>
          <cell r="AO231" t="str">
            <v>Spare</v>
          </cell>
          <cell r="AP231" t="str">
            <v>Spare</v>
          </cell>
          <cell r="AQ231" t="str">
            <v>Spare</v>
          </cell>
          <cell r="AR231" t="str">
            <v>Spare</v>
          </cell>
          <cell r="AS231" t="str">
            <v>Spare</v>
          </cell>
          <cell r="AT231" t="str">
            <v>Spare</v>
          </cell>
          <cell r="AU231" t="str">
            <v>Spare</v>
          </cell>
          <cell r="AV231" t="str">
            <v>Spare</v>
          </cell>
          <cell r="AW231" t="str">
            <v>Spare</v>
          </cell>
          <cell r="AX231" t="str">
            <v>Spare</v>
          </cell>
          <cell r="AY231" t="str">
            <v>Spare</v>
          </cell>
          <cell r="AZ231" t="str">
            <v>Spare</v>
          </cell>
          <cell r="BA231" t="str">
            <v>Spare</v>
          </cell>
          <cell r="BB231" t="str">
            <v>Spare</v>
          </cell>
          <cell r="BC231" t="str">
            <v>Spare</v>
          </cell>
          <cell r="BD231" t="str">
            <v>Spare</v>
          </cell>
          <cell r="BE231" t="str">
            <v>Spare</v>
          </cell>
        </row>
        <row r="232">
          <cell r="H232" t="str">
            <v>Spare</v>
          </cell>
          <cell r="I232" t="str">
            <v>Spare</v>
          </cell>
          <cell r="J232" t="str">
            <v>Spare</v>
          </cell>
          <cell r="K232" t="str">
            <v>Spare</v>
          </cell>
          <cell r="L232" t="str">
            <v>Spare</v>
          </cell>
          <cell r="M232" t="str">
            <v>Spare</v>
          </cell>
          <cell r="N232" t="str">
            <v>Spare</v>
          </cell>
          <cell r="O232" t="str">
            <v>Spare</v>
          </cell>
          <cell r="P232" t="str">
            <v>Spare</v>
          </cell>
          <cell r="Q232" t="str">
            <v>Spare</v>
          </cell>
          <cell r="R232" t="str">
            <v>Spare</v>
          </cell>
          <cell r="S232" t="str">
            <v>Spare</v>
          </cell>
          <cell r="T232" t="str">
            <v>Spare</v>
          </cell>
          <cell r="U232" t="str">
            <v>Spare</v>
          </cell>
          <cell r="V232" t="str">
            <v>Spare</v>
          </cell>
          <cell r="W232" t="str">
            <v>Spare</v>
          </cell>
          <cell r="X232" t="str">
            <v>Spare</v>
          </cell>
          <cell r="Y232" t="str">
            <v>Spare</v>
          </cell>
          <cell r="Z232" t="str">
            <v>Spare</v>
          </cell>
          <cell r="AA232" t="str">
            <v>Spare</v>
          </cell>
          <cell r="AB232" t="str">
            <v>Spare</v>
          </cell>
          <cell r="AC232" t="str">
            <v>Spare</v>
          </cell>
          <cell r="AD232" t="str">
            <v>Spare</v>
          </cell>
          <cell r="AE232" t="str">
            <v>Spare</v>
          </cell>
          <cell r="AF232" t="str">
            <v>Spare</v>
          </cell>
          <cell r="AG232" t="str">
            <v>Spare</v>
          </cell>
          <cell r="AH232" t="str">
            <v>Spare</v>
          </cell>
          <cell r="AI232" t="str">
            <v>Spare</v>
          </cell>
          <cell r="AJ232" t="str">
            <v>Spare</v>
          </cell>
          <cell r="AK232" t="str">
            <v>Spare</v>
          </cell>
          <cell r="AL232" t="str">
            <v>Spare</v>
          </cell>
          <cell r="AM232" t="str">
            <v>Spare</v>
          </cell>
          <cell r="AN232" t="str">
            <v>Spare</v>
          </cell>
          <cell r="AO232" t="str">
            <v>Spare</v>
          </cell>
          <cell r="AP232" t="str">
            <v>Spare</v>
          </cell>
          <cell r="AQ232" t="str">
            <v>Spare</v>
          </cell>
          <cell r="AR232" t="str">
            <v>Spare</v>
          </cell>
          <cell r="AS232" t="str">
            <v>Spare</v>
          </cell>
          <cell r="AT232" t="str">
            <v>Spare</v>
          </cell>
          <cell r="AU232" t="str">
            <v>Spare</v>
          </cell>
          <cell r="AV232" t="str">
            <v>Spare</v>
          </cell>
          <cell r="AW232" t="str">
            <v>Spare</v>
          </cell>
          <cell r="AX232" t="str">
            <v>Spare</v>
          </cell>
          <cell r="AY232" t="str">
            <v>Spare</v>
          </cell>
          <cell r="AZ232" t="str">
            <v>Spare</v>
          </cell>
          <cell r="BA232" t="str">
            <v>Spare</v>
          </cell>
          <cell r="BB232" t="str">
            <v>Spare</v>
          </cell>
          <cell r="BC232" t="str">
            <v>Spare</v>
          </cell>
          <cell r="BD232" t="str">
            <v>Spare</v>
          </cell>
          <cell r="BE232" t="str">
            <v>Spare</v>
          </cell>
        </row>
        <row r="233">
          <cell r="H233" t="str">
            <v>Spare</v>
          </cell>
          <cell r="I233" t="str">
            <v>Spare</v>
          </cell>
          <cell r="J233" t="str">
            <v>Spare</v>
          </cell>
          <cell r="K233" t="str">
            <v>Spare</v>
          </cell>
          <cell r="L233" t="str">
            <v>Spare</v>
          </cell>
          <cell r="M233" t="str">
            <v>Spare</v>
          </cell>
          <cell r="N233" t="str">
            <v>Spare</v>
          </cell>
          <cell r="O233" t="str">
            <v>Spare</v>
          </cell>
          <cell r="P233" t="str">
            <v>Spare</v>
          </cell>
          <cell r="Q233" t="str">
            <v>Spare</v>
          </cell>
          <cell r="R233" t="str">
            <v>Spare</v>
          </cell>
          <cell r="S233" t="str">
            <v>Spare</v>
          </cell>
          <cell r="T233" t="str">
            <v>Spare</v>
          </cell>
          <cell r="U233" t="str">
            <v>Spare</v>
          </cell>
          <cell r="V233" t="str">
            <v>Spare</v>
          </cell>
          <cell r="W233" t="str">
            <v>Spare</v>
          </cell>
          <cell r="X233" t="str">
            <v>Spare</v>
          </cell>
          <cell r="Y233" t="str">
            <v>Spare</v>
          </cell>
          <cell r="Z233" t="str">
            <v>Spare</v>
          </cell>
          <cell r="AA233" t="str">
            <v>Spare</v>
          </cell>
          <cell r="AB233" t="str">
            <v>Spare</v>
          </cell>
          <cell r="AC233" t="str">
            <v>Spare</v>
          </cell>
          <cell r="AD233" t="str">
            <v>Spare</v>
          </cell>
          <cell r="AE233" t="str">
            <v>Spare</v>
          </cell>
          <cell r="AF233" t="str">
            <v>Spare</v>
          </cell>
          <cell r="AG233" t="str">
            <v>Spare</v>
          </cell>
          <cell r="AH233" t="str">
            <v>Spare</v>
          </cell>
          <cell r="AI233" t="str">
            <v>Spare</v>
          </cell>
          <cell r="AJ233" t="str">
            <v>Spare</v>
          </cell>
          <cell r="AK233" t="str">
            <v>Spare</v>
          </cell>
          <cell r="AL233" t="str">
            <v>Spare</v>
          </cell>
          <cell r="AM233" t="str">
            <v>Spare</v>
          </cell>
          <cell r="AN233" t="str">
            <v>Spare</v>
          </cell>
          <cell r="AO233" t="str">
            <v>Spare</v>
          </cell>
          <cell r="AP233" t="str">
            <v>Spare</v>
          </cell>
          <cell r="AQ233" t="str">
            <v>Spare</v>
          </cell>
          <cell r="AR233" t="str">
            <v>Spare</v>
          </cell>
          <cell r="AS233" t="str">
            <v>Spare</v>
          </cell>
          <cell r="AT233" t="str">
            <v>Spare</v>
          </cell>
          <cell r="AU233" t="str">
            <v>Spare</v>
          </cell>
          <cell r="AV233" t="str">
            <v>Spare</v>
          </cell>
          <cell r="AW233" t="str">
            <v>Spare</v>
          </cell>
          <cell r="AX233" t="str">
            <v>Spare</v>
          </cell>
          <cell r="AY233" t="str">
            <v>Spare</v>
          </cell>
          <cell r="AZ233" t="str">
            <v>Spare</v>
          </cell>
          <cell r="BA233" t="str">
            <v>Spare</v>
          </cell>
          <cell r="BB233" t="str">
            <v>Spare</v>
          </cell>
          <cell r="BC233" t="str">
            <v>Spare</v>
          </cell>
          <cell r="BD233" t="str">
            <v>Spare</v>
          </cell>
          <cell r="BE233" t="str">
            <v>Spare</v>
          </cell>
        </row>
        <row r="238">
          <cell r="H238">
            <v>34.51</v>
          </cell>
          <cell r="I238">
            <v>5.66</v>
          </cell>
          <cell r="J238">
            <v>29.09</v>
          </cell>
          <cell r="K238">
            <v>44.25</v>
          </cell>
          <cell r="L238">
            <v>18.05</v>
          </cell>
          <cell r="M238">
            <v>19</v>
          </cell>
          <cell r="N238">
            <v>30.01</v>
          </cell>
          <cell r="O238">
            <v>12.27</v>
          </cell>
          <cell r="P238">
            <v>5.52</v>
          </cell>
          <cell r="Q238">
            <v>17.329999999999998</v>
          </cell>
          <cell r="R238">
            <v>33.479999999999997</v>
          </cell>
          <cell r="S238">
            <v>24.02</v>
          </cell>
          <cell r="T238" t="e">
            <v>#VALUE!</v>
          </cell>
          <cell r="U238">
            <v>21.26</v>
          </cell>
          <cell r="V238">
            <v>52.05</v>
          </cell>
          <cell r="W238">
            <v>34.51</v>
          </cell>
          <cell r="X238">
            <v>34.64</v>
          </cell>
          <cell r="Y238">
            <v>24.38</v>
          </cell>
          <cell r="Z238" t="e">
            <v>#N/A</v>
          </cell>
          <cell r="AA238">
            <v>72.7</v>
          </cell>
          <cell r="AB238">
            <v>72.7</v>
          </cell>
          <cell r="AC238">
            <v>14.75</v>
          </cell>
          <cell r="AD238" t="e">
            <v>#N/A</v>
          </cell>
          <cell r="AE238">
            <v>7.84</v>
          </cell>
          <cell r="AF238">
            <v>53.25</v>
          </cell>
          <cell r="AG238">
            <v>33.58</v>
          </cell>
          <cell r="AH238">
            <v>52.05</v>
          </cell>
          <cell r="AI238">
            <v>8.26</v>
          </cell>
          <cell r="AJ238" t="e">
            <v>#VALUE!</v>
          </cell>
          <cell r="AK238">
            <v>28.9</v>
          </cell>
          <cell r="AL238">
            <v>31.81</v>
          </cell>
          <cell r="AM238">
            <v>50.35</v>
          </cell>
          <cell r="AN238">
            <v>4.99</v>
          </cell>
          <cell r="AO238" t="e">
            <v>#N/A</v>
          </cell>
          <cell r="AP238">
            <v>47.72</v>
          </cell>
          <cell r="AQ238" t="e">
            <v>#VALUE!</v>
          </cell>
          <cell r="AR238">
            <v>47.72</v>
          </cell>
          <cell r="AS238">
            <v>33.58</v>
          </cell>
          <cell r="AT238" t="e">
            <v>#N/A</v>
          </cell>
          <cell r="AU238">
            <v>64.69</v>
          </cell>
          <cell r="AV238">
            <v>64.69</v>
          </cell>
          <cell r="AW238" t="e">
            <v>#VALUE!</v>
          </cell>
          <cell r="AX238" t="e">
            <v>#VALUE!</v>
          </cell>
          <cell r="AY238" t="e">
            <v>#VALUE!</v>
          </cell>
          <cell r="AZ238" t="e">
            <v>#VALUE!</v>
          </cell>
          <cell r="BA238" t="e">
            <v>#VALUE!</v>
          </cell>
          <cell r="BB238" t="e">
            <v>#VALUE!</v>
          </cell>
          <cell r="BC238" t="e">
            <v>#VALUE!</v>
          </cell>
          <cell r="BD238" t="e">
            <v>#VALUE!</v>
          </cell>
          <cell r="BE238" t="e">
            <v>#VALUE!</v>
          </cell>
        </row>
        <row r="239">
          <cell r="H239">
            <v>69.5</v>
          </cell>
          <cell r="I239">
            <v>18.05</v>
          </cell>
          <cell r="J239">
            <v>29.95</v>
          </cell>
          <cell r="K239">
            <v>27.125</v>
          </cell>
          <cell r="L239">
            <v>19.95</v>
          </cell>
          <cell r="M239">
            <v>24.14</v>
          </cell>
          <cell r="N239">
            <v>46</v>
          </cell>
          <cell r="O239">
            <v>23.66</v>
          </cell>
          <cell r="P239">
            <v>30.43</v>
          </cell>
          <cell r="Q239">
            <v>21.14</v>
          </cell>
          <cell r="R239">
            <v>28.14</v>
          </cell>
          <cell r="S239">
            <v>35.51</v>
          </cell>
          <cell r="T239" t="e">
            <v>#VALUE!</v>
          </cell>
          <cell r="U239">
            <v>26.86</v>
          </cell>
          <cell r="V239">
            <v>34.4</v>
          </cell>
          <cell r="W239">
            <v>69.5</v>
          </cell>
          <cell r="X239">
            <v>58.88</v>
          </cell>
          <cell r="Y239">
            <v>26.65</v>
          </cell>
          <cell r="Z239" t="e">
            <v>#N/A</v>
          </cell>
          <cell r="AA239">
            <v>66.709999999999994</v>
          </cell>
          <cell r="AB239">
            <v>66.709999999999994</v>
          </cell>
          <cell r="AC239">
            <v>20.3</v>
          </cell>
          <cell r="AD239" t="e">
            <v>#N/A</v>
          </cell>
          <cell r="AE239">
            <v>8.2100000000000009</v>
          </cell>
          <cell r="AF239">
            <v>35.46</v>
          </cell>
          <cell r="AG239">
            <v>34.25</v>
          </cell>
          <cell r="AH239">
            <v>34.4</v>
          </cell>
          <cell r="AI239">
            <v>19.5</v>
          </cell>
          <cell r="AJ239" t="e">
            <v>#VALUE!</v>
          </cell>
          <cell r="AK239">
            <v>25.25</v>
          </cell>
          <cell r="AL239">
            <v>40.130000000000003</v>
          </cell>
          <cell r="AM239">
            <v>45.96</v>
          </cell>
          <cell r="AN239">
            <v>4.66</v>
          </cell>
          <cell r="AO239" t="e">
            <v>#N/A</v>
          </cell>
          <cell r="AP239">
            <v>35.25</v>
          </cell>
          <cell r="AQ239" t="e">
            <v>#VALUE!</v>
          </cell>
          <cell r="AR239">
            <v>35.25</v>
          </cell>
          <cell r="AS239">
            <v>34.25</v>
          </cell>
          <cell r="AT239" t="e">
            <v>#N/A</v>
          </cell>
          <cell r="AU239">
            <v>73.319999999999993</v>
          </cell>
          <cell r="AV239">
            <v>73.319999999999993</v>
          </cell>
          <cell r="AW239" t="e">
            <v>#VALUE!</v>
          </cell>
          <cell r="AX239" t="e">
            <v>#VALUE!</v>
          </cell>
          <cell r="AY239" t="e">
            <v>#VALUE!</v>
          </cell>
          <cell r="AZ239" t="e">
            <v>#VALUE!</v>
          </cell>
          <cell r="BA239" t="e">
            <v>#VALUE!</v>
          </cell>
          <cell r="BB239" t="e">
            <v>#VALUE!</v>
          </cell>
          <cell r="BC239" t="e">
            <v>#VALUE!</v>
          </cell>
          <cell r="BD239" t="e">
            <v>#VALUE!</v>
          </cell>
          <cell r="BE239" t="e">
            <v>#VALUE!</v>
          </cell>
        </row>
        <row r="240">
          <cell r="H240">
            <v>34.5</v>
          </cell>
          <cell r="I240">
            <v>6.9</v>
          </cell>
          <cell r="J240">
            <v>26.74</v>
          </cell>
          <cell r="K240">
            <v>40.51</v>
          </cell>
          <cell r="L240">
            <v>16.59</v>
          </cell>
          <cell r="M240">
            <v>17.079999999999998</v>
          </cell>
          <cell r="N240">
            <v>27.38</v>
          </cell>
          <cell r="O240">
            <v>13.84</v>
          </cell>
          <cell r="P240">
            <v>7.31</v>
          </cell>
          <cell r="Q240">
            <v>16.579999999999998</v>
          </cell>
          <cell r="R240">
            <v>32.35</v>
          </cell>
          <cell r="S240">
            <v>21.6</v>
          </cell>
          <cell r="T240" t="e">
            <v>#VALUE!</v>
          </cell>
          <cell r="U240">
            <v>22</v>
          </cell>
          <cell r="V240">
            <v>44.89</v>
          </cell>
          <cell r="W240">
            <v>34.5</v>
          </cell>
          <cell r="X240">
            <v>32.450000000000003</v>
          </cell>
          <cell r="Y240">
            <v>20.95</v>
          </cell>
          <cell r="Z240" t="e">
            <v>#N/A</v>
          </cell>
          <cell r="AA240">
            <v>63.64</v>
          </cell>
          <cell r="AB240">
            <v>63.64</v>
          </cell>
          <cell r="AC240">
            <v>14.5</v>
          </cell>
          <cell r="AD240" t="e">
            <v>#N/A</v>
          </cell>
          <cell r="AE240">
            <v>7.17</v>
          </cell>
          <cell r="AF240">
            <v>42.92</v>
          </cell>
          <cell r="AG240">
            <v>28.85</v>
          </cell>
          <cell r="AH240">
            <v>44.89</v>
          </cell>
          <cell r="AI240">
            <v>8.26</v>
          </cell>
          <cell r="AJ240" t="e">
            <v>#VALUE!</v>
          </cell>
          <cell r="AK240">
            <v>26.75</v>
          </cell>
          <cell r="AL240">
            <v>31.14</v>
          </cell>
          <cell r="AM240">
            <v>48.32</v>
          </cell>
          <cell r="AN240">
            <v>4.6500000000000004</v>
          </cell>
          <cell r="AO240" t="e">
            <v>#N/A</v>
          </cell>
          <cell r="AP240">
            <v>45.19</v>
          </cell>
          <cell r="AQ240" t="e">
            <v>#VALUE!</v>
          </cell>
          <cell r="AR240">
            <v>45.19</v>
          </cell>
          <cell r="AS240">
            <v>28.85</v>
          </cell>
          <cell r="AT240" t="e">
            <v>#N/A</v>
          </cell>
          <cell r="AU240">
            <v>55.71</v>
          </cell>
          <cell r="AV240">
            <v>55.71</v>
          </cell>
          <cell r="AW240" t="e">
            <v>#VALUE!</v>
          </cell>
          <cell r="AX240" t="e">
            <v>#VALUE!</v>
          </cell>
          <cell r="AY240" t="e">
            <v>#VALUE!</v>
          </cell>
          <cell r="AZ240" t="e">
            <v>#VALUE!</v>
          </cell>
          <cell r="BA240" t="e">
            <v>#VALUE!</v>
          </cell>
          <cell r="BB240" t="e">
            <v>#VALUE!</v>
          </cell>
          <cell r="BC240" t="e">
            <v>#VALUE!</v>
          </cell>
          <cell r="BD240" t="e">
            <v>#VALUE!</v>
          </cell>
          <cell r="BE240" t="e">
            <v>#VALUE!</v>
          </cell>
        </row>
        <row r="241">
          <cell r="H241">
            <v>32.119999999999997</v>
          </cell>
          <cell r="I241">
            <v>13.81</v>
          </cell>
          <cell r="J241">
            <v>29</v>
          </cell>
          <cell r="K241">
            <v>40.159999999999997</v>
          </cell>
          <cell r="L241">
            <v>22.86</v>
          </cell>
          <cell r="M241">
            <v>18.36</v>
          </cell>
          <cell r="N241">
            <v>38.94</v>
          </cell>
          <cell r="O241">
            <v>18.78</v>
          </cell>
          <cell r="P241">
            <v>13.35</v>
          </cell>
          <cell r="Q241">
            <v>17.7</v>
          </cell>
          <cell r="R241">
            <v>31.84</v>
          </cell>
          <cell r="S241">
            <v>24.29</v>
          </cell>
          <cell r="T241" t="e">
            <v>#VALUE!</v>
          </cell>
          <cell r="U241">
            <v>20.350000000000001</v>
          </cell>
          <cell r="V241">
            <v>49.47</v>
          </cell>
          <cell r="W241">
            <v>32.119999999999997</v>
          </cell>
          <cell r="X241">
            <v>37.880000000000003</v>
          </cell>
          <cell r="Y241">
            <v>24.17</v>
          </cell>
          <cell r="Z241" t="e">
            <v>#N/A</v>
          </cell>
          <cell r="AA241">
            <v>76.25</v>
          </cell>
          <cell r="AB241">
            <v>76.25</v>
          </cell>
          <cell r="AC241">
            <v>18.23</v>
          </cell>
          <cell r="AD241" t="e">
            <v>#N/A</v>
          </cell>
          <cell r="AE241">
            <v>7.92</v>
          </cell>
          <cell r="AF241">
            <v>47.86</v>
          </cell>
          <cell r="AG241">
            <v>30.01</v>
          </cell>
          <cell r="AH241">
            <v>49.47</v>
          </cell>
          <cell r="AI241">
            <v>24.56</v>
          </cell>
          <cell r="AJ241" t="e">
            <v>#VALUE!</v>
          </cell>
          <cell r="AK241">
            <v>29.4</v>
          </cell>
          <cell r="AL241">
            <v>36.29</v>
          </cell>
          <cell r="AM241">
            <v>47.98</v>
          </cell>
          <cell r="AN241">
            <v>4.8</v>
          </cell>
          <cell r="AO241" t="e">
            <v>#N/A</v>
          </cell>
          <cell r="AP241">
            <v>49.25</v>
          </cell>
          <cell r="AQ241" t="e">
            <v>#VALUE!</v>
          </cell>
          <cell r="AR241">
            <v>49.25</v>
          </cell>
          <cell r="AS241">
            <v>30.01</v>
          </cell>
          <cell r="AT241" t="e">
            <v>#N/A</v>
          </cell>
          <cell r="AU241">
            <v>63.03</v>
          </cell>
          <cell r="AV241">
            <v>63.03</v>
          </cell>
          <cell r="AW241" t="e">
            <v>#VALUE!</v>
          </cell>
          <cell r="AX241" t="e">
            <v>#VALUE!</v>
          </cell>
          <cell r="AY241" t="e">
            <v>#VALUE!</v>
          </cell>
          <cell r="AZ241" t="e">
            <v>#VALUE!</v>
          </cell>
          <cell r="BA241" t="e">
            <v>#VALUE!</v>
          </cell>
          <cell r="BB241" t="e">
            <v>#VALUE!</v>
          </cell>
          <cell r="BC241" t="e">
            <v>#VALUE!</v>
          </cell>
          <cell r="BD241" t="e">
            <v>#VALUE!</v>
          </cell>
          <cell r="BE241" t="e">
            <v>#VALUE!</v>
          </cell>
        </row>
        <row r="242">
          <cell r="H242">
            <v>37</v>
          </cell>
          <cell r="I242">
            <v>15.6</v>
          </cell>
          <cell r="J242">
            <v>27.42</v>
          </cell>
          <cell r="K242">
            <v>33.5</v>
          </cell>
          <cell r="L242">
            <v>26.99</v>
          </cell>
          <cell r="M242">
            <v>23.94</v>
          </cell>
          <cell r="N242">
            <v>45.24</v>
          </cell>
          <cell r="O242">
            <v>20.14</v>
          </cell>
          <cell r="P242">
            <v>17</v>
          </cell>
          <cell r="Q242">
            <v>20.88</v>
          </cell>
          <cell r="R242">
            <v>32.049999999999997</v>
          </cell>
          <cell r="S242">
            <v>30.4</v>
          </cell>
          <cell r="T242" t="e">
            <v>#VALUE!</v>
          </cell>
          <cell r="U242">
            <v>18.3</v>
          </cell>
          <cell r="V242">
            <v>53.69</v>
          </cell>
          <cell r="W242">
            <v>37</v>
          </cell>
          <cell r="X242">
            <v>47</v>
          </cell>
          <cell r="Y242">
            <v>24.6</v>
          </cell>
          <cell r="Z242" t="e">
            <v>#N/A</v>
          </cell>
          <cell r="AA242">
            <v>66.260000000000005</v>
          </cell>
          <cell r="AB242">
            <v>66.260000000000005</v>
          </cell>
          <cell r="AC242">
            <v>19.13</v>
          </cell>
          <cell r="AD242" t="e">
            <v>#N/A</v>
          </cell>
          <cell r="AE242">
            <v>9.33</v>
          </cell>
          <cell r="AF242">
            <v>42.92</v>
          </cell>
          <cell r="AG242">
            <v>27.22</v>
          </cell>
          <cell r="AH242">
            <v>53.69</v>
          </cell>
          <cell r="AI242">
            <v>24.25</v>
          </cell>
          <cell r="AJ242" t="e">
            <v>#VALUE!</v>
          </cell>
          <cell r="AK242">
            <v>27.2</v>
          </cell>
          <cell r="AL242">
            <v>32.07</v>
          </cell>
          <cell r="AM242">
            <v>46.62</v>
          </cell>
          <cell r="AN242">
            <v>6.7</v>
          </cell>
          <cell r="AO242" t="e">
            <v>#N/A</v>
          </cell>
          <cell r="AP242">
            <v>39.909999999999997</v>
          </cell>
          <cell r="AQ242" t="e">
            <v>#VALUE!</v>
          </cell>
          <cell r="AR242">
            <v>39.909999999999997</v>
          </cell>
          <cell r="AS242">
            <v>27.22</v>
          </cell>
          <cell r="AT242" t="e">
            <v>#N/A</v>
          </cell>
          <cell r="AU242">
            <v>65.650000000000006</v>
          </cell>
          <cell r="AV242">
            <v>65.650000000000006</v>
          </cell>
          <cell r="AW242" t="e">
            <v>#VALUE!</v>
          </cell>
          <cell r="AX242" t="e">
            <v>#VALUE!</v>
          </cell>
          <cell r="AY242" t="e">
            <v>#VALUE!</v>
          </cell>
          <cell r="AZ242" t="e">
            <v>#VALUE!</v>
          </cell>
          <cell r="BA242" t="e">
            <v>#VALUE!</v>
          </cell>
          <cell r="BB242" t="e">
            <v>#VALUE!</v>
          </cell>
          <cell r="BC242" t="e">
            <v>#VALUE!</v>
          </cell>
          <cell r="BD242" t="e">
            <v>#VALUE!</v>
          </cell>
          <cell r="BE242" t="e">
            <v>#VALUE!</v>
          </cell>
        </row>
        <row r="243">
          <cell r="H243">
            <v>1.72</v>
          </cell>
          <cell r="I243">
            <v>0.25</v>
          </cell>
          <cell r="J243">
            <v>0.96</v>
          </cell>
          <cell r="K243">
            <v>2.1800000000000002</v>
          </cell>
          <cell r="L243">
            <v>-0.2</v>
          </cell>
          <cell r="M243">
            <v>0.91</v>
          </cell>
          <cell r="N243">
            <v>2.02</v>
          </cell>
          <cell r="O243">
            <v>0.45</v>
          </cell>
          <cell r="P243">
            <v>1.0900000000000001</v>
          </cell>
          <cell r="Q243">
            <v>0.91</v>
          </cell>
          <cell r="R243">
            <v>1.4475</v>
          </cell>
          <cell r="S243">
            <v>1.27</v>
          </cell>
          <cell r="T243" t="e">
            <v>#VALUE!</v>
          </cell>
          <cell r="U243">
            <v>0.09</v>
          </cell>
          <cell r="V243">
            <v>0.88</v>
          </cell>
          <cell r="W243">
            <v>1.72</v>
          </cell>
          <cell r="X243">
            <v>1.56</v>
          </cell>
          <cell r="Y243">
            <v>0.72</v>
          </cell>
          <cell r="Z243" t="e">
            <v>#N/A</v>
          </cell>
          <cell r="AA243">
            <v>2.5150000000000001</v>
          </cell>
          <cell r="AB243">
            <v>2.5150000000000001</v>
          </cell>
          <cell r="AC243">
            <v>1.03</v>
          </cell>
          <cell r="AD243" t="e">
            <v>#N/A</v>
          </cell>
          <cell r="AE243">
            <v>0.40749999999999997</v>
          </cell>
          <cell r="AF243">
            <v>2.0099999999999998</v>
          </cell>
          <cell r="AG243">
            <v>1.4</v>
          </cell>
          <cell r="AH243">
            <v>1.0900000000000001</v>
          </cell>
          <cell r="AI243">
            <v>0.89</v>
          </cell>
          <cell r="AJ243" t="e">
            <v>#VALUE!</v>
          </cell>
          <cell r="AK243">
            <v>1.31</v>
          </cell>
          <cell r="AL243">
            <v>1.3674999999999999</v>
          </cell>
          <cell r="AM243">
            <v>1.88</v>
          </cell>
          <cell r="AN243">
            <v>0.64500000000000002</v>
          </cell>
          <cell r="AO243" t="e">
            <v>#N/A</v>
          </cell>
          <cell r="AP243">
            <v>1.2666666666666666</v>
          </cell>
          <cell r="AQ243" t="e">
            <v>#VALUE!</v>
          </cell>
          <cell r="AR243">
            <v>1.2666666666666666</v>
          </cell>
          <cell r="AS243">
            <v>1.4</v>
          </cell>
          <cell r="AT243" t="e">
            <v>#N/A</v>
          </cell>
          <cell r="AU243">
            <v>1.82</v>
          </cell>
          <cell r="AV243">
            <v>1.82</v>
          </cell>
          <cell r="AW243" t="e">
            <v>#VALUE!</v>
          </cell>
          <cell r="AX243" t="e">
            <v>#VALUE!</v>
          </cell>
          <cell r="AY243" t="e">
            <v>#VALUE!</v>
          </cell>
          <cell r="AZ243" t="e">
            <v>#VALUE!</v>
          </cell>
          <cell r="BA243" t="e">
            <v>#VALUE!</v>
          </cell>
          <cell r="BB243" t="e">
            <v>#VALUE!</v>
          </cell>
          <cell r="BC243" t="e">
            <v>#VALUE!</v>
          </cell>
          <cell r="BD243" t="e">
            <v>#VALUE!</v>
          </cell>
          <cell r="BE243" t="e">
            <v>#VALUE!</v>
          </cell>
        </row>
        <row r="244">
          <cell r="H244">
            <v>1.9</v>
          </cell>
          <cell r="I244">
            <v>0.23</v>
          </cell>
          <cell r="J244">
            <v>1.05</v>
          </cell>
          <cell r="K244">
            <v>2.77</v>
          </cell>
          <cell r="L244">
            <v>0.1</v>
          </cell>
          <cell r="M244">
            <v>0.83</v>
          </cell>
          <cell r="N244">
            <v>2.16</v>
          </cell>
          <cell r="O244">
            <v>0.51</v>
          </cell>
          <cell r="P244">
            <v>0.33</v>
          </cell>
          <cell r="Q244">
            <v>0.95</v>
          </cell>
          <cell r="R244">
            <v>1.53</v>
          </cell>
          <cell r="S244">
            <v>1.34</v>
          </cell>
          <cell r="T244">
            <v>1.76</v>
          </cell>
          <cell r="U244">
            <v>0.32</v>
          </cell>
          <cell r="V244">
            <v>1.54</v>
          </cell>
          <cell r="W244">
            <v>1.88</v>
          </cell>
          <cell r="X244">
            <v>1.78</v>
          </cell>
          <cell r="Y244">
            <v>1.01</v>
          </cell>
          <cell r="Z244" t="e">
            <v>#N/A</v>
          </cell>
          <cell r="AA244">
            <v>3.41</v>
          </cell>
          <cell r="AB244">
            <v>3.41</v>
          </cell>
          <cell r="AC244">
            <v>1.28</v>
          </cell>
          <cell r="AD244" t="e">
            <v>#N/A</v>
          </cell>
          <cell r="AE244">
            <v>0.26250000000000001</v>
          </cell>
          <cell r="AF244">
            <v>2.56</v>
          </cell>
          <cell r="AG244">
            <v>1.82</v>
          </cell>
          <cell r="AH244">
            <v>1.5649999999999999</v>
          </cell>
          <cell r="AI244">
            <v>0.24</v>
          </cell>
          <cell r="AJ244" t="e">
            <v>#VALUE!</v>
          </cell>
          <cell r="AK244">
            <v>1.76</v>
          </cell>
          <cell r="AL244">
            <v>1.7825</v>
          </cell>
          <cell r="AM244">
            <v>2.2799999999999998</v>
          </cell>
          <cell r="AN244">
            <v>0.33500000000000002</v>
          </cell>
          <cell r="AO244" t="e">
            <v>#N/A</v>
          </cell>
          <cell r="AP244">
            <v>1.5933333333333333</v>
          </cell>
          <cell r="AQ244" t="e">
            <v>#VALUE!</v>
          </cell>
          <cell r="AR244">
            <v>1.5933333333333333</v>
          </cell>
          <cell r="AS244">
            <v>1.82</v>
          </cell>
          <cell r="AT244" t="e">
            <v>#N/A</v>
          </cell>
          <cell r="AU244">
            <v>2.91</v>
          </cell>
          <cell r="AV244">
            <v>2.91</v>
          </cell>
          <cell r="AW244" t="e">
            <v>#VALUE!</v>
          </cell>
          <cell r="AX244" t="e">
            <v>#VALUE!</v>
          </cell>
          <cell r="AY244" t="e">
            <v>#VALUE!</v>
          </cell>
          <cell r="AZ244" t="e">
            <v>#VALUE!</v>
          </cell>
          <cell r="BA244" t="e">
            <v>#VALUE!</v>
          </cell>
          <cell r="BB244" t="e">
            <v>#VALUE!</v>
          </cell>
          <cell r="BC244" t="e">
            <v>#VALUE!</v>
          </cell>
          <cell r="BD244" t="e">
            <v>#VALUE!</v>
          </cell>
          <cell r="BE244" t="e">
            <v>#VALUE!</v>
          </cell>
        </row>
        <row r="245">
          <cell r="H245">
            <v>2.14</v>
          </cell>
          <cell r="I245">
            <v>0.34</v>
          </cell>
          <cell r="J245">
            <v>1.19</v>
          </cell>
          <cell r="K245">
            <v>3.12</v>
          </cell>
          <cell r="L245">
            <v>0.45</v>
          </cell>
          <cell r="M245">
            <v>1.02</v>
          </cell>
          <cell r="N245">
            <v>2.39</v>
          </cell>
          <cell r="O245">
            <v>0.73</v>
          </cell>
          <cell r="P245">
            <v>0.7</v>
          </cell>
          <cell r="Q245">
            <v>1.1100000000000001</v>
          </cell>
          <cell r="R245">
            <v>1.78083675</v>
          </cell>
          <cell r="S245">
            <v>1.55</v>
          </cell>
          <cell r="T245">
            <v>2.0299999999999998</v>
          </cell>
          <cell r="U245">
            <v>0.65</v>
          </cell>
          <cell r="V245">
            <v>2.2799999999999998</v>
          </cell>
          <cell r="W245">
            <v>2.14</v>
          </cell>
          <cell r="X245">
            <v>2.06</v>
          </cell>
          <cell r="Y245">
            <v>1.27</v>
          </cell>
          <cell r="Z245" t="e">
            <v>#N/A</v>
          </cell>
          <cell r="AA245">
            <v>4.08</v>
          </cell>
          <cell r="AB245">
            <v>4.08</v>
          </cell>
          <cell r="AC245">
            <v>1.42</v>
          </cell>
          <cell r="AD245" t="e">
            <v>#N/A</v>
          </cell>
          <cell r="AE245">
            <v>0.37</v>
          </cell>
          <cell r="AF245">
            <v>2.96</v>
          </cell>
          <cell r="AG245">
            <v>2.1800000000000002</v>
          </cell>
          <cell r="AH245">
            <v>2.2149999999999999</v>
          </cell>
          <cell r="AI245">
            <v>0.48</v>
          </cell>
          <cell r="AJ245" t="e">
            <v>#VALUE!</v>
          </cell>
          <cell r="AK245">
            <v>2.0299999999999998</v>
          </cell>
          <cell r="AL245">
            <v>2.1724999999999999</v>
          </cell>
          <cell r="AM245">
            <v>2.54</v>
          </cell>
          <cell r="AN245">
            <v>0.50160000000000005</v>
          </cell>
          <cell r="AO245" t="e">
            <v>#N/A</v>
          </cell>
          <cell r="AP245">
            <v>1.91</v>
          </cell>
          <cell r="AQ245" t="e">
            <v>#VALUE!</v>
          </cell>
          <cell r="AR245">
            <v>1.91</v>
          </cell>
          <cell r="AS245">
            <v>2.1800000000000002</v>
          </cell>
          <cell r="AT245" t="e">
            <v>#N/A</v>
          </cell>
          <cell r="AU245">
            <v>3.5</v>
          </cell>
          <cell r="AV245">
            <v>3.5</v>
          </cell>
          <cell r="AW245" t="e">
            <v>#VALUE!</v>
          </cell>
          <cell r="AX245" t="e">
            <v>#VALUE!</v>
          </cell>
          <cell r="AY245" t="e">
            <v>#VALUE!</v>
          </cell>
          <cell r="AZ245" t="e">
            <v>#VALUE!</v>
          </cell>
          <cell r="BA245" t="e">
            <v>#VALUE!</v>
          </cell>
          <cell r="BB245" t="e">
            <v>#VALUE!</v>
          </cell>
          <cell r="BC245" t="e">
            <v>#VALUE!</v>
          </cell>
          <cell r="BD245" t="e">
            <v>#VALUE!</v>
          </cell>
          <cell r="BE245" t="e">
            <v>#VALUE!</v>
          </cell>
        </row>
        <row r="246">
          <cell r="H246">
            <v>2.6</v>
          </cell>
          <cell r="I246">
            <v>0.46</v>
          </cell>
          <cell r="J246">
            <v>1.3729374999999999</v>
          </cell>
          <cell r="K246">
            <v>3.6816</v>
          </cell>
          <cell r="L246">
            <v>0.7</v>
          </cell>
          <cell r="M246">
            <v>1.25</v>
          </cell>
          <cell r="N246">
            <v>2.65</v>
          </cell>
          <cell r="O246">
            <v>0.86903999999999992</v>
          </cell>
          <cell r="P246">
            <v>0.81025000000000003</v>
          </cell>
          <cell r="Q246">
            <v>1.2931500000000002</v>
          </cell>
          <cell r="R246">
            <v>1.78083675</v>
          </cell>
          <cell r="S246">
            <v>1.75</v>
          </cell>
          <cell r="T246" t="e">
            <v>#VALUE!</v>
          </cell>
          <cell r="U246">
            <v>0.80437499999999995</v>
          </cell>
          <cell r="V246">
            <v>2.8143040000000004</v>
          </cell>
          <cell r="W246">
            <v>2.6</v>
          </cell>
          <cell r="X246">
            <v>2.38</v>
          </cell>
          <cell r="Y246">
            <v>1.5972790000000001</v>
          </cell>
          <cell r="Z246" t="e">
            <v>#N/A</v>
          </cell>
          <cell r="AA246" t="e">
            <v>#N/A</v>
          </cell>
          <cell r="AB246" t="e">
            <v>#N/A</v>
          </cell>
          <cell r="AC246">
            <v>1.6045999999999998</v>
          </cell>
          <cell r="AD246" t="e">
            <v>#N/A</v>
          </cell>
          <cell r="AE246">
            <v>0.44800000000000006</v>
          </cell>
          <cell r="AF246">
            <v>3.4039999999999999</v>
          </cell>
          <cell r="AG246">
            <v>2.6515339999999998</v>
          </cell>
          <cell r="AH246">
            <v>2.8143040000000004</v>
          </cell>
          <cell r="AI246">
            <v>0.52800000000000002</v>
          </cell>
          <cell r="AJ246" t="e">
            <v>#VALUE!</v>
          </cell>
          <cell r="AK246">
            <v>2.25</v>
          </cell>
          <cell r="AL246">
            <v>2.54</v>
          </cell>
          <cell r="AM246">
            <v>2.8305760000000002</v>
          </cell>
          <cell r="AN246">
            <v>0.50160000000000005</v>
          </cell>
          <cell r="AO246" t="e">
            <v>#N/A</v>
          </cell>
          <cell r="AP246">
            <v>2.271422666666667</v>
          </cell>
          <cell r="AQ246" t="e">
            <v>#VALUE!</v>
          </cell>
          <cell r="AR246">
            <v>2.271422666666667</v>
          </cell>
          <cell r="AS246">
            <v>2.6515339999999998</v>
          </cell>
          <cell r="AT246" t="e">
            <v>#N/A</v>
          </cell>
          <cell r="AU246">
            <v>4.1981800000000007</v>
          </cell>
          <cell r="AV246">
            <v>4.1981800000000007</v>
          </cell>
          <cell r="AW246" t="e">
            <v>#VALUE!</v>
          </cell>
          <cell r="AX246" t="e">
            <v>#VALUE!</v>
          </cell>
          <cell r="AY246" t="e">
            <v>#VALUE!</v>
          </cell>
          <cell r="AZ246" t="e">
            <v>#VALUE!</v>
          </cell>
          <cell r="BA246" t="e">
            <v>#VALUE!</v>
          </cell>
          <cell r="BB246" t="e">
            <v>#VALUE!</v>
          </cell>
          <cell r="BC246" t="e">
            <v>#VALUE!</v>
          </cell>
          <cell r="BD246" t="e">
            <v>#VALUE!</v>
          </cell>
          <cell r="BE246" t="e">
            <v>#VALUE!</v>
          </cell>
        </row>
        <row r="247">
          <cell r="H247">
            <v>0.17</v>
          </cell>
          <cell r="I247">
            <v>0.2</v>
          </cell>
          <cell r="J247">
            <v>0.19</v>
          </cell>
          <cell r="K247">
            <v>0.18</v>
          </cell>
          <cell r="L247">
            <v>0.38750000000000001</v>
          </cell>
          <cell r="M247">
            <v>0.17</v>
          </cell>
          <cell r="N247">
            <v>0.13</v>
          </cell>
          <cell r="O247">
            <v>0.2</v>
          </cell>
          <cell r="P247">
            <v>0.1575</v>
          </cell>
          <cell r="Q247">
            <v>0.16500000000000001</v>
          </cell>
          <cell r="R247">
            <v>0.16570000000000001</v>
          </cell>
          <cell r="S247">
            <v>0.17</v>
          </cell>
          <cell r="T247">
            <v>0.16</v>
          </cell>
          <cell r="U247">
            <v>0.23749999999999999</v>
          </cell>
          <cell r="V247">
            <v>0.3</v>
          </cell>
          <cell r="W247">
            <v>0.18760000000000002</v>
          </cell>
          <cell r="X247">
            <v>0.15670000000000001</v>
          </cell>
          <cell r="Y247">
            <v>0.25769999999999998</v>
          </cell>
          <cell r="Z247" t="e">
            <v>#N/A</v>
          </cell>
          <cell r="AA247">
            <v>0.19320000000000001</v>
          </cell>
          <cell r="AB247">
            <v>0.19320000000000001</v>
          </cell>
          <cell r="AC247">
            <v>0.13</v>
          </cell>
          <cell r="AD247" t="e">
            <v>#N/A</v>
          </cell>
          <cell r="AE247">
            <v>0.16</v>
          </cell>
          <cell r="AF247">
            <v>0.15</v>
          </cell>
          <cell r="AG247">
            <v>0.21629999999999999</v>
          </cell>
          <cell r="AH247">
            <v>0.26960000000000001</v>
          </cell>
          <cell r="AI247">
            <v>0.1</v>
          </cell>
          <cell r="AJ247" t="e">
            <v>#VALUE!</v>
          </cell>
          <cell r="AK247">
            <v>0.16</v>
          </cell>
          <cell r="AL247">
            <v>0.18760000000000002</v>
          </cell>
          <cell r="AM247">
            <v>0.1144</v>
          </cell>
          <cell r="AN247">
            <v>0.2</v>
          </cell>
          <cell r="AO247" t="e">
            <v>#N/A</v>
          </cell>
          <cell r="AP247">
            <v>0.1867</v>
          </cell>
          <cell r="AQ247" t="e">
            <v>#VALUE!</v>
          </cell>
          <cell r="AR247">
            <v>0.1867</v>
          </cell>
          <cell r="AS247">
            <v>0.21629999999999999</v>
          </cell>
          <cell r="AT247" t="e">
            <v>#N/A</v>
          </cell>
          <cell r="AU247">
            <v>0.19800000000000001</v>
          </cell>
          <cell r="AV247">
            <v>0.19800000000000001</v>
          </cell>
          <cell r="AW247" t="e">
            <v>#VALUE!</v>
          </cell>
          <cell r="AX247" t="e">
            <v>#VALUE!</v>
          </cell>
          <cell r="AY247" t="e">
            <v>#VALUE!</v>
          </cell>
          <cell r="AZ247" t="e">
            <v>#VALUE!</v>
          </cell>
          <cell r="BA247" t="e">
            <v>#VALUE!</v>
          </cell>
          <cell r="BB247" t="e">
            <v>#VALUE!</v>
          </cell>
          <cell r="BC247" t="e">
            <v>#VALUE!</v>
          </cell>
          <cell r="BD247" t="e">
            <v>#VALUE!</v>
          </cell>
          <cell r="BE247" t="e">
            <v>#VALUE!</v>
          </cell>
        </row>
        <row r="248">
          <cell r="H248">
            <v>73.790000000000006</v>
          </cell>
          <cell r="I248">
            <v>21.36</v>
          </cell>
          <cell r="J248">
            <v>38.06</v>
          </cell>
          <cell r="K248">
            <v>51</v>
          </cell>
          <cell r="L248">
            <v>41.95</v>
          </cell>
          <cell r="M248">
            <v>40.42</v>
          </cell>
          <cell r="N248">
            <v>51.98</v>
          </cell>
          <cell r="O248">
            <v>24.05</v>
          </cell>
          <cell r="P248">
            <v>36.299999999999997</v>
          </cell>
          <cell r="Q248">
            <v>24.6</v>
          </cell>
          <cell r="R248">
            <v>39.6</v>
          </cell>
          <cell r="S248">
            <v>40.950000000000003</v>
          </cell>
          <cell r="T248" t="e">
            <v>#VALUE!</v>
          </cell>
          <cell r="U248">
            <v>26.86</v>
          </cell>
          <cell r="V248">
            <v>64.819999999999993</v>
          </cell>
          <cell r="W248">
            <v>73.790000000000006</v>
          </cell>
          <cell r="X248">
            <v>56.248170000000002</v>
          </cell>
          <cell r="Y248">
            <v>35.96</v>
          </cell>
          <cell r="Z248" t="e">
            <v>#N/A</v>
          </cell>
          <cell r="AA248">
            <v>82.85</v>
          </cell>
          <cell r="AB248">
            <v>82.85</v>
          </cell>
          <cell r="AC248">
            <v>20.9</v>
          </cell>
          <cell r="AD248" t="e">
            <v>#N/A</v>
          </cell>
          <cell r="AE248">
            <v>10.48</v>
          </cell>
          <cell r="AF248">
            <v>53.35</v>
          </cell>
          <cell r="AG248">
            <v>35.799999999999997</v>
          </cell>
          <cell r="AH248">
            <v>64.819999999999993</v>
          </cell>
          <cell r="AI248">
            <v>9.5009999999999994</v>
          </cell>
          <cell r="AJ248" t="e">
            <v>#VALUE!</v>
          </cell>
          <cell r="AK248">
            <v>33.43</v>
          </cell>
          <cell r="AL248">
            <v>42.09</v>
          </cell>
          <cell r="AM248">
            <v>52.8</v>
          </cell>
          <cell r="AN248">
            <v>8.15</v>
          </cell>
          <cell r="AO248" t="e">
            <v>#N/A</v>
          </cell>
          <cell r="AP248">
            <v>53.47</v>
          </cell>
          <cell r="AQ248" t="e">
            <v>#VALUE!</v>
          </cell>
          <cell r="AR248">
            <v>53.47</v>
          </cell>
          <cell r="AS248">
            <v>35.799999999999997</v>
          </cell>
          <cell r="AT248">
            <v>16.12</v>
          </cell>
          <cell r="AU248">
            <v>76.599999999999994</v>
          </cell>
          <cell r="AV248">
            <v>76.599999999999994</v>
          </cell>
          <cell r="AW248" t="e">
            <v>#VALUE!</v>
          </cell>
          <cell r="AX248" t="e">
            <v>#VALUE!</v>
          </cell>
          <cell r="AY248" t="e">
            <v>#VALUE!</v>
          </cell>
          <cell r="AZ248" t="e">
            <v>#VALUE!</v>
          </cell>
          <cell r="BA248" t="e">
            <v>#VALUE!</v>
          </cell>
          <cell r="BB248" t="e">
            <v>#VALUE!</v>
          </cell>
          <cell r="BC248" t="e">
            <v>#VALUE!</v>
          </cell>
          <cell r="BD248" t="e">
            <v>#VALUE!</v>
          </cell>
          <cell r="BE248" t="e">
            <v>#VALUE!</v>
          </cell>
        </row>
        <row r="249">
          <cell r="H249">
            <v>26.58</v>
          </cell>
          <cell r="I249">
            <v>5.2</v>
          </cell>
          <cell r="J249">
            <v>21.8</v>
          </cell>
          <cell r="K249">
            <v>21</v>
          </cell>
          <cell r="L249">
            <v>13.8</v>
          </cell>
          <cell r="M249">
            <v>13</v>
          </cell>
          <cell r="N249">
            <v>24.85</v>
          </cell>
          <cell r="O249">
            <v>9.9499999999999993</v>
          </cell>
          <cell r="P249">
            <v>4.28</v>
          </cell>
          <cell r="Q249">
            <v>14.33</v>
          </cell>
          <cell r="R249">
            <v>22.33</v>
          </cell>
          <cell r="S249">
            <v>17.86</v>
          </cell>
          <cell r="T249" t="e">
            <v>#VALUE!</v>
          </cell>
          <cell r="U249">
            <v>18</v>
          </cell>
          <cell r="V249">
            <v>29.25</v>
          </cell>
          <cell r="W249">
            <v>26.58</v>
          </cell>
          <cell r="X249">
            <v>27.25</v>
          </cell>
          <cell r="Y249">
            <v>18.16</v>
          </cell>
          <cell r="Z249" t="e">
            <v>#N/A</v>
          </cell>
          <cell r="AA249">
            <v>53.850999999999999</v>
          </cell>
          <cell r="AB249">
            <v>53.850999999999999</v>
          </cell>
          <cell r="AC249">
            <v>13.27</v>
          </cell>
          <cell r="AD249" t="e">
            <v>#N/A</v>
          </cell>
          <cell r="AE249">
            <v>4.55</v>
          </cell>
          <cell r="AF249">
            <v>31.9</v>
          </cell>
          <cell r="AG249">
            <v>20.5</v>
          </cell>
          <cell r="AH249">
            <v>29.25</v>
          </cell>
          <cell r="AI249">
            <v>4.8816200000000007</v>
          </cell>
          <cell r="AJ249" t="e">
            <v>#VALUE!</v>
          </cell>
          <cell r="AK249">
            <v>21</v>
          </cell>
          <cell r="AL249">
            <v>26.5</v>
          </cell>
          <cell r="AM249">
            <v>36.25</v>
          </cell>
          <cell r="AN249">
            <v>1.75</v>
          </cell>
          <cell r="AO249" t="e">
            <v>#N/A</v>
          </cell>
          <cell r="AP249">
            <v>32.799999999999997</v>
          </cell>
          <cell r="AQ249" t="e">
            <v>#VALUE!</v>
          </cell>
          <cell r="AR249">
            <v>32.799999999999997</v>
          </cell>
          <cell r="AS249">
            <v>20.5</v>
          </cell>
          <cell r="AT249">
            <v>8</v>
          </cell>
          <cell r="AU249">
            <v>46.6</v>
          </cell>
          <cell r="AV249">
            <v>46.6</v>
          </cell>
          <cell r="AW249" t="e">
            <v>#VALUE!</v>
          </cell>
          <cell r="AX249" t="e">
            <v>#VALUE!</v>
          </cell>
          <cell r="AY249" t="e">
            <v>#VALUE!</v>
          </cell>
          <cell r="AZ249" t="e">
            <v>#VALUE!</v>
          </cell>
          <cell r="BA249" t="e">
            <v>#VALUE!</v>
          </cell>
          <cell r="BB249" t="e">
            <v>#VALUE!</v>
          </cell>
          <cell r="BC249" t="e">
            <v>#VALUE!</v>
          </cell>
          <cell r="BD249" t="e">
            <v>#VALUE!</v>
          </cell>
          <cell r="BE249" t="e">
            <v>#VALUE!</v>
          </cell>
        </row>
        <row r="252">
          <cell r="H252">
            <v>37256</v>
          </cell>
          <cell r="I252">
            <v>37256</v>
          </cell>
          <cell r="J252">
            <v>37437</v>
          </cell>
          <cell r="K252">
            <v>37256</v>
          </cell>
          <cell r="L252">
            <v>37256</v>
          </cell>
          <cell r="M252">
            <v>37256</v>
          </cell>
          <cell r="N252">
            <v>37256</v>
          </cell>
          <cell r="O252">
            <v>37256</v>
          </cell>
          <cell r="P252">
            <v>37256</v>
          </cell>
          <cell r="Q252">
            <v>37256</v>
          </cell>
          <cell r="R252">
            <v>37256</v>
          </cell>
          <cell r="S252">
            <v>37256</v>
          </cell>
          <cell r="T252">
            <v>37256</v>
          </cell>
          <cell r="U252">
            <v>37256</v>
          </cell>
          <cell r="V252">
            <v>37437</v>
          </cell>
          <cell r="W252">
            <v>37256</v>
          </cell>
          <cell r="X252">
            <v>37256</v>
          </cell>
          <cell r="Y252">
            <v>37345</v>
          </cell>
          <cell r="Z252">
            <v>0</v>
          </cell>
          <cell r="AA252">
            <v>0</v>
          </cell>
          <cell r="AB252">
            <v>37346</v>
          </cell>
          <cell r="AC252">
            <v>37346</v>
          </cell>
          <cell r="AD252">
            <v>36891</v>
          </cell>
          <cell r="AE252">
            <v>37253</v>
          </cell>
          <cell r="AF252">
            <v>37345</v>
          </cell>
          <cell r="AG252">
            <v>37346</v>
          </cell>
          <cell r="AH252">
            <v>0</v>
          </cell>
          <cell r="AI252">
            <v>0</v>
          </cell>
          <cell r="AJ252">
            <v>37256</v>
          </cell>
          <cell r="AK252">
            <v>37437</v>
          </cell>
          <cell r="AL252">
            <v>37256</v>
          </cell>
          <cell r="AM252">
            <v>37256</v>
          </cell>
          <cell r="AN252">
            <v>37162</v>
          </cell>
          <cell r="AO252">
            <v>36891</v>
          </cell>
          <cell r="AP252">
            <v>37009</v>
          </cell>
          <cell r="AQ252">
            <v>37009</v>
          </cell>
          <cell r="AR252">
            <v>37434</v>
          </cell>
          <cell r="AS252">
            <v>0</v>
          </cell>
          <cell r="AT252">
            <v>0</v>
          </cell>
          <cell r="AU252">
            <v>0</v>
          </cell>
          <cell r="AV252">
            <v>37346</v>
          </cell>
          <cell r="AW252">
            <v>36891</v>
          </cell>
          <cell r="AX252">
            <v>36891</v>
          </cell>
          <cell r="AY252">
            <v>36891</v>
          </cell>
          <cell r="AZ252">
            <v>36891</v>
          </cell>
          <cell r="BA252">
            <v>36891</v>
          </cell>
          <cell r="BB252">
            <v>36891</v>
          </cell>
          <cell r="BC252">
            <v>36891</v>
          </cell>
          <cell r="BD252">
            <v>36891</v>
          </cell>
          <cell r="BE252">
            <v>36891</v>
          </cell>
        </row>
        <row r="253">
          <cell r="H253">
            <v>0</v>
          </cell>
          <cell r="I253">
            <v>0</v>
          </cell>
          <cell r="J253">
            <v>0</v>
          </cell>
          <cell r="K253">
            <v>0</v>
          </cell>
          <cell r="L253">
            <v>0</v>
          </cell>
          <cell r="M253">
            <v>0</v>
          </cell>
          <cell r="N253">
            <v>0</v>
          </cell>
          <cell r="O253">
            <v>0</v>
          </cell>
          <cell r="P253">
            <v>0</v>
          </cell>
          <cell r="Q253">
            <v>0</v>
          </cell>
          <cell r="R253">
            <v>0</v>
          </cell>
          <cell r="S253">
            <v>0</v>
          </cell>
          <cell r="T253">
            <v>0</v>
          </cell>
          <cell r="U253">
            <v>79.676000000000016</v>
          </cell>
          <cell r="V253">
            <v>859.20799999999997</v>
          </cell>
          <cell r="W253">
            <v>617.78400000000011</v>
          </cell>
          <cell r="X253">
            <v>637.08299999999986</v>
          </cell>
          <cell r="Y253">
            <v>903.23099999999999</v>
          </cell>
          <cell r="Z253">
            <v>20077.681</v>
          </cell>
          <cell r="AA253">
            <v>13334.064000000004</v>
          </cell>
          <cell r="AB253">
            <v>37652.683999999994</v>
          </cell>
          <cell r="AC253">
            <v>3857.1689999999999</v>
          </cell>
          <cell r="AD253">
            <v>0</v>
          </cell>
          <cell r="AE253">
            <v>1778.1620000000003</v>
          </cell>
          <cell r="AF253">
            <v>2611.4409999999998</v>
          </cell>
          <cell r="AG253">
            <v>808.78600000000006</v>
          </cell>
          <cell r="AH253">
            <v>127.60400000000004</v>
          </cell>
          <cell r="AI253">
            <v>-6.2752499999999145</v>
          </cell>
          <cell r="AJ253">
            <v>1314.2507500000002</v>
          </cell>
          <cell r="AK253">
            <v>3069.5999999999995</v>
          </cell>
          <cell r="AL253">
            <v>35489.199999999997</v>
          </cell>
          <cell r="AM253">
            <v>1179.4469999999999</v>
          </cell>
          <cell r="AN253">
            <v>328.50900000000001</v>
          </cell>
          <cell r="AO253">
            <v>0</v>
          </cell>
          <cell r="AP253">
            <v>886.41499999999996</v>
          </cell>
          <cell r="AQ253">
            <v>149.649</v>
          </cell>
          <cell r="AR253">
            <v>1389.5150000000001</v>
          </cell>
          <cell r="AS253">
            <v>808.78599999999994</v>
          </cell>
          <cell r="AT253">
            <v>215.02499999999998</v>
          </cell>
          <cell r="AU253">
            <v>42882.7</v>
          </cell>
          <cell r="AV253">
            <v>43906.510999999991</v>
          </cell>
          <cell r="AW253">
            <v>0</v>
          </cell>
          <cell r="AX253">
            <v>0</v>
          </cell>
          <cell r="AY253">
            <v>0</v>
          </cell>
          <cell r="AZ253">
            <v>0</v>
          </cell>
          <cell r="BA253">
            <v>0</v>
          </cell>
          <cell r="BB253">
            <v>0</v>
          </cell>
          <cell r="BC253">
            <v>0</v>
          </cell>
          <cell r="BD253">
            <v>0</v>
          </cell>
          <cell r="BE253">
            <v>0</v>
          </cell>
        </row>
        <row r="254">
          <cell r="H254">
            <v>0</v>
          </cell>
          <cell r="I254">
            <v>0</v>
          </cell>
          <cell r="J254">
            <v>0</v>
          </cell>
          <cell r="K254">
            <v>0</v>
          </cell>
          <cell r="L254">
            <v>0</v>
          </cell>
          <cell r="M254">
            <v>0</v>
          </cell>
          <cell r="N254">
            <v>0</v>
          </cell>
          <cell r="O254">
            <v>0</v>
          </cell>
          <cell r="P254">
            <v>0</v>
          </cell>
          <cell r="Q254">
            <v>0</v>
          </cell>
          <cell r="R254">
            <v>0</v>
          </cell>
          <cell r="S254">
            <v>0</v>
          </cell>
          <cell r="T254">
            <v>0</v>
          </cell>
          <cell r="U254">
            <v>25.537000000000006</v>
          </cell>
          <cell r="V254">
            <v>311.23200000000003</v>
          </cell>
          <cell r="W254">
            <v>276.92808390943935</v>
          </cell>
          <cell r="X254">
            <v>284.06199999999995</v>
          </cell>
          <cell r="Y254">
            <v>802.86199999999997</v>
          </cell>
          <cell r="Z254">
            <v>18808.510000000002</v>
          </cell>
          <cell r="AA254">
            <v>12761.905000000001</v>
          </cell>
          <cell r="AB254">
            <v>35708.300999999992</v>
          </cell>
          <cell r="AC254">
            <v>3444.7849999999999</v>
          </cell>
          <cell r="AD254">
            <v>0</v>
          </cell>
          <cell r="AE254">
            <v>1376.2660000000003</v>
          </cell>
          <cell r="AF254">
            <v>1893.0840000000003</v>
          </cell>
          <cell r="AG254">
            <v>500.03700000000003</v>
          </cell>
          <cell r="AH254">
            <v>102.44600000000003</v>
          </cell>
          <cell r="AI254">
            <v>-5.6970000000000027</v>
          </cell>
          <cell r="AJ254">
            <v>1011.6460000000002</v>
          </cell>
          <cell r="AK254">
            <v>2269.0000000000005</v>
          </cell>
          <cell r="AL254">
            <v>32785.300000000003</v>
          </cell>
          <cell r="AM254">
            <v>613.04200000000003</v>
          </cell>
          <cell r="AN254">
            <v>289.42000000000007</v>
          </cell>
          <cell r="AO254">
            <v>0</v>
          </cell>
          <cell r="AP254">
            <v>570.35599999999999</v>
          </cell>
          <cell r="AQ254">
            <v>110.994</v>
          </cell>
          <cell r="AR254">
            <v>908.57637769999997</v>
          </cell>
          <cell r="AS254">
            <v>500.03699999999992</v>
          </cell>
          <cell r="AT254">
            <v>149.91200000000003</v>
          </cell>
          <cell r="AU254">
            <v>38923.799999999996</v>
          </cell>
          <cell r="AV254">
            <v>39573.748999999989</v>
          </cell>
          <cell r="AW254">
            <v>0</v>
          </cell>
          <cell r="AX254">
            <v>0</v>
          </cell>
          <cell r="AY254">
            <v>0</v>
          </cell>
          <cell r="AZ254">
            <v>0</v>
          </cell>
          <cell r="BA254">
            <v>0</v>
          </cell>
          <cell r="BB254">
            <v>0</v>
          </cell>
          <cell r="BC254">
            <v>0</v>
          </cell>
          <cell r="BD254">
            <v>0</v>
          </cell>
          <cell r="BE254">
            <v>0</v>
          </cell>
        </row>
        <row r="255">
          <cell r="H255">
            <v>0</v>
          </cell>
          <cell r="I255">
            <v>0</v>
          </cell>
          <cell r="J255">
            <v>0</v>
          </cell>
          <cell r="K255">
            <v>0</v>
          </cell>
          <cell r="L255">
            <v>0</v>
          </cell>
          <cell r="M255">
            <v>0</v>
          </cell>
          <cell r="N255">
            <v>0</v>
          </cell>
          <cell r="O255">
            <v>0</v>
          </cell>
          <cell r="P255">
            <v>0</v>
          </cell>
          <cell r="Q255">
            <v>0</v>
          </cell>
          <cell r="R255">
            <v>0</v>
          </cell>
          <cell r="S255">
            <v>0</v>
          </cell>
          <cell r="T255">
            <v>0</v>
          </cell>
          <cell r="U255">
            <v>54.13900000000001</v>
          </cell>
          <cell r="V255">
            <v>547.97599999999989</v>
          </cell>
          <cell r="W255">
            <v>340.85591609056075</v>
          </cell>
          <cell r="X255">
            <v>353.0209999999999</v>
          </cell>
          <cell r="Y255">
            <v>100.36900000000003</v>
          </cell>
          <cell r="Z255">
            <v>1269.1709999999985</v>
          </cell>
          <cell r="AA255">
            <v>572.15900000000329</v>
          </cell>
          <cell r="AB255">
            <v>1944.3830000000016</v>
          </cell>
          <cell r="AC255">
            <v>412.38400000000001</v>
          </cell>
          <cell r="AD255">
            <v>0</v>
          </cell>
          <cell r="AE255">
            <v>401.89599999999996</v>
          </cell>
          <cell r="AF255">
            <v>718.35699999999952</v>
          </cell>
          <cell r="AG255">
            <v>308.74900000000002</v>
          </cell>
          <cell r="AH255">
            <v>25.158000000000015</v>
          </cell>
          <cell r="AI255">
            <v>-0.57824999999991178</v>
          </cell>
          <cell r="AJ255">
            <v>302.60474999999997</v>
          </cell>
          <cell r="AK255">
            <v>800.599999999999</v>
          </cell>
          <cell r="AL255">
            <v>2703.8999999999942</v>
          </cell>
          <cell r="AM255">
            <v>566.40499999999986</v>
          </cell>
          <cell r="AN255">
            <v>39.088999999999942</v>
          </cell>
          <cell r="AO255">
            <v>0</v>
          </cell>
          <cell r="AP255">
            <v>316.05899999999997</v>
          </cell>
          <cell r="AQ255">
            <v>38.655000000000001</v>
          </cell>
          <cell r="AR255">
            <v>480.93862230000013</v>
          </cell>
          <cell r="AS255">
            <v>308.74900000000002</v>
          </cell>
          <cell r="AT255">
            <v>65.112999999999943</v>
          </cell>
          <cell r="AU255">
            <v>3958.9000000000015</v>
          </cell>
          <cell r="AV255">
            <v>4332.7620000000024</v>
          </cell>
          <cell r="AW255">
            <v>0</v>
          </cell>
          <cell r="AX255">
            <v>0</v>
          </cell>
          <cell r="AY255">
            <v>0</v>
          </cell>
          <cell r="AZ255">
            <v>0</v>
          </cell>
          <cell r="BA255">
            <v>0</v>
          </cell>
          <cell r="BB255">
            <v>0</v>
          </cell>
          <cell r="BC255">
            <v>0</v>
          </cell>
          <cell r="BD255">
            <v>0</v>
          </cell>
          <cell r="BE255">
            <v>0</v>
          </cell>
        </row>
        <row r="256">
          <cell r="H256">
            <v>0</v>
          </cell>
          <cell r="I256">
            <v>0</v>
          </cell>
          <cell r="J256">
            <v>0</v>
          </cell>
          <cell r="K256">
            <v>0</v>
          </cell>
          <cell r="L256">
            <v>0</v>
          </cell>
          <cell r="M256">
            <v>0</v>
          </cell>
          <cell r="N256">
            <v>0</v>
          </cell>
          <cell r="O256">
            <v>0</v>
          </cell>
          <cell r="P256">
            <v>0</v>
          </cell>
          <cell r="Q256">
            <v>0</v>
          </cell>
          <cell r="R256">
            <v>0</v>
          </cell>
          <cell r="S256">
            <v>0</v>
          </cell>
          <cell r="T256">
            <v>0</v>
          </cell>
          <cell r="U256">
            <v>6.4099999999999993</v>
          </cell>
          <cell r="V256">
            <v>30.077000000000002</v>
          </cell>
          <cell r="W256">
            <v>21.85275</v>
          </cell>
          <cell r="X256">
            <v>32.555</v>
          </cell>
          <cell r="Y256">
            <v>3.6420000000000003</v>
          </cell>
          <cell r="Z256">
            <v>82.698000000000008</v>
          </cell>
          <cell r="AA256">
            <v>17.420000000000002</v>
          </cell>
          <cell r="AB256">
            <v>63.783999999999999</v>
          </cell>
          <cell r="AC256">
            <v>22.178000000000004</v>
          </cell>
          <cell r="AD256">
            <v>0</v>
          </cell>
          <cell r="AE256">
            <v>21.582000000000001</v>
          </cell>
          <cell r="AF256">
            <v>26.502000000000006</v>
          </cell>
          <cell r="AG256">
            <v>41.96</v>
          </cell>
          <cell r="AH256">
            <v>0.38300000000000023</v>
          </cell>
          <cell r="AI256">
            <v>-1.6754999999999995</v>
          </cell>
          <cell r="AJ256">
            <v>14.964500000000001</v>
          </cell>
          <cell r="AK256">
            <v>80.599999999999994</v>
          </cell>
          <cell r="AL256">
            <v>221.8</v>
          </cell>
          <cell r="AM256">
            <v>71.373000000000005</v>
          </cell>
          <cell r="AN256">
            <v>4.0869999999999997</v>
          </cell>
          <cell r="AO256">
            <v>0</v>
          </cell>
          <cell r="AP256">
            <v>7.4390000000000001</v>
          </cell>
          <cell r="AQ256">
            <v>0.59960250000000004</v>
          </cell>
          <cell r="AR256">
            <v>10.989469999999999</v>
          </cell>
          <cell r="AS256">
            <v>41.960000000000008</v>
          </cell>
          <cell r="AT256">
            <v>6.09</v>
          </cell>
          <cell r="AU256">
            <v>286.90000000000003</v>
          </cell>
          <cell r="AV256">
            <v>334.95000000000005</v>
          </cell>
          <cell r="AW256">
            <v>0</v>
          </cell>
          <cell r="AX256">
            <v>0</v>
          </cell>
          <cell r="AY256">
            <v>0</v>
          </cell>
          <cell r="AZ256">
            <v>0</v>
          </cell>
          <cell r="BA256">
            <v>0</v>
          </cell>
          <cell r="BB256">
            <v>0</v>
          </cell>
          <cell r="BC256">
            <v>0</v>
          </cell>
          <cell r="BD256">
            <v>0</v>
          </cell>
          <cell r="BE256">
            <v>0</v>
          </cell>
        </row>
        <row r="257">
          <cell r="H257">
            <v>0</v>
          </cell>
          <cell r="I257">
            <v>0</v>
          </cell>
          <cell r="J257">
            <v>0</v>
          </cell>
          <cell r="K257">
            <v>0</v>
          </cell>
          <cell r="L257">
            <v>0</v>
          </cell>
          <cell r="M257">
            <v>0</v>
          </cell>
          <cell r="N257">
            <v>0</v>
          </cell>
          <cell r="O257">
            <v>0</v>
          </cell>
          <cell r="P257">
            <v>0</v>
          </cell>
          <cell r="Q257">
            <v>0</v>
          </cell>
          <cell r="R257">
            <v>0</v>
          </cell>
          <cell r="S257">
            <v>0</v>
          </cell>
          <cell r="T257">
            <v>0</v>
          </cell>
          <cell r="U257">
            <v>37.513999999999996</v>
          </cell>
          <cell r="V257">
            <v>269.70600000000002</v>
          </cell>
          <cell r="W257">
            <v>185.05795940499982</v>
          </cell>
          <cell r="X257">
            <v>187.04499999999996</v>
          </cell>
          <cell r="Y257">
            <v>54.028999999999996</v>
          </cell>
          <cell r="Z257">
            <v>862.37400000000002</v>
          </cell>
          <cell r="AA257">
            <v>320.27100000000002</v>
          </cell>
          <cell r="AB257">
            <v>1202.3329999999999</v>
          </cell>
          <cell r="AC257">
            <v>299.83000000000004</v>
          </cell>
          <cell r="AD257">
            <v>0</v>
          </cell>
          <cell r="AE257">
            <v>349.79500000000002</v>
          </cell>
          <cell r="AF257">
            <v>557.52</v>
          </cell>
          <cell r="AG257">
            <v>192.541</v>
          </cell>
          <cell r="AH257">
            <v>9.2929999999999993</v>
          </cell>
          <cell r="AI257">
            <v>-10.338000000000008</v>
          </cell>
          <cell r="AJ257">
            <v>171.55600000000001</v>
          </cell>
          <cell r="AK257">
            <v>45.200000000000045</v>
          </cell>
          <cell r="AL257">
            <v>2224.1999999999998</v>
          </cell>
          <cell r="AM257">
            <v>347.03</v>
          </cell>
          <cell r="AN257">
            <v>37.086999999999996</v>
          </cell>
          <cell r="AO257">
            <v>0</v>
          </cell>
          <cell r="AP257">
            <v>225.142</v>
          </cell>
          <cell r="AQ257">
            <v>28.146000000000001</v>
          </cell>
          <cell r="AR257">
            <v>340.13523347</v>
          </cell>
          <cell r="AS257">
            <v>192.541</v>
          </cell>
          <cell r="AT257">
            <v>52.514999999999993</v>
          </cell>
          <cell r="AU257">
            <v>2120.1</v>
          </cell>
          <cell r="AV257">
            <v>2365.1559999999999</v>
          </cell>
          <cell r="AW257">
            <v>0</v>
          </cell>
          <cell r="AX257">
            <v>0</v>
          </cell>
          <cell r="AY257">
            <v>0</v>
          </cell>
          <cell r="AZ257">
            <v>0</v>
          </cell>
          <cell r="BA257">
            <v>0</v>
          </cell>
          <cell r="BB257">
            <v>0</v>
          </cell>
          <cell r="BC257">
            <v>0</v>
          </cell>
          <cell r="BD257">
            <v>0</v>
          </cell>
          <cell r="BE257">
            <v>0</v>
          </cell>
        </row>
        <row r="258">
          <cell r="H258">
            <v>0</v>
          </cell>
          <cell r="I258">
            <v>0</v>
          </cell>
          <cell r="J258">
            <v>0</v>
          </cell>
          <cell r="K258">
            <v>0</v>
          </cell>
          <cell r="L258">
            <v>0</v>
          </cell>
          <cell r="M258">
            <v>0</v>
          </cell>
          <cell r="N258">
            <v>0</v>
          </cell>
          <cell r="O258">
            <v>0</v>
          </cell>
          <cell r="P258">
            <v>0</v>
          </cell>
          <cell r="Q258">
            <v>0</v>
          </cell>
          <cell r="R258">
            <v>0</v>
          </cell>
          <cell r="S258">
            <v>0</v>
          </cell>
          <cell r="T258">
            <v>0</v>
          </cell>
          <cell r="U258">
            <v>14.298999999999999</v>
          </cell>
          <cell r="V258">
            <v>46.601999999999997</v>
          </cell>
          <cell r="W258">
            <v>39.601536483077233</v>
          </cell>
          <cell r="X258">
            <v>42.506</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147.5</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row>
        <row r="259">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row>
        <row r="260">
          <cell r="H260">
            <v>0</v>
          </cell>
          <cell r="I260">
            <v>0</v>
          </cell>
          <cell r="J260">
            <v>0</v>
          </cell>
          <cell r="K260">
            <v>0</v>
          </cell>
          <cell r="L260">
            <v>0</v>
          </cell>
          <cell r="M260">
            <v>0</v>
          </cell>
          <cell r="N260">
            <v>0</v>
          </cell>
          <cell r="O260">
            <v>0</v>
          </cell>
          <cell r="P260">
            <v>0</v>
          </cell>
          <cell r="Q260">
            <v>0</v>
          </cell>
          <cell r="R260">
            <v>0</v>
          </cell>
          <cell r="S260">
            <v>0</v>
          </cell>
          <cell r="T260">
            <v>0</v>
          </cell>
          <cell r="U260">
            <v>0.85199999999999965</v>
          </cell>
          <cell r="V260">
            <v>231.66800000000001</v>
          </cell>
          <cell r="W260">
            <v>115.50596117427342</v>
          </cell>
          <cell r="X260">
            <v>123.47</v>
          </cell>
          <cell r="Y260">
            <v>47.505000000000003</v>
          </cell>
          <cell r="Z260">
            <v>330.14100000000002</v>
          </cell>
          <cell r="AA260">
            <v>235.22500000000002</v>
          </cell>
          <cell r="AB260">
            <v>680.96699999999998</v>
          </cell>
          <cell r="AC260">
            <v>91.710999999999999</v>
          </cell>
          <cell r="AD260">
            <v>0</v>
          </cell>
          <cell r="AE260">
            <v>16.884</v>
          </cell>
          <cell r="AF260">
            <v>160.83699999999999</v>
          </cell>
          <cell r="AG260">
            <v>74.248000000000005</v>
          </cell>
          <cell r="AH260">
            <v>16.385000000000002</v>
          </cell>
          <cell r="AI260">
            <v>2.3609999999999971</v>
          </cell>
          <cell r="AJ260">
            <v>74.930999999999997</v>
          </cell>
          <cell r="AK260">
            <v>227.2</v>
          </cell>
          <cell r="AL260">
            <v>719</v>
          </cell>
          <cell r="AM260">
            <v>219.375</v>
          </cell>
          <cell r="AN260">
            <v>-3.4660000000000002</v>
          </cell>
          <cell r="AO260">
            <v>0</v>
          </cell>
          <cell r="AP260">
            <v>90.917000000000002</v>
          </cell>
          <cell r="AQ260">
            <v>10.509</v>
          </cell>
          <cell r="AR260">
            <v>136.28527358999997</v>
          </cell>
          <cell r="AS260">
            <v>74.248000000000005</v>
          </cell>
          <cell r="AT260">
            <v>12.198999999999998</v>
          </cell>
          <cell r="AU260">
            <v>1839.5000000000002</v>
          </cell>
          <cell r="AV260">
            <v>1925.9470000000001</v>
          </cell>
          <cell r="AW260">
            <v>0</v>
          </cell>
          <cell r="AX260">
            <v>0</v>
          </cell>
          <cell r="AY260">
            <v>0</v>
          </cell>
          <cell r="AZ260">
            <v>0</v>
          </cell>
          <cell r="BA260">
            <v>0</v>
          </cell>
          <cell r="BB260">
            <v>0</v>
          </cell>
          <cell r="BC260">
            <v>0</v>
          </cell>
          <cell r="BD260">
            <v>0</v>
          </cell>
          <cell r="BE260">
            <v>0</v>
          </cell>
        </row>
        <row r="261">
          <cell r="H261">
            <v>0</v>
          </cell>
          <cell r="I261">
            <v>0</v>
          </cell>
          <cell r="J261">
            <v>0</v>
          </cell>
          <cell r="K261">
            <v>0</v>
          </cell>
          <cell r="L261">
            <v>0</v>
          </cell>
          <cell r="M261">
            <v>0</v>
          </cell>
          <cell r="N261">
            <v>0</v>
          </cell>
          <cell r="O261">
            <v>0</v>
          </cell>
          <cell r="P261">
            <v>0</v>
          </cell>
          <cell r="Q261">
            <v>0</v>
          </cell>
          <cell r="R261">
            <v>0</v>
          </cell>
          <cell r="S261">
            <v>0</v>
          </cell>
          <cell r="T261">
            <v>0</v>
          </cell>
          <cell r="U261">
            <v>-1.194</v>
          </cell>
          <cell r="V261">
            <v>-4.9649999999999999</v>
          </cell>
          <cell r="W261">
            <v>-8.4444166666666689</v>
          </cell>
          <cell r="X261">
            <v>22.434000000000001</v>
          </cell>
          <cell r="Y261">
            <v>-4.9660000000000002</v>
          </cell>
          <cell r="Z261">
            <v>180.11366666666669</v>
          </cell>
          <cell r="AA261">
            <v>31.352333333333338</v>
          </cell>
          <cell r="AB261">
            <v>184.8656666666667</v>
          </cell>
          <cell r="AC261">
            <v>16.027999999999999</v>
          </cell>
          <cell r="AD261">
            <v>0</v>
          </cell>
          <cell r="AE261">
            <v>13.810000000000002</v>
          </cell>
          <cell r="AF261">
            <v>5.5079999999999991</v>
          </cell>
          <cell r="AG261">
            <v>11.109</v>
          </cell>
          <cell r="AH261">
            <v>1.2879999999999998</v>
          </cell>
          <cell r="AI261">
            <v>-4.9989999999999997</v>
          </cell>
          <cell r="AJ261">
            <v>9.9390000000000001</v>
          </cell>
          <cell r="AK261">
            <v>95.699999999999989</v>
          </cell>
          <cell r="AL261">
            <v>108.4</v>
          </cell>
          <cell r="AM261">
            <v>16.542000000000002</v>
          </cell>
          <cell r="AN261">
            <v>-0.59099999999999986</v>
          </cell>
          <cell r="AO261">
            <v>0</v>
          </cell>
          <cell r="AP261">
            <v>7.0810000000000004</v>
          </cell>
          <cell r="AQ261">
            <v>0.13100000000000001</v>
          </cell>
          <cell r="AR261">
            <v>4.676000000000001</v>
          </cell>
          <cell r="AS261">
            <v>11.108999999999998</v>
          </cell>
          <cell r="AT261">
            <v>-0.41199999999999992</v>
          </cell>
          <cell r="AU261">
            <v>144.99999999999997</v>
          </cell>
          <cell r="AV261">
            <v>155.69699999999997</v>
          </cell>
          <cell r="AW261">
            <v>0</v>
          </cell>
          <cell r="AX261">
            <v>0</v>
          </cell>
          <cell r="AY261">
            <v>0</v>
          </cell>
          <cell r="AZ261">
            <v>0</v>
          </cell>
          <cell r="BA261">
            <v>0</v>
          </cell>
          <cell r="BB261">
            <v>0</v>
          </cell>
          <cell r="BC261">
            <v>0</v>
          </cell>
          <cell r="BD261">
            <v>0</v>
          </cell>
          <cell r="BE261">
            <v>0</v>
          </cell>
        </row>
        <row r="262">
          <cell r="H262">
            <v>0</v>
          </cell>
          <cell r="I262">
            <v>0</v>
          </cell>
          <cell r="J262">
            <v>0</v>
          </cell>
          <cell r="K262">
            <v>0</v>
          </cell>
          <cell r="L262">
            <v>0</v>
          </cell>
          <cell r="M262">
            <v>0</v>
          </cell>
          <cell r="N262">
            <v>0</v>
          </cell>
          <cell r="O262">
            <v>0</v>
          </cell>
          <cell r="P262">
            <v>0</v>
          </cell>
          <cell r="Q262">
            <v>0</v>
          </cell>
          <cell r="R262">
            <v>0</v>
          </cell>
          <cell r="S262">
            <v>0</v>
          </cell>
          <cell r="T262">
            <v>0</v>
          </cell>
          <cell r="U262">
            <v>2.0459999999999994</v>
          </cell>
          <cell r="V262">
            <v>236.63300000000001</v>
          </cell>
          <cell r="W262">
            <v>123.95037784094009</v>
          </cell>
          <cell r="X262">
            <v>101.036</v>
          </cell>
          <cell r="Y262">
            <v>52.471000000000004</v>
          </cell>
          <cell r="Z262">
            <v>150.02733333333333</v>
          </cell>
          <cell r="AA262">
            <v>203.87266666666667</v>
          </cell>
          <cell r="AB262">
            <v>496.10133333333329</v>
          </cell>
          <cell r="AC262">
            <v>75.682999999999993</v>
          </cell>
          <cell r="AD262">
            <v>0</v>
          </cell>
          <cell r="AE262">
            <v>3.0739999999999981</v>
          </cell>
          <cell r="AF262">
            <v>155.32899999999998</v>
          </cell>
          <cell r="AG262">
            <v>63.139000000000003</v>
          </cell>
          <cell r="AH262">
            <v>15.097000000000001</v>
          </cell>
          <cell r="AI262">
            <v>7.3599999999999968</v>
          </cell>
          <cell r="AJ262">
            <v>64.99199999999999</v>
          </cell>
          <cell r="AK262">
            <v>131.5</v>
          </cell>
          <cell r="AL262">
            <v>610.6</v>
          </cell>
          <cell r="AM262">
            <v>202.833</v>
          </cell>
          <cell r="AN262">
            <v>-2.8750000000000004</v>
          </cell>
          <cell r="AO262">
            <v>0</v>
          </cell>
          <cell r="AP262">
            <v>83.835999999999999</v>
          </cell>
          <cell r="AQ262">
            <v>10.378</v>
          </cell>
          <cell r="AR262">
            <v>131.60927358999999</v>
          </cell>
          <cell r="AS262">
            <v>63.13900000000001</v>
          </cell>
          <cell r="AT262">
            <v>12.610999999999997</v>
          </cell>
          <cell r="AU262">
            <v>1694.5000000000002</v>
          </cell>
          <cell r="AV262">
            <v>1770.2500000000002</v>
          </cell>
          <cell r="AW262">
            <v>0</v>
          </cell>
          <cell r="AX262">
            <v>0</v>
          </cell>
          <cell r="AY262">
            <v>0</v>
          </cell>
          <cell r="AZ262">
            <v>0</v>
          </cell>
          <cell r="BA262">
            <v>0</v>
          </cell>
          <cell r="BB262">
            <v>0</v>
          </cell>
          <cell r="BC262">
            <v>0</v>
          </cell>
          <cell r="BD262">
            <v>0</v>
          </cell>
          <cell r="BE262">
            <v>0</v>
          </cell>
        </row>
        <row r="263">
          <cell r="H263">
            <v>0</v>
          </cell>
          <cell r="I263">
            <v>0</v>
          </cell>
          <cell r="J263">
            <v>0</v>
          </cell>
          <cell r="K263">
            <v>0</v>
          </cell>
          <cell r="L263">
            <v>0</v>
          </cell>
          <cell r="M263">
            <v>0</v>
          </cell>
          <cell r="N263">
            <v>0</v>
          </cell>
          <cell r="O263">
            <v>0</v>
          </cell>
          <cell r="P263">
            <v>0</v>
          </cell>
          <cell r="Q263">
            <v>0</v>
          </cell>
          <cell r="R263">
            <v>0</v>
          </cell>
          <cell r="S263">
            <v>0</v>
          </cell>
          <cell r="T263">
            <v>0</v>
          </cell>
          <cell r="U263">
            <v>2.3960000000000043</v>
          </cell>
          <cell r="V263">
            <v>59.179000690656949</v>
          </cell>
          <cell r="W263">
            <v>45.644877840940083</v>
          </cell>
          <cell r="X263">
            <v>7.4586000000000041</v>
          </cell>
          <cell r="Y263">
            <v>19.724000000000004</v>
          </cell>
          <cell r="Z263">
            <v>69.727333333333334</v>
          </cell>
          <cell r="AA263">
            <v>105.53246666666668</v>
          </cell>
          <cell r="AB263">
            <v>193.81511033333328</v>
          </cell>
          <cell r="AC263">
            <v>39.791999999999987</v>
          </cell>
          <cell r="AD263">
            <v>0</v>
          </cell>
          <cell r="AE263">
            <v>-7.7188000000000052</v>
          </cell>
          <cell r="AF263">
            <v>55.385999999999967</v>
          </cell>
          <cell r="AG263">
            <v>25.486000000000004</v>
          </cell>
          <cell r="AH263">
            <v>6.1159999999999997</v>
          </cell>
          <cell r="AI263">
            <v>2.1077499999999967</v>
          </cell>
          <cell r="AJ263">
            <v>22.034549999999996</v>
          </cell>
          <cell r="AK263">
            <v>44.173599999999993</v>
          </cell>
          <cell r="AL263">
            <v>218.40000000000009</v>
          </cell>
          <cell r="AM263">
            <v>61.332999999999998</v>
          </cell>
          <cell r="AN263">
            <v>0.19599999999999973</v>
          </cell>
          <cell r="AO263">
            <v>0</v>
          </cell>
          <cell r="AP263">
            <v>16.977000000000004</v>
          </cell>
          <cell r="AQ263">
            <v>2.6972500000000004</v>
          </cell>
          <cell r="AR263">
            <v>51.982273589999991</v>
          </cell>
          <cell r="AS263">
            <v>25.486000000000011</v>
          </cell>
          <cell r="AT263">
            <v>5.3265999999999964</v>
          </cell>
          <cell r="AU263">
            <v>398</v>
          </cell>
          <cell r="AV263">
            <v>428.81260000000043</v>
          </cell>
          <cell r="AW263">
            <v>0</v>
          </cell>
          <cell r="AX263">
            <v>0</v>
          </cell>
          <cell r="AY263">
            <v>0</v>
          </cell>
          <cell r="AZ263">
            <v>0</v>
          </cell>
          <cell r="BA263">
            <v>0</v>
          </cell>
          <cell r="BB263">
            <v>0</v>
          </cell>
          <cell r="BC263">
            <v>0</v>
          </cell>
          <cell r="BD263">
            <v>0</v>
          </cell>
          <cell r="BE263">
            <v>0</v>
          </cell>
        </row>
        <row r="264">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0.91999999999999993</v>
          </cell>
          <cell r="X264">
            <v>0</v>
          </cell>
          <cell r="Y264">
            <v>0</v>
          </cell>
          <cell r="Z264">
            <v>0</v>
          </cell>
          <cell r="AA264">
            <v>0</v>
          </cell>
          <cell r="AB264">
            <v>0</v>
          </cell>
          <cell r="AC264">
            <v>0</v>
          </cell>
          <cell r="AD264">
            <v>0</v>
          </cell>
          <cell r="AE264">
            <v>0</v>
          </cell>
          <cell r="AF264">
            <v>1.4999999999999996</v>
          </cell>
          <cell r="AG264">
            <v>0</v>
          </cell>
          <cell r="AH264">
            <v>0.29400000000000004</v>
          </cell>
          <cell r="AI264">
            <v>0</v>
          </cell>
          <cell r="AJ264">
            <v>0.70919999999999994</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row>
        <row r="265">
          <cell r="H265">
            <v>0</v>
          </cell>
          <cell r="I265">
            <v>0</v>
          </cell>
          <cell r="J265">
            <v>0</v>
          </cell>
          <cell r="K265">
            <v>0</v>
          </cell>
          <cell r="L265">
            <v>0</v>
          </cell>
          <cell r="M265">
            <v>0</v>
          </cell>
          <cell r="N265">
            <v>0</v>
          </cell>
          <cell r="O265">
            <v>0</v>
          </cell>
          <cell r="P265">
            <v>0</v>
          </cell>
          <cell r="Q265">
            <v>0</v>
          </cell>
          <cell r="R265">
            <v>0</v>
          </cell>
          <cell r="S265">
            <v>0</v>
          </cell>
          <cell r="T265">
            <v>0</v>
          </cell>
          <cell r="U265">
            <v>-0.35000000000000497</v>
          </cell>
          <cell r="V265">
            <v>177.45399930934306</v>
          </cell>
          <cell r="W265">
            <v>77.385500000000008</v>
          </cell>
          <cell r="X265">
            <v>93.577399999999997</v>
          </cell>
          <cell r="Y265">
            <v>32.747</v>
          </cell>
          <cell r="Z265">
            <v>80.3</v>
          </cell>
          <cell r="AA265">
            <v>98.340199999999996</v>
          </cell>
          <cell r="AB265">
            <v>302.28622300000001</v>
          </cell>
          <cell r="AC265">
            <v>35.891000000000005</v>
          </cell>
          <cell r="AD265">
            <v>0</v>
          </cell>
          <cell r="AE265">
            <v>10.792800000000003</v>
          </cell>
          <cell r="AF265">
            <v>98.443000000000012</v>
          </cell>
          <cell r="AG265">
            <v>37.652999999999999</v>
          </cell>
          <cell r="AH265">
            <v>8.6870000000000012</v>
          </cell>
          <cell r="AI265">
            <v>5.2522500000000001</v>
          </cell>
          <cell r="AJ265">
            <v>42.248249999999999</v>
          </cell>
          <cell r="AK265">
            <v>87.326400000000007</v>
          </cell>
          <cell r="AL265">
            <v>392.19999999999993</v>
          </cell>
          <cell r="AM265">
            <v>141.5</v>
          </cell>
          <cell r="AN265">
            <v>-3.0710000000000002</v>
          </cell>
          <cell r="AO265">
            <v>0</v>
          </cell>
          <cell r="AP265">
            <v>66.858999999999995</v>
          </cell>
          <cell r="AQ265">
            <v>7.6807499999999997</v>
          </cell>
          <cell r="AR265">
            <v>79.626999999999995</v>
          </cell>
          <cell r="AS265">
            <v>37.652999999999999</v>
          </cell>
          <cell r="AT265">
            <v>7.2844000000000007</v>
          </cell>
          <cell r="AU265">
            <v>1296.5000000000002</v>
          </cell>
          <cell r="AV265">
            <v>1341.4373999999998</v>
          </cell>
          <cell r="AW265">
            <v>0</v>
          </cell>
          <cell r="AX265">
            <v>0</v>
          </cell>
          <cell r="AY265">
            <v>0</v>
          </cell>
          <cell r="AZ265">
            <v>0</v>
          </cell>
          <cell r="BA265">
            <v>0</v>
          </cell>
          <cell r="BB265">
            <v>0</v>
          </cell>
          <cell r="BC265">
            <v>0</v>
          </cell>
          <cell r="BD265">
            <v>0</v>
          </cell>
          <cell r="BE265">
            <v>0</v>
          </cell>
        </row>
        <row r="267">
          <cell r="H267">
            <v>0</v>
          </cell>
          <cell r="I267">
            <v>0</v>
          </cell>
          <cell r="J267">
            <v>0</v>
          </cell>
          <cell r="K267">
            <v>0</v>
          </cell>
          <cell r="L267">
            <v>0</v>
          </cell>
          <cell r="M267">
            <v>0</v>
          </cell>
          <cell r="N267">
            <v>0</v>
          </cell>
          <cell r="O267">
            <v>0</v>
          </cell>
          <cell r="P267">
            <v>0</v>
          </cell>
          <cell r="Q267">
            <v>0</v>
          </cell>
          <cell r="R267">
            <v>0</v>
          </cell>
          <cell r="S267">
            <v>0</v>
          </cell>
          <cell r="T267">
            <v>0</v>
          </cell>
          <cell r="U267">
            <v>-1.0738369384776236E-2</v>
          </cell>
          <cell r="V267">
            <v>1.2918271786108628</v>
          </cell>
          <cell r="W267">
            <v>1.4382852576016651</v>
          </cell>
          <cell r="X267">
            <v>1.9698248222138839</v>
          </cell>
          <cell r="Y267">
            <v>0.73489259614062385</v>
          </cell>
          <cell r="Z267">
            <v>0.78890634591155917</v>
          </cell>
          <cell r="AA267">
            <v>0.96614206523302504</v>
          </cell>
          <cell r="AB267">
            <v>2.7590532988261209</v>
          </cell>
          <cell r="AC267">
            <v>0.88306847763702201</v>
          </cell>
          <cell r="AD267">
            <v>0</v>
          </cell>
          <cell r="AE267">
            <v>0.15014268415334342</v>
          </cell>
          <cell r="AF267">
            <v>2.2519427189284369</v>
          </cell>
          <cell r="AG267">
            <v>1.3986369509577365</v>
          </cell>
          <cell r="AH267">
            <v>0</v>
          </cell>
          <cell r="AI267">
            <v>0</v>
          </cell>
          <cell r="AJ267">
            <v>1.3152104924182035</v>
          </cell>
          <cell r="AK267">
            <v>1.5264215060317308</v>
          </cell>
          <cell r="AL267">
            <v>1.3166014235410044</v>
          </cell>
          <cell r="AM267">
            <v>2.0301291248206601</v>
          </cell>
          <cell r="AN267">
            <v>-0.25523021464853357</v>
          </cell>
          <cell r="AO267">
            <v>0</v>
          </cell>
          <cell r="AP267">
            <v>0.99007523122629781</v>
          </cell>
          <cell r="AQ267">
            <v>0</v>
          </cell>
          <cell r="AR267">
            <v>1.1690426203514748</v>
          </cell>
          <cell r="AS267">
            <v>0</v>
          </cell>
          <cell r="AT267">
            <v>0</v>
          </cell>
          <cell r="AU267">
            <v>2.8243924611910254</v>
          </cell>
          <cell r="AV267">
            <v>2.8252395491836886</v>
          </cell>
          <cell r="AW267">
            <v>0</v>
          </cell>
          <cell r="AX267">
            <v>0</v>
          </cell>
          <cell r="AY267">
            <v>0</v>
          </cell>
          <cell r="AZ267">
            <v>0</v>
          </cell>
          <cell r="BA267">
            <v>0</v>
          </cell>
          <cell r="BB267">
            <v>0</v>
          </cell>
          <cell r="BC267">
            <v>0</v>
          </cell>
          <cell r="BD267">
            <v>0</v>
          </cell>
          <cell r="BE267">
            <v>0</v>
          </cell>
        </row>
        <row r="269">
          <cell r="H269">
            <v>0</v>
          </cell>
          <cell r="I269">
            <v>0</v>
          </cell>
          <cell r="J269">
            <v>0</v>
          </cell>
          <cell r="K269">
            <v>0</v>
          </cell>
          <cell r="L269">
            <v>0</v>
          </cell>
          <cell r="M269">
            <v>0</v>
          </cell>
          <cell r="N269">
            <v>0</v>
          </cell>
          <cell r="O269">
            <v>0</v>
          </cell>
          <cell r="P269">
            <v>0</v>
          </cell>
          <cell r="Q269">
            <v>0</v>
          </cell>
          <cell r="R269">
            <v>0</v>
          </cell>
          <cell r="S269">
            <v>0</v>
          </cell>
          <cell r="T269">
            <v>0</v>
          </cell>
          <cell r="U269">
            <v>6.4099999999999993</v>
          </cell>
          <cell r="V269">
            <v>30.077000000000002</v>
          </cell>
          <cell r="W269">
            <v>21.85275</v>
          </cell>
          <cell r="X269">
            <v>32.555</v>
          </cell>
          <cell r="Y269">
            <v>3.6420000000000003</v>
          </cell>
          <cell r="Z269">
            <v>82.698000000000008</v>
          </cell>
          <cell r="AA269">
            <v>17.420000000000002</v>
          </cell>
          <cell r="AB269">
            <v>63.783999999999999</v>
          </cell>
          <cell r="AC269">
            <v>22.178000000000004</v>
          </cell>
          <cell r="AD269">
            <v>0</v>
          </cell>
          <cell r="AE269">
            <v>21.582000000000001</v>
          </cell>
          <cell r="AF269">
            <v>26.502000000000006</v>
          </cell>
          <cell r="AG269">
            <v>41.96</v>
          </cell>
          <cell r="AH269">
            <v>0.38300000000000023</v>
          </cell>
          <cell r="AI269">
            <v>-1.6754999999999995</v>
          </cell>
          <cell r="AJ269">
            <v>14.964500000000001</v>
          </cell>
          <cell r="AK269">
            <v>80.599999999999994</v>
          </cell>
          <cell r="AL269">
            <v>221.8</v>
          </cell>
          <cell r="AM269">
            <v>71.373000000000005</v>
          </cell>
          <cell r="AN269">
            <v>4.0869999999999997</v>
          </cell>
          <cell r="AO269">
            <v>0</v>
          </cell>
          <cell r="AP269">
            <v>7.4390000000000001</v>
          </cell>
          <cell r="AQ269">
            <v>0.59960250000000004</v>
          </cell>
          <cell r="AR269">
            <v>10.989469999999999</v>
          </cell>
          <cell r="AS269">
            <v>41.960000000000008</v>
          </cell>
          <cell r="AT269">
            <v>6.09</v>
          </cell>
          <cell r="AU269">
            <v>286.90000000000003</v>
          </cell>
          <cell r="AV269">
            <v>334.95000000000005</v>
          </cell>
          <cell r="AW269">
            <v>0</v>
          </cell>
          <cell r="AX269">
            <v>0</v>
          </cell>
          <cell r="AY269">
            <v>0</v>
          </cell>
          <cell r="AZ269">
            <v>0</v>
          </cell>
          <cell r="BA269">
            <v>0</v>
          </cell>
          <cell r="BB269">
            <v>0</v>
          </cell>
          <cell r="BC269">
            <v>0</v>
          </cell>
          <cell r="BD269">
            <v>0</v>
          </cell>
          <cell r="BE269">
            <v>0</v>
          </cell>
        </row>
        <row r="270">
          <cell r="H270">
            <v>0</v>
          </cell>
          <cell r="I270">
            <v>0</v>
          </cell>
          <cell r="J270">
            <v>0</v>
          </cell>
          <cell r="K270">
            <v>0</v>
          </cell>
          <cell r="L270">
            <v>0</v>
          </cell>
          <cell r="M270">
            <v>0</v>
          </cell>
          <cell r="N270">
            <v>0</v>
          </cell>
          <cell r="O270">
            <v>0</v>
          </cell>
          <cell r="P270">
            <v>0</v>
          </cell>
          <cell r="Q270">
            <v>0</v>
          </cell>
          <cell r="R270">
            <v>0</v>
          </cell>
          <cell r="S270">
            <v>0</v>
          </cell>
          <cell r="T270">
            <v>0</v>
          </cell>
          <cell r="U270">
            <v>7.2619999999999987</v>
          </cell>
          <cell r="V270">
            <v>261.745</v>
          </cell>
          <cell r="W270">
            <v>137.35871117427342</v>
          </cell>
          <cell r="X270">
            <v>156.02500000000001</v>
          </cell>
          <cell r="Y270">
            <v>51.147000000000006</v>
          </cell>
          <cell r="Z270">
            <v>412.83900000000006</v>
          </cell>
          <cell r="AA270">
            <v>252.64500000000004</v>
          </cell>
          <cell r="AB270">
            <v>744.75099999999998</v>
          </cell>
          <cell r="AC270">
            <v>113.88900000000001</v>
          </cell>
          <cell r="AD270">
            <v>0</v>
          </cell>
          <cell r="AE270">
            <v>38.466000000000001</v>
          </cell>
          <cell r="AF270">
            <v>187.339</v>
          </cell>
          <cell r="AG270">
            <v>116.208</v>
          </cell>
          <cell r="AH270">
            <v>16.768000000000001</v>
          </cell>
          <cell r="AI270">
            <v>0.68549999999999756</v>
          </cell>
          <cell r="AJ270">
            <v>89.895499999999998</v>
          </cell>
          <cell r="AK270">
            <v>307.79999999999995</v>
          </cell>
          <cell r="AL270">
            <v>940.8</v>
          </cell>
          <cell r="AM270">
            <v>290.74799999999999</v>
          </cell>
          <cell r="AN270">
            <v>0.62099999999999955</v>
          </cell>
          <cell r="AO270">
            <v>0</v>
          </cell>
          <cell r="AP270">
            <v>98.355999999999995</v>
          </cell>
          <cell r="AQ270">
            <v>11.1086025</v>
          </cell>
          <cell r="AR270">
            <v>147.27474358999999</v>
          </cell>
          <cell r="AS270">
            <v>116.20800000000001</v>
          </cell>
          <cell r="AT270">
            <v>18.288999999999998</v>
          </cell>
          <cell r="AU270">
            <v>2126.4</v>
          </cell>
          <cell r="AV270">
            <v>2260.8969999999999</v>
          </cell>
          <cell r="AW270">
            <v>0</v>
          </cell>
          <cell r="AX270">
            <v>0</v>
          </cell>
          <cell r="AY270">
            <v>0</v>
          </cell>
          <cell r="AZ270">
            <v>0</v>
          </cell>
          <cell r="BA270">
            <v>0</v>
          </cell>
          <cell r="BB270">
            <v>0</v>
          </cell>
          <cell r="BC270">
            <v>0</v>
          </cell>
          <cell r="BD270">
            <v>0</v>
          </cell>
          <cell r="BE270">
            <v>0</v>
          </cell>
        </row>
        <row r="271">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row>
        <row r="272">
          <cell r="H272">
            <v>0</v>
          </cell>
          <cell r="I272">
            <v>0</v>
          </cell>
          <cell r="J272">
            <v>0</v>
          </cell>
          <cell r="K272">
            <v>0</v>
          </cell>
          <cell r="L272">
            <v>0</v>
          </cell>
          <cell r="M272">
            <v>0</v>
          </cell>
          <cell r="N272">
            <v>0</v>
          </cell>
          <cell r="O272">
            <v>0</v>
          </cell>
          <cell r="P272">
            <v>0</v>
          </cell>
          <cell r="Q272">
            <v>0</v>
          </cell>
          <cell r="R272">
            <v>0</v>
          </cell>
          <cell r="S272">
            <v>0</v>
          </cell>
          <cell r="T272">
            <v>0</v>
          </cell>
          <cell r="U272">
            <v>22.530999999999999</v>
          </cell>
          <cell r="V272">
            <v>37.673000000000002</v>
          </cell>
          <cell r="W272">
            <v>33.877749999999999</v>
          </cell>
          <cell r="X272">
            <v>72.569000000000017</v>
          </cell>
          <cell r="Y272">
            <v>9.1739999999999995</v>
          </cell>
          <cell r="Z272">
            <v>69.308999999999997</v>
          </cell>
          <cell r="AA272">
            <v>16.619</v>
          </cell>
          <cell r="AB272">
            <v>50.020999999999994</v>
          </cell>
          <cell r="AC272">
            <v>6.4660000000000011</v>
          </cell>
          <cell r="AD272">
            <v>0</v>
          </cell>
          <cell r="AE272">
            <v>22.908999999999999</v>
          </cell>
          <cell r="AF272">
            <v>57.56</v>
          </cell>
          <cell r="AG272">
            <v>63.667999999999999</v>
          </cell>
          <cell r="AH272">
            <v>5.6820000000000004</v>
          </cell>
          <cell r="AI272">
            <v>3.9488333333333325</v>
          </cell>
          <cell r="AJ272">
            <v>9.6308333333333334</v>
          </cell>
          <cell r="AK272">
            <v>42</v>
          </cell>
          <cell r="AL272">
            <v>137.69999999999999</v>
          </cell>
          <cell r="AM272">
            <v>109.76300000000001</v>
          </cell>
          <cell r="AN272">
            <v>2.7440000000000002</v>
          </cell>
          <cell r="AO272">
            <v>0</v>
          </cell>
          <cell r="AP272">
            <v>12.975</v>
          </cell>
          <cell r="AQ272">
            <v>0.36630825</v>
          </cell>
          <cell r="AR272">
            <v>15.861410999999999</v>
          </cell>
          <cell r="AS272">
            <v>63.667999999999992</v>
          </cell>
          <cell r="AT272">
            <v>4.18</v>
          </cell>
          <cell r="AU272">
            <v>292.49999999999994</v>
          </cell>
          <cell r="AV272">
            <v>360.34800000000001</v>
          </cell>
          <cell r="AW272">
            <v>0</v>
          </cell>
          <cell r="AX272">
            <v>0</v>
          </cell>
          <cell r="AY272">
            <v>0</v>
          </cell>
          <cell r="AZ272">
            <v>0</v>
          </cell>
          <cell r="BA272">
            <v>0</v>
          </cell>
          <cell r="BB272">
            <v>0</v>
          </cell>
          <cell r="BC272">
            <v>0</v>
          </cell>
          <cell r="BD272">
            <v>0</v>
          </cell>
          <cell r="BE272">
            <v>0</v>
          </cell>
        </row>
        <row r="274">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6.2229999999999999</v>
          </cell>
          <cell r="W274">
            <v>19.74966666666667</v>
          </cell>
          <cell r="X274">
            <v>3.105</v>
          </cell>
          <cell r="Y274">
            <v>4.9660000000000002</v>
          </cell>
          <cell r="Z274">
            <v>0</v>
          </cell>
          <cell r="AA274">
            <v>0</v>
          </cell>
          <cell r="AB274">
            <v>0</v>
          </cell>
          <cell r="AC274">
            <v>0</v>
          </cell>
          <cell r="AD274">
            <v>0</v>
          </cell>
          <cell r="AE274">
            <v>1.224</v>
          </cell>
          <cell r="AF274">
            <v>11.276</v>
          </cell>
          <cell r="AG274">
            <v>2.2650000000000001</v>
          </cell>
          <cell r="AH274">
            <v>-1.2879999999999998</v>
          </cell>
          <cell r="AI274">
            <v>0</v>
          </cell>
          <cell r="AJ274">
            <v>-1.2879999999999998</v>
          </cell>
          <cell r="AK274">
            <v>0</v>
          </cell>
          <cell r="AL274">
            <v>0</v>
          </cell>
          <cell r="AM274">
            <v>0</v>
          </cell>
          <cell r="AN274">
            <v>0.62999999999999989</v>
          </cell>
          <cell r="AO274">
            <v>0</v>
          </cell>
          <cell r="AP274">
            <v>0</v>
          </cell>
          <cell r="AQ274">
            <v>0</v>
          </cell>
          <cell r="AR274">
            <v>0</v>
          </cell>
          <cell r="AS274">
            <v>2.2650000000000006</v>
          </cell>
          <cell r="AT274">
            <v>0.41199999999999992</v>
          </cell>
          <cell r="AU274">
            <v>0</v>
          </cell>
          <cell r="AV274">
            <v>2.6769999999999992</v>
          </cell>
          <cell r="AW274">
            <v>0</v>
          </cell>
          <cell r="AX274">
            <v>0</v>
          </cell>
          <cell r="AY274">
            <v>0</v>
          </cell>
          <cell r="AZ274">
            <v>0</v>
          </cell>
          <cell r="BA274">
            <v>0</v>
          </cell>
          <cell r="BB274">
            <v>0</v>
          </cell>
          <cell r="BC274">
            <v>0</v>
          </cell>
          <cell r="BD274">
            <v>0</v>
          </cell>
          <cell r="BE274">
            <v>0</v>
          </cell>
        </row>
        <row r="275">
          <cell r="H275">
            <v>0</v>
          </cell>
          <cell r="I275">
            <v>0</v>
          </cell>
          <cell r="J275">
            <v>0</v>
          </cell>
          <cell r="K275">
            <v>0</v>
          </cell>
          <cell r="L275">
            <v>0</v>
          </cell>
          <cell r="M275">
            <v>0</v>
          </cell>
          <cell r="N275">
            <v>0</v>
          </cell>
          <cell r="O275">
            <v>0</v>
          </cell>
          <cell r="P275">
            <v>0</v>
          </cell>
          <cell r="Q275">
            <v>0</v>
          </cell>
          <cell r="R275">
            <v>0</v>
          </cell>
          <cell r="S275">
            <v>0</v>
          </cell>
          <cell r="T275">
            <v>0</v>
          </cell>
          <cell r="U275">
            <v>-1.194</v>
          </cell>
          <cell r="V275">
            <v>1.258</v>
          </cell>
          <cell r="W275">
            <v>11.305250000000001</v>
          </cell>
          <cell r="X275">
            <v>25.539000000000001</v>
          </cell>
          <cell r="Y275">
            <v>0</v>
          </cell>
          <cell r="Z275">
            <v>180.11366666666669</v>
          </cell>
          <cell r="AA275">
            <v>31.352333333333338</v>
          </cell>
          <cell r="AB275">
            <v>184.8656666666667</v>
          </cell>
          <cell r="AC275">
            <v>16.027999999999999</v>
          </cell>
          <cell r="AD275">
            <v>0</v>
          </cell>
          <cell r="AE275">
            <v>15.034000000000002</v>
          </cell>
          <cell r="AF275">
            <v>16.783999999999999</v>
          </cell>
          <cell r="AG275">
            <v>13.374000000000001</v>
          </cell>
          <cell r="AH275">
            <v>0</v>
          </cell>
          <cell r="AI275">
            <v>-4.9989999999999997</v>
          </cell>
          <cell r="AJ275">
            <v>8.6509999999999998</v>
          </cell>
          <cell r="AK275">
            <v>95.699999999999989</v>
          </cell>
          <cell r="AL275">
            <v>108.4</v>
          </cell>
          <cell r="AM275">
            <v>16.542000000000002</v>
          </cell>
          <cell r="AN275">
            <v>3.8999999999999993E-2</v>
          </cell>
          <cell r="AO275">
            <v>0</v>
          </cell>
          <cell r="AP275">
            <v>7.0810000000000004</v>
          </cell>
          <cell r="AQ275">
            <v>0.13100000000000001</v>
          </cell>
          <cell r="AR275">
            <v>4.676000000000001</v>
          </cell>
          <cell r="AS275">
            <v>13.373999999999999</v>
          </cell>
          <cell r="AT275">
            <v>0</v>
          </cell>
          <cell r="AU275">
            <v>144.99999999999997</v>
          </cell>
          <cell r="AV275">
            <v>158.37399999999997</v>
          </cell>
          <cell r="AW275">
            <v>0</v>
          </cell>
          <cell r="AX275">
            <v>0</v>
          </cell>
          <cell r="AY275">
            <v>0</v>
          </cell>
          <cell r="AZ275">
            <v>0</v>
          </cell>
          <cell r="BA275">
            <v>0</v>
          </cell>
          <cell r="BB275">
            <v>0</v>
          </cell>
          <cell r="BC275">
            <v>0</v>
          </cell>
          <cell r="BD275">
            <v>0</v>
          </cell>
          <cell r="BE275">
            <v>0</v>
          </cell>
        </row>
        <row r="278">
          <cell r="H278" t="str">
            <v>Invitrogen</v>
          </cell>
          <cell r="I278" t="str">
            <v>QIAGEN NV</v>
          </cell>
          <cell r="J278" t="str">
            <v>TECHNE</v>
          </cell>
          <cell r="K278" t="str">
            <v>Bio-Rad Laboratories</v>
          </cell>
          <cell r="L278" t="str">
            <v>Affymetrix</v>
          </cell>
          <cell r="M278" t="str">
            <v>Applied Biosystems*</v>
          </cell>
          <cell r="N278" t="str">
            <v>Mettler Toledo*</v>
          </cell>
          <cell r="O278" t="str">
            <v>Molecular Devices*</v>
          </cell>
          <cell r="P278" t="str">
            <v>PerkinElmer</v>
          </cell>
          <cell r="Q278" t="str">
            <v>Thermo Electron</v>
          </cell>
          <cell r="R278" t="str">
            <v>Varian</v>
          </cell>
          <cell r="S278" t="str">
            <v>Waters*</v>
          </cell>
          <cell r="T278" t="str">
            <v>Fisher Scientific*</v>
          </cell>
          <cell r="U278" t="str">
            <v>Ventana Medical Systems, Inc.</v>
          </cell>
          <cell r="V278" t="str">
            <v>Accredo Health*</v>
          </cell>
          <cell r="W278" t="str">
            <v>Invitrogen</v>
          </cell>
          <cell r="X278" t="str">
            <v>Millipore</v>
          </cell>
          <cell r="Y278" t="str">
            <v>Priority Healthcare</v>
          </cell>
          <cell r="Z278" t="str">
            <v>Bergen Brunswig</v>
          </cell>
          <cell r="AA278" t="str">
            <v>AmeriSource</v>
          </cell>
          <cell r="AB278" t="str">
            <v>AmerisourceBergen</v>
          </cell>
          <cell r="AC278" t="str">
            <v>Owens &amp; Minor</v>
          </cell>
          <cell r="AD278" t="str">
            <v>Short Name</v>
          </cell>
          <cell r="AE278" t="str">
            <v>PSS World Medical, Inc.</v>
          </cell>
          <cell r="AF278" t="str">
            <v>Henry Schein</v>
          </cell>
          <cell r="AG278" t="str">
            <v>Syncor</v>
          </cell>
          <cell r="AH278" t="str">
            <v>Accredo</v>
          </cell>
          <cell r="AI278" t="str">
            <v>Gentiva</v>
          </cell>
          <cell r="AJ278" t="str">
            <v>Accredo*</v>
          </cell>
          <cell r="AK278" t="str">
            <v>Fisher Scientific*</v>
          </cell>
          <cell r="AL278" t="str">
            <v>McKesson Corporation</v>
          </cell>
          <cell r="AM278" t="str">
            <v>Sigma-Aldrich</v>
          </cell>
          <cell r="AN278" t="str">
            <v>Chronimed</v>
          </cell>
          <cell r="AO278" t="str">
            <v>Short Name</v>
          </cell>
          <cell r="AP278" t="str">
            <v>Patterson Dental</v>
          </cell>
          <cell r="AQ278" t="str">
            <v>Short Name</v>
          </cell>
          <cell r="AR278" t="str">
            <v>Patterson Dental</v>
          </cell>
          <cell r="AS278" t="str">
            <v>Syncor</v>
          </cell>
          <cell r="AT278" t="str">
            <v>Boron, LePore</v>
          </cell>
          <cell r="AU278" t="str">
            <v>Cardinal Health</v>
          </cell>
          <cell r="AV278" t="str">
            <v>Cardinal Health</v>
          </cell>
          <cell r="AW278" t="str">
            <v>Short Name</v>
          </cell>
          <cell r="AX278" t="str">
            <v>Short Name</v>
          </cell>
          <cell r="AY278" t="str">
            <v>Short Name</v>
          </cell>
          <cell r="AZ278" t="str">
            <v>Short Name</v>
          </cell>
          <cell r="BA278" t="str">
            <v>Short Name</v>
          </cell>
          <cell r="BB278" t="str">
            <v>Short Name</v>
          </cell>
          <cell r="BC278" t="str">
            <v>Short Name</v>
          </cell>
          <cell r="BD278" t="str">
            <v>Short Name</v>
          </cell>
          <cell r="BE278" t="str">
            <v>Short Name</v>
          </cell>
        </row>
        <row r="283">
          <cell r="H283">
            <v>0</v>
          </cell>
          <cell r="I283">
            <v>0</v>
          </cell>
          <cell r="J283">
            <v>0</v>
          </cell>
          <cell r="K283">
            <v>0</v>
          </cell>
          <cell r="L283">
            <v>0</v>
          </cell>
          <cell r="M283">
            <v>0</v>
          </cell>
          <cell r="N283">
            <v>0</v>
          </cell>
          <cell r="O283">
            <v>0</v>
          </cell>
          <cell r="P283">
            <v>0</v>
          </cell>
          <cell r="Q283">
            <v>0</v>
          </cell>
          <cell r="R283">
            <v>0</v>
          </cell>
          <cell r="S283">
            <v>0</v>
          </cell>
          <cell r="T283">
            <v>0</v>
          </cell>
          <cell r="U283">
            <v>4.875</v>
          </cell>
          <cell r="V283">
            <v>0</v>
          </cell>
          <cell r="W283">
            <v>113.26199999999999</v>
          </cell>
          <cell r="X283">
            <v>111.226</v>
          </cell>
          <cell r="Y283">
            <v>15.169</v>
          </cell>
          <cell r="Z283">
            <v>264.28800000000001</v>
          </cell>
          <cell r="AA283">
            <v>179.416</v>
          </cell>
          <cell r="AB283">
            <v>386.459</v>
          </cell>
          <cell r="AC283">
            <v>27.307000000000002</v>
          </cell>
          <cell r="AD283">
            <v>0</v>
          </cell>
          <cell r="AE283">
            <v>39.140999999999998</v>
          </cell>
          <cell r="AF283">
            <v>40.996000000000002</v>
          </cell>
          <cell r="AG283">
            <v>31.448</v>
          </cell>
          <cell r="AH283">
            <v>38.585000000000001</v>
          </cell>
          <cell r="AI283">
            <v>34.248000000000005</v>
          </cell>
          <cell r="AJ283">
            <v>72.832999999999998</v>
          </cell>
          <cell r="AK283">
            <v>152.6</v>
          </cell>
          <cell r="AL283">
            <v>706.2</v>
          </cell>
          <cell r="AM283">
            <v>0</v>
          </cell>
          <cell r="AN283">
            <v>12.34</v>
          </cell>
          <cell r="AO283">
            <v>0</v>
          </cell>
          <cell r="AP283">
            <v>0</v>
          </cell>
          <cell r="AQ283">
            <v>0</v>
          </cell>
          <cell r="AR283">
            <v>110.62633092</v>
          </cell>
          <cell r="AS283">
            <v>85.836000000000013</v>
          </cell>
          <cell r="AT283">
            <v>13.683</v>
          </cell>
          <cell r="AU283">
            <v>1612.8</v>
          </cell>
          <cell r="AV283">
            <v>1712.3190000000002</v>
          </cell>
          <cell r="AW283">
            <v>0</v>
          </cell>
          <cell r="AX283">
            <v>0</v>
          </cell>
          <cell r="AY283">
            <v>0</v>
          </cell>
          <cell r="AZ283">
            <v>0</v>
          </cell>
          <cell r="BA283">
            <v>0</v>
          </cell>
          <cell r="BB283">
            <v>0</v>
          </cell>
          <cell r="BC283">
            <v>0</v>
          </cell>
          <cell r="BD283">
            <v>0</v>
          </cell>
          <cell r="BE283">
            <v>0</v>
          </cell>
        </row>
        <row r="284">
          <cell r="H284">
            <v>0</v>
          </cell>
          <cell r="I284">
            <v>0</v>
          </cell>
          <cell r="J284">
            <v>0</v>
          </cell>
          <cell r="K284">
            <v>0</v>
          </cell>
          <cell r="L284">
            <v>0</v>
          </cell>
          <cell r="M284">
            <v>0</v>
          </cell>
          <cell r="N284">
            <v>0</v>
          </cell>
          <cell r="O284">
            <v>0</v>
          </cell>
          <cell r="P284">
            <v>0</v>
          </cell>
          <cell r="Q284">
            <v>0</v>
          </cell>
          <cell r="R284">
            <v>0</v>
          </cell>
          <cell r="S284">
            <v>0</v>
          </cell>
          <cell r="T284">
            <v>0</v>
          </cell>
          <cell r="U284">
            <v>3.9919999999999982</v>
          </cell>
          <cell r="V284">
            <v>0</v>
          </cell>
          <cell r="W284">
            <v>72.290133522820341</v>
          </cell>
          <cell r="X284">
            <v>98.924999999999983</v>
          </cell>
          <cell r="Y284">
            <v>12.629</v>
          </cell>
          <cell r="Z284">
            <v>217.44900000000001</v>
          </cell>
          <cell r="AA284">
            <v>144.625</v>
          </cell>
          <cell r="AB284">
            <v>324.94599999999997</v>
          </cell>
          <cell r="AC284">
            <v>24.847000000000001</v>
          </cell>
          <cell r="AD284">
            <v>0</v>
          </cell>
          <cell r="AE284">
            <v>51.414999999999999</v>
          </cell>
          <cell r="AF284">
            <v>37.048999999999999</v>
          </cell>
          <cell r="AG284">
            <v>29.677999999999997</v>
          </cell>
          <cell r="AH284">
            <v>21.817</v>
          </cell>
          <cell r="AI284">
            <v>33.5625</v>
          </cell>
          <cell r="AJ284">
            <v>55.379500000000007</v>
          </cell>
          <cell r="AK284">
            <v>135.80000000000001</v>
          </cell>
          <cell r="AL284">
            <v>588.29999999999995</v>
          </cell>
          <cell r="AM284">
            <v>0</v>
          </cell>
          <cell r="AN284">
            <v>10.000999999999999</v>
          </cell>
          <cell r="AO284">
            <v>0</v>
          </cell>
          <cell r="AP284">
            <v>26.949000000000002</v>
          </cell>
          <cell r="AQ284">
            <v>0.1998675</v>
          </cell>
          <cell r="AR284">
            <v>96.873057330000009</v>
          </cell>
          <cell r="AS284">
            <v>70.816999999999993</v>
          </cell>
          <cell r="AT284">
            <v>10.097000000000001</v>
          </cell>
          <cell r="AU284">
            <v>1379</v>
          </cell>
          <cell r="AV284">
            <v>1459.9139999999998</v>
          </cell>
          <cell r="AW284">
            <v>0</v>
          </cell>
          <cell r="AX284">
            <v>0</v>
          </cell>
          <cell r="AY284">
            <v>0</v>
          </cell>
          <cell r="AZ284">
            <v>0</v>
          </cell>
          <cell r="BA284">
            <v>0</v>
          </cell>
          <cell r="BB284">
            <v>0</v>
          </cell>
          <cell r="BC284">
            <v>0</v>
          </cell>
          <cell r="BD284">
            <v>0</v>
          </cell>
          <cell r="BE284">
            <v>0</v>
          </cell>
        </row>
        <row r="285">
          <cell r="H285">
            <v>0</v>
          </cell>
          <cell r="I285">
            <v>0</v>
          </cell>
          <cell r="J285">
            <v>0</v>
          </cell>
          <cell r="K285">
            <v>0</v>
          </cell>
          <cell r="L285">
            <v>0</v>
          </cell>
          <cell r="M285">
            <v>0</v>
          </cell>
          <cell r="N285">
            <v>0</v>
          </cell>
          <cell r="O285">
            <v>0</v>
          </cell>
          <cell r="P285">
            <v>0</v>
          </cell>
          <cell r="Q285">
            <v>0</v>
          </cell>
          <cell r="R285">
            <v>0</v>
          </cell>
          <cell r="S285">
            <v>0</v>
          </cell>
          <cell r="T285">
            <v>0</v>
          </cell>
          <cell r="U285">
            <v>6.3789999999999978</v>
          </cell>
          <cell r="V285">
            <v>261.745</v>
          </cell>
          <cell r="W285">
            <v>96.386844697093792</v>
          </cell>
          <cell r="X285">
            <v>143.72399999999999</v>
          </cell>
          <cell r="Y285">
            <v>48.606999999999999</v>
          </cell>
          <cell r="Z285">
            <v>366</v>
          </cell>
          <cell r="AA285">
            <v>217.85399999999998</v>
          </cell>
          <cell r="AB285">
            <v>683.23799999999994</v>
          </cell>
          <cell r="AC285">
            <v>111.429</v>
          </cell>
          <cell r="AD285">
            <v>0</v>
          </cell>
          <cell r="AE285">
            <v>50.739999999999995</v>
          </cell>
          <cell r="AF285">
            <v>183.392</v>
          </cell>
          <cell r="AG285">
            <v>114.43799999999999</v>
          </cell>
          <cell r="AH285">
            <v>0</v>
          </cell>
          <cell r="AI285">
            <v>0</v>
          </cell>
          <cell r="AJ285">
            <v>72.442000000000007</v>
          </cell>
          <cell r="AK285">
            <v>291</v>
          </cell>
          <cell r="AL285">
            <v>822.9</v>
          </cell>
          <cell r="AM285">
            <v>290.74799999999999</v>
          </cell>
          <cell r="AN285">
            <v>-1.718</v>
          </cell>
          <cell r="AO285">
            <v>0</v>
          </cell>
          <cell r="AP285">
            <v>125.30499999999999</v>
          </cell>
          <cell r="AQ285">
            <v>11.30847</v>
          </cell>
          <cell r="AR285">
            <v>133.52146999999999</v>
          </cell>
          <cell r="AS285">
            <v>101.18899999999999</v>
          </cell>
          <cell r="AT285">
            <v>14.702999999999999</v>
          </cell>
          <cell r="AU285">
            <v>1892.6</v>
          </cell>
          <cell r="AV285">
            <v>2008.492</v>
          </cell>
          <cell r="AW285">
            <v>0</v>
          </cell>
          <cell r="AX285">
            <v>0</v>
          </cell>
          <cell r="AY285">
            <v>0</v>
          </cell>
          <cell r="AZ285">
            <v>0</v>
          </cell>
          <cell r="BA285">
            <v>0</v>
          </cell>
          <cell r="BB285">
            <v>0</v>
          </cell>
          <cell r="BC285">
            <v>0</v>
          </cell>
          <cell r="BD285">
            <v>0</v>
          </cell>
          <cell r="BE285">
            <v>0</v>
          </cell>
        </row>
        <row r="286">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330.14100000000002</v>
          </cell>
          <cell r="AA286">
            <v>235.22499999999999</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row>
        <row r="290">
          <cell r="H290" t="str">
            <v xml:space="preserve">NM  </v>
          </cell>
          <cell r="I290" t="str">
            <v xml:space="preserve">NM  </v>
          </cell>
          <cell r="J290" t="str">
            <v xml:space="preserve">NM  </v>
          </cell>
          <cell r="K290" t="str">
            <v xml:space="preserve">NM  </v>
          </cell>
          <cell r="L290" t="str">
            <v xml:space="preserve">NM  </v>
          </cell>
          <cell r="M290" t="str">
            <v xml:space="preserve">NM  </v>
          </cell>
          <cell r="N290" t="str">
            <v xml:space="preserve">NM  </v>
          </cell>
          <cell r="O290" t="str">
            <v xml:space="preserve">NM  </v>
          </cell>
          <cell r="P290" t="str">
            <v xml:space="preserve">NM  </v>
          </cell>
          <cell r="Q290" t="str">
            <v xml:space="preserve">NM  </v>
          </cell>
          <cell r="R290" t="str">
            <v xml:space="preserve">NM  </v>
          </cell>
          <cell r="S290" t="str">
            <v xml:space="preserve">NM  </v>
          </cell>
          <cell r="T290" t="str">
            <v xml:space="preserve">NM  </v>
          </cell>
          <cell r="U290" t="str">
            <v xml:space="preserve">NM  </v>
          </cell>
          <cell r="V290" t="str">
            <v xml:space="preserve">NM  </v>
          </cell>
          <cell r="W290" t="str">
            <v xml:space="preserve">NM  </v>
          </cell>
          <cell r="X290" t="str">
            <v xml:space="preserve">NM  </v>
          </cell>
          <cell r="Y290" t="str">
            <v xml:space="preserve">NM  </v>
          </cell>
          <cell r="Z290" t="str">
            <v xml:space="preserve">NM  </v>
          </cell>
          <cell r="AA290" t="str">
            <v xml:space="preserve">NM  </v>
          </cell>
          <cell r="AB290" t="str">
            <v xml:space="preserve">NM  </v>
          </cell>
          <cell r="AC290" t="str">
            <v xml:space="preserve">NM  </v>
          </cell>
          <cell r="AD290" t="str">
            <v xml:space="preserve">NM  </v>
          </cell>
          <cell r="AE290" t="str">
            <v xml:space="preserve">NM  </v>
          </cell>
          <cell r="AF290" t="str">
            <v xml:space="preserve">NM  </v>
          </cell>
          <cell r="AG290" t="str">
            <v xml:space="preserve">NM  </v>
          </cell>
          <cell r="AH290" t="str">
            <v xml:space="preserve">NM  </v>
          </cell>
          <cell r="AI290" t="str">
            <v xml:space="preserve">NM  </v>
          </cell>
          <cell r="AJ290" t="str">
            <v xml:space="preserve">NM  </v>
          </cell>
          <cell r="AK290" t="str">
            <v xml:space="preserve">NM  </v>
          </cell>
          <cell r="AL290" t="str">
            <v xml:space="preserve">NM  </v>
          </cell>
          <cell r="AM290" t="str">
            <v xml:space="preserve">NM  </v>
          </cell>
          <cell r="AN290" t="str">
            <v xml:space="preserve">NM  </v>
          </cell>
          <cell r="AO290" t="str">
            <v xml:space="preserve">NM  </v>
          </cell>
          <cell r="AP290" t="str">
            <v xml:space="preserve">NM  </v>
          </cell>
          <cell r="AQ290" t="str">
            <v xml:space="preserve">NM  </v>
          </cell>
          <cell r="AR290" t="str">
            <v xml:space="preserve">NM  </v>
          </cell>
          <cell r="AS290" t="str">
            <v xml:space="preserve">NM  </v>
          </cell>
          <cell r="AT290" t="str">
            <v xml:space="preserve">NM  </v>
          </cell>
          <cell r="AU290" t="str">
            <v xml:space="preserve">NM  </v>
          </cell>
          <cell r="AV290" t="str">
            <v xml:space="preserve">NM  </v>
          </cell>
          <cell r="AW290" t="str">
            <v xml:space="preserve">NM  </v>
          </cell>
          <cell r="AX290" t="str">
            <v xml:space="preserve">NM  </v>
          </cell>
          <cell r="AY290" t="str">
            <v xml:space="preserve">NM  </v>
          </cell>
          <cell r="AZ290" t="str">
            <v xml:space="preserve">NM  </v>
          </cell>
          <cell r="BA290" t="str">
            <v xml:space="preserve">NM  </v>
          </cell>
          <cell r="BB290" t="str">
            <v xml:space="preserve">NM  </v>
          </cell>
          <cell r="BC290" t="str">
            <v xml:space="preserve">NM  </v>
          </cell>
          <cell r="BD290" t="str">
            <v xml:space="preserve">NM  </v>
          </cell>
          <cell r="BE290" t="str">
            <v xml:space="preserve">NM  </v>
          </cell>
        </row>
        <row r="291">
          <cell r="H291" t="str">
            <v xml:space="preserve">NM  </v>
          </cell>
          <cell r="I291" t="str">
            <v xml:space="preserve">NM  </v>
          </cell>
          <cell r="J291" t="str">
            <v xml:space="preserve">NM  </v>
          </cell>
          <cell r="K291" t="str">
            <v xml:space="preserve">NM  </v>
          </cell>
          <cell r="L291" t="str">
            <v xml:space="preserve">NM  </v>
          </cell>
          <cell r="M291" t="str">
            <v xml:space="preserve">NM  </v>
          </cell>
          <cell r="N291" t="str">
            <v xml:space="preserve">NM  </v>
          </cell>
          <cell r="O291" t="str">
            <v xml:space="preserve">NM  </v>
          </cell>
          <cell r="P291" t="str">
            <v xml:space="preserve">NM  </v>
          </cell>
          <cell r="Q291" t="str">
            <v xml:space="preserve">NM  </v>
          </cell>
          <cell r="R291" t="str">
            <v xml:space="preserve">NM  </v>
          </cell>
          <cell r="S291" t="str">
            <v xml:space="preserve">NM  </v>
          </cell>
          <cell r="T291" t="str">
            <v xml:space="preserve">NM  </v>
          </cell>
          <cell r="U291" t="str">
            <v xml:space="preserve">NM  </v>
          </cell>
          <cell r="V291" t="str">
            <v xml:space="preserve">NM  </v>
          </cell>
          <cell r="W291" t="str">
            <v xml:space="preserve">NM  </v>
          </cell>
          <cell r="X291" t="str">
            <v xml:space="preserve">NM  </v>
          </cell>
          <cell r="Y291" t="str">
            <v xml:space="preserve">NM  </v>
          </cell>
          <cell r="Z291" t="str">
            <v xml:space="preserve">NM  </v>
          </cell>
          <cell r="AA291" t="str">
            <v xml:space="preserve">NM  </v>
          </cell>
          <cell r="AB291" t="str">
            <v xml:space="preserve">NM  </v>
          </cell>
          <cell r="AC291" t="str">
            <v xml:space="preserve">NM  </v>
          </cell>
          <cell r="AD291" t="str">
            <v xml:space="preserve">NM  </v>
          </cell>
          <cell r="AE291" t="str">
            <v xml:space="preserve">NM  </v>
          </cell>
          <cell r="AF291" t="str">
            <v xml:space="preserve">NM  </v>
          </cell>
          <cell r="AG291" t="str">
            <v xml:space="preserve">NM  </v>
          </cell>
          <cell r="AH291" t="str">
            <v xml:space="preserve">NM  </v>
          </cell>
          <cell r="AI291" t="str">
            <v xml:space="preserve">NM  </v>
          </cell>
          <cell r="AJ291" t="str">
            <v xml:space="preserve">NM  </v>
          </cell>
          <cell r="AK291" t="str">
            <v xml:space="preserve">NM  </v>
          </cell>
          <cell r="AL291" t="str">
            <v xml:space="preserve">NM  </v>
          </cell>
          <cell r="AM291" t="str">
            <v xml:space="preserve">NM  </v>
          </cell>
          <cell r="AN291" t="str">
            <v xml:space="preserve">NM  </v>
          </cell>
          <cell r="AO291" t="str">
            <v xml:space="preserve">NM  </v>
          </cell>
          <cell r="AP291" t="str">
            <v xml:space="preserve">NM  </v>
          </cell>
          <cell r="AQ291" t="str">
            <v xml:space="preserve">NM  </v>
          </cell>
          <cell r="AR291" t="str">
            <v xml:space="preserve">NM  </v>
          </cell>
          <cell r="AS291" t="str">
            <v xml:space="preserve">NM  </v>
          </cell>
          <cell r="AT291" t="str">
            <v xml:space="preserve">NM  </v>
          </cell>
          <cell r="AU291" t="str">
            <v xml:space="preserve">NM  </v>
          </cell>
          <cell r="AV291" t="str">
            <v xml:space="preserve">NM  </v>
          </cell>
          <cell r="AW291" t="str">
            <v xml:space="preserve">NM  </v>
          </cell>
          <cell r="AX291" t="str">
            <v xml:space="preserve">NM  </v>
          </cell>
          <cell r="AY291" t="str">
            <v xml:space="preserve">NM  </v>
          </cell>
          <cell r="AZ291" t="str">
            <v xml:space="preserve">NM  </v>
          </cell>
          <cell r="BA291" t="str">
            <v xml:space="preserve">NM  </v>
          </cell>
          <cell r="BB291" t="str">
            <v xml:space="preserve">NM  </v>
          </cell>
          <cell r="BC291" t="str">
            <v xml:space="preserve">NM  </v>
          </cell>
          <cell r="BD291" t="str">
            <v xml:space="preserve">NM  </v>
          </cell>
          <cell r="BE291" t="str">
            <v xml:space="preserve">NM  </v>
          </cell>
        </row>
        <row r="297">
          <cell r="H297">
            <v>0</v>
          </cell>
          <cell r="I297">
            <v>0</v>
          </cell>
          <cell r="J297">
            <v>0</v>
          </cell>
          <cell r="K297">
            <v>0</v>
          </cell>
          <cell r="L297">
            <v>0</v>
          </cell>
          <cell r="M297">
            <v>0</v>
          </cell>
          <cell r="N297">
            <v>0</v>
          </cell>
          <cell r="O297">
            <v>0</v>
          </cell>
          <cell r="P297">
            <v>0</v>
          </cell>
          <cell r="Q297">
            <v>0</v>
          </cell>
          <cell r="R297">
            <v>0</v>
          </cell>
          <cell r="S297">
            <v>0</v>
          </cell>
          <cell r="T297">
            <v>0</v>
          </cell>
          <cell r="U297">
            <v>40.082000000000001</v>
          </cell>
          <cell r="V297">
            <v>0</v>
          </cell>
          <cell r="W297">
            <v>672.03399999999999</v>
          </cell>
          <cell r="X297">
            <v>225.69399999999999</v>
          </cell>
          <cell r="Y297">
            <v>176.33999999999997</v>
          </cell>
          <cell r="Z297">
            <v>1516.5680000000002</v>
          </cell>
          <cell r="AA297">
            <v>897.29399999999987</v>
          </cell>
          <cell r="AB297">
            <v>2115.509</v>
          </cell>
          <cell r="AC297">
            <v>365.26499999999993</v>
          </cell>
          <cell r="AD297">
            <v>0</v>
          </cell>
          <cell r="AE297">
            <v>269.43100000000004</v>
          </cell>
          <cell r="AF297">
            <v>492.99599999999998</v>
          </cell>
          <cell r="AG297">
            <v>113.709</v>
          </cell>
          <cell r="AH297">
            <v>0</v>
          </cell>
          <cell r="AI297">
            <v>0</v>
          </cell>
          <cell r="AJ297">
            <v>327.29399999999998</v>
          </cell>
          <cell r="AK297">
            <v>0</v>
          </cell>
          <cell r="AL297">
            <v>2765.9000000000005</v>
          </cell>
          <cell r="AM297">
            <v>329.74800000000005</v>
          </cell>
          <cell r="AN297">
            <v>37.251000000000005</v>
          </cell>
          <cell r="AO297">
            <v>0</v>
          </cell>
          <cell r="AP297">
            <v>0</v>
          </cell>
          <cell r="AQ297">
            <v>0</v>
          </cell>
          <cell r="AR297">
            <v>344.90300000000002</v>
          </cell>
          <cell r="AS297">
            <v>113.709</v>
          </cell>
          <cell r="AT297">
            <v>42.294000000000004</v>
          </cell>
          <cell r="AU297">
            <v>5611.9000000000005</v>
          </cell>
          <cell r="AV297">
            <v>5767.9030000000002</v>
          </cell>
          <cell r="AW297">
            <v>0</v>
          </cell>
          <cell r="AX297">
            <v>0</v>
          </cell>
          <cell r="AY297">
            <v>0</v>
          </cell>
          <cell r="AZ297">
            <v>0</v>
          </cell>
          <cell r="BA297">
            <v>0</v>
          </cell>
          <cell r="BB297">
            <v>0</v>
          </cell>
          <cell r="BC297">
            <v>0</v>
          </cell>
          <cell r="BD297">
            <v>0</v>
          </cell>
          <cell r="BE297">
            <v>0</v>
          </cell>
        </row>
        <row r="298">
          <cell r="H298">
            <v>0</v>
          </cell>
          <cell r="I298">
            <v>0</v>
          </cell>
          <cell r="J298">
            <v>0</v>
          </cell>
          <cell r="K298">
            <v>0</v>
          </cell>
          <cell r="L298">
            <v>0</v>
          </cell>
          <cell r="M298">
            <v>0</v>
          </cell>
          <cell r="N298">
            <v>0</v>
          </cell>
          <cell r="O298">
            <v>0</v>
          </cell>
          <cell r="P298">
            <v>0</v>
          </cell>
          <cell r="Q298">
            <v>0</v>
          </cell>
          <cell r="R298">
            <v>0</v>
          </cell>
          <cell r="S298">
            <v>0</v>
          </cell>
          <cell r="T298" t="e">
            <v>#VALUE!</v>
          </cell>
          <cell r="U298">
            <v>80.890999999999991</v>
          </cell>
          <cell r="V298">
            <v>471.05399999999997</v>
          </cell>
          <cell r="W298">
            <v>634.49500000000012</v>
          </cell>
          <cell r="X298">
            <v>347.14600000000002</v>
          </cell>
          <cell r="Y298">
            <v>187.65000000000003</v>
          </cell>
          <cell r="Z298" t="e">
            <v>#N/A</v>
          </cell>
          <cell r="AA298">
            <v>617.11899999999991</v>
          </cell>
          <cell r="AB298">
            <v>1223.605</v>
          </cell>
          <cell r="AC298">
            <v>180.13499999999999</v>
          </cell>
          <cell r="AD298" t="e">
            <v>#N/A</v>
          </cell>
          <cell r="AE298">
            <v>247.65600000000001</v>
          </cell>
          <cell r="AF298">
            <v>414.31899999999996</v>
          </cell>
          <cell r="AG298">
            <v>102.33199999999999</v>
          </cell>
          <cell r="AH298">
            <v>0</v>
          </cell>
          <cell r="AI298" t="e">
            <v>#DIV/0!</v>
          </cell>
          <cell r="AJ298" t="e">
            <v>#VALUE!</v>
          </cell>
          <cell r="AK298">
            <v>45.4</v>
          </cell>
          <cell r="AL298">
            <v>3004.8999999999996</v>
          </cell>
          <cell r="AM298">
            <v>677.97783000000004</v>
          </cell>
          <cell r="AN298">
            <v>45.271999999999991</v>
          </cell>
          <cell r="AO298" t="e">
            <v>#N/A</v>
          </cell>
          <cell r="AP298" t="e">
            <v>#DIV/0!</v>
          </cell>
          <cell r="AQ298" t="e">
            <v>#VALUE!</v>
          </cell>
          <cell r="AR298">
            <v>412.27100000000002</v>
          </cell>
          <cell r="AS298">
            <v>102.33199999999999</v>
          </cell>
          <cell r="AT298" t="e">
            <v>#N/A</v>
          </cell>
          <cell r="AU298" t="e">
            <v>#DIV/0!</v>
          </cell>
          <cell r="AV298">
            <v>4835.4490000000005</v>
          </cell>
          <cell r="AW298" t="e">
            <v>#VALUE!</v>
          </cell>
          <cell r="AX298" t="e">
            <v>#VALUE!</v>
          </cell>
          <cell r="AY298" t="e">
            <v>#VALUE!</v>
          </cell>
          <cell r="AZ298" t="e">
            <v>#VALUE!</v>
          </cell>
          <cell r="BA298" t="e">
            <v>#VALUE!</v>
          </cell>
          <cell r="BB298" t="e">
            <v>#VALUE!</v>
          </cell>
          <cell r="BC298" t="e">
            <v>#VALUE!</v>
          </cell>
          <cell r="BD298" t="e">
            <v>#VALUE!</v>
          </cell>
          <cell r="BE298" t="e">
            <v>#VALUE!</v>
          </cell>
        </row>
        <row r="299">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300</v>
          </cell>
          <cell r="AA299">
            <v>0</v>
          </cell>
          <cell r="AB299">
            <v>0</v>
          </cell>
          <cell r="AC299">
            <v>132</v>
          </cell>
          <cell r="AD299">
            <v>0</v>
          </cell>
          <cell r="AE299">
            <v>0</v>
          </cell>
          <cell r="AF299">
            <v>0</v>
          </cell>
          <cell r="AG299">
            <v>0</v>
          </cell>
          <cell r="AH299">
            <v>0</v>
          </cell>
          <cell r="AI299">
            <v>0</v>
          </cell>
          <cell r="AJ299">
            <v>0</v>
          </cell>
          <cell r="AK299">
            <v>0</v>
          </cell>
          <cell r="AL299">
            <v>196.1</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row>
        <row r="300">
          <cell r="H300">
            <v>0</v>
          </cell>
          <cell r="I300">
            <v>0</v>
          </cell>
          <cell r="J300">
            <v>0</v>
          </cell>
          <cell r="K300">
            <v>0</v>
          </cell>
          <cell r="L300">
            <v>0</v>
          </cell>
          <cell r="M300">
            <v>0</v>
          </cell>
          <cell r="N300">
            <v>0</v>
          </cell>
          <cell r="O300">
            <v>0</v>
          </cell>
          <cell r="P300">
            <v>0</v>
          </cell>
          <cell r="Q300">
            <v>0</v>
          </cell>
          <cell r="R300">
            <v>0</v>
          </cell>
          <cell r="S300">
            <v>0</v>
          </cell>
          <cell r="T300" t="e">
            <v>#VALUE!</v>
          </cell>
          <cell r="U300">
            <v>3.028</v>
          </cell>
          <cell r="V300">
            <v>224.68799999999999</v>
          </cell>
          <cell r="W300">
            <v>21.153999999999996</v>
          </cell>
          <cell r="X300">
            <v>377.41700000000003</v>
          </cell>
          <cell r="Y300">
            <v>0</v>
          </cell>
          <cell r="Z300" t="e">
            <v>#N/A</v>
          </cell>
          <cell r="AA300">
            <v>340.93399999999997</v>
          </cell>
          <cell r="AB300">
            <v>1238.8889999999999</v>
          </cell>
          <cell r="AC300">
            <v>242.01499999999999</v>
          </cell>
          <cell r="AD300" t="e">
            <v>#N/A</v>
          </cell>
          <cell r="AE300">
            <v>125</v>
          </cell>
          <cell r="AF300">
            <v>256.75</v>
          </cell>
          <cell r="AG300">
            <v>216.34400000000002</v>
          </cell>
          <cell r="AH300">
            <v>0</v>
          </cell>
          <cell r="AI300" t="e">
            <v>#DIV/0!</v>
          </cell>
          <cell r="AJ300" t="e">
            <v>#VALUE!</v>
          </cell>
          <cell r="AK300">
            <v>957.5</v>
          </cell>
          <cell r="AL300">
            <v>1326.8000000000002</v>
          </cell>
          <cell r="AM300">
            <v>448.08199999999999</v>
          </cell>
          <cell r="AN300">
            <v>10.4</v>
          </cell>
          <cell r="AO300" t="e">
            <v>#N/A</v>
          </cell>
          <cell r="AP300" t="e">
            <v>#DIV/0!</v>
          </cell>
          <cell r="AQ300" t="e">
            <v>#VALUE!</v>
          </cell>
          <cell r="AR300">
            <v>0</v>
          </cell>
          <cell r="AS300">
            <v>216.34400000000002</v>
          </cell>
          <cell r="AT300" t="e">
            <v>#N/A</v>
          </cell>
          <cell r="AU300" t="e">
            <v>#DIV/0!</v>
          </cell>
          <cell r="AV300">
            <v>2697.5439999999999</v>
          </cell>
          <cell r="AW300" t="e">
            <v>#VALUE!</v>
          </cell>
          <cell r="AX300" t="e">
            <v>#VALUE!</v>
          </cell>
          <cell r="AY300" t="e">
            <v>#VALUE!</v>
          </cell>
          <cell r="AZ300" t="e">
            <v>#VALUE!</v>
          </cell>
          <cell r="BA300" t="e">
            <v>#VALUE!</v>
          </cell>
          <cell r="BB300" t="e">
            <v>#VALUE!</v>
          </cell>
          <cell r="BC300" t="e">
            <v>#VALUE!</v>
          </cell>
          <cell r="BD300" t="e">
            <v>#VALUE!</v>
          </cell>
          <cell r="BE300" t="e">
            <v>#VALUE!</v>
          </cell>
        </row>
        <row r="301">
          <cell r="H301">
            <v>0</v>
          </cell>
          <cell r="I301">
            <v>0</v>
          </cell>
          <cell r="J301">
            <v>0</v>
          </cell>
          <cell r="K301">
            <v>0</v>
          </cell>
          <cell r="L301">
            <v>0</v>
          </cell>
          <cell r="M301">
            <v>0</v>
          </cell>
          <cell r="N301">
            <v>0</v>
          </cell>
          <cell r="O301">
            <v>0</v>
          </cell>
          <cell r="P301">
            <v>0</v>
          </cell>
          <cell r="Q301">
            <v>0</v>
          </cell>
          <cell r="R301">
            <v>0</v>
          </cell>
          <cell r="S301">
            <v>0</v>
          </cell>
          <cell r="T301" t="e">
            <v>#VALUE!</v>
          </cell>
          <cell r="U301">
            <v>16.299999999999997</v>
          </cell>
          <cell r="V301">
            <v>453.77499999999998</v>
          </cell>
          <cell r="W301">
            <v>350.19299999999976</v>
          </cell>
          <cell r="X301">
            <v>547.45100000000002</v>
          </cell>
          <cell r="Y301">
            <v>138.10899999999998</v>
          </cell>
          <cell r="Z301" t="e">
            <v>#N/A</v>
          </cell>
          <cell r="AA301">
            <v>2185.0190000000002</v>
          </cell>
          <cell r="AB301">
            <v>7250.4929999999986</v>
          </cell>
          <cell r="AC301">
            <v>618.97900000000004</v>
          </cell>
          <cell r="AD301" t="e">
            <v>#N/A</v>
          </cell>
          <cell r="AE301">
            <v>345.41200000000003</v>
          </cell>
          <cell r="AF301">
            <v>602.09400000000005</v>
          </cell>
          <cell r="AG301">
            <v>348.87900000000002</v>
          </cell>
          <cell r="AH301">
            <v>0</v>
          </cell>
          <cell r="AI301" t="e">
            <v>#DIV/0!</v>
          </cell>
          <cell r="AJ301" t="e">
            <v>#VALUE!</v>
          </cell>
          <cell r="AK301">
            <v>-45.4</v>
          </cell>
          <cell r="AL301">
            <v>8909.7000000000007</v>
          </cell>
          <cell r="AM301">
            <v>634.22216999999989</v>
          </cell>
          <cell r="AN301">
            <v>30.297000000000011</v>
          </cell>
          <cell r="AO301" t="e">
            <v>#N/A</v>
          </cell>
          <cell r="AP301" t="e">
            <v>#DIV/0!</v>
          </cell>
          <cell r="AQ301" t="e">
            <v>#VALUE!</v>
          </cell>
          <cell r="AR301">
            <v>177.53899999999999</v>
          </cell>
          <cell r="AS301">
            <v>348.87900000000002</v>
          </cell>
          <cell r="AT301" t="e">
            <v>#N/A</v>
          </cell>
          <cell r="AU301" t="e">
            <v>#DIV/0!</v>
          </cell>
          <cell r="AV301">
            <v>10795.365999999998</v>
          </cell>
          <cell r="AW301" t="e">
            <v>#VALUE!</v>
          </cell>
          <cell r="AX301" t="e">
            <v>#VALUE!</v>
          </cell>
          <cell r="AY301" t="e">
            <v>#VALUE!</v>
          </cell>
          <cell r="AZ301" t="e">
            <v>#VALUE!</v>
          </cell>
          <cell r="BA301" t="e">
            <v>#VALUE!</v>
          </cell>
          <cell r="BB301" t="e">
            <v>#VALUE!</v>
          </cell>
          <cell r="BC301" t="e">
            <v>#VALUE!</v>
          </cell>
          <cell r="BD301" t="e">
            <v>#VALUE!</v>
          </cell>
          <cell r="BE301" t="e">
            <v>#VALUE!</v>
          </cell>
        </row>
        <row r="302">
          <cell r="H302">
            <v>0</v>
          </cell>
          <cell r="I302">
            <v>0</v>
          </cell>
          <cell r="J302">
            <v>0</v>
          </cell>
          <cell r="K302">
            <v>0</v>
          </cell>
          <cell r="L302">
            <v>0</v>
          </cell>
          <cell r="M302">
            <v>0</v>
          </cell>
          <cell r="N302">
            <v>0</v>
          </cell>
          <cell r="O302">
            <v>0</v>
          </cell>
          <cell r="P302">
            <v>0</v>
          </cell>
          <cell r="Q302">
            <v>0</v>
          </cell>
          <cell r="R302">
            <v>0</v>
          </cell>
          <cell r="S302">
            <v>0</v>
          </cell>
          <cell r="T302">
            <v>0</v>
          </cell>
          <cell r="U302">
            <v>20.766999999999999</v>
          </cell>
          <cell r="V302">
            <v>0</v>
          </cell>
          <cell r="W302">
            <v>572.90300000000002</v>
          </cell>
          <cell r="X302">
            <v>70.257999999999996</v>
          </cell>
          <cell r="Y302">
            <v>91.347999999999999</v>
          </cell>
          <cell r="Z302">
            <v>60.804000000000002</v>
          </cell>
          <cell r="AA302">
            <v>94.298000000000002</v>
          </cell>
          <cell r="AB302">
            <v>463.815</v>
          </cell>
          <cell r="AC302">
            <v>0.68799999999999994</v>
          </cell>
          <cell r="AD302">
            <v>0</v>
          </cell>
          <cell r="AE302">
            <v>40.206000000000003</v>
          </cell>
          <cell r="AF302">
            <v>93.421000000000006</v>
          </cell>
          <cell r="AG302">
            <v>24.074999999999999</v>
          </cell>
          <cell r="AH302">
            <v>0</v>
          </cell>
          <cell r="AI302">
            <v>0</v>
          </cell>
          <cell r="AJ302">
            <v>58.841999999999999</v>
          </cell>
          <cell r="AK302">
            <v>0</v>
          </cell>
          <cell r="AL302">
            <v>385.5</v>
          </cell>
          <cell r="AM302">
            <v>33.501829999999998</v>
          </cell>
          <cell r="AN302">
            <v>3.6070000000000002</v>
          </cell>
          <cell r="AO302">
            <v>0</v>
          </cell>
          <cell r="AP302">
            <v>0</v>
          </cell>
          <cell r="AQ302">
            <v>0</v>
          </cell>
          <cell r="AR302">
            <v>132.43700000000001</v>
          </cell>
          <cell r="AS302">
            <v>24.074999999999999</v>
          </cell>
          <cell r="AT302">
            <v>14.052</v>
          </cell>
          <cell r="AU302">
            <v>869.2</v>
          </cell>
          <cell r="AV302">
            <v>703.32700000000011</v>
          </cell>
          <cell r="AW302">
            <v>0</v>
          </cell>
          <cell r="AX302">
            <v>0</v>
          </cell>
          <cell r="AY302">
            <v>0</v>
          </cell>
          <cell r="AZ302">
            <v>0</v>
          </cell>
          <cell r="BA302">
            <v>0</v>
          </cell>
          <cell r="BB302">
            <v>0</v>
          </cell>
          <cell r="BC302">
            <v>0</v>
          </cell>
          <cell r="BD302">
            <v>0</v>
          </cell>
          <cell r="BE302">
            <v>0</v>
          </cell>
        </row>
        <row r="303">
          <cell r="H303">
            <v>0</v>
          </cell>
          <cell r="I303">
            <v>0</v>
          </cell>
          <cell r="J303">
            <v>0</v>
          </cell>
          <cell r="K303">
            <v>0</v>
          </cell>
          <cell r="L303">
            <v>0</v>
          </cell>
          <cell r="M303">
            <v>0</v>
          </cell>
          <cell r="N303">
            <v>0</v>
          </cell>
          <cell r="O303">
            <v>0</v>
          </cell>
          <cell r="P303">
            <v>0</v>
          </cell>
          <cell r="Q303">
            <v>0</v>
          </cell>
          <cell r="R303">
            <v>0</v>
          </cell>
          <cell r="S303">
            <v>0</v>
          </cell>
          <cell r="T303" t="e">
            <v>#VALUE!</v>
          </cell>
          <cell r="U303">
            <v>91.567999999999998</v>
          </cell>
          <cell r="V303">
            <v>471.05399999999997</v>
          </cell>
          <cell r="W303">
            <v>1875.7080000000001</v>
          </cell>
          <cell r="X303">
            <v>375.39800000000002</v>
          </cell>
          <cell r="Y303">
            <v>271.21300000000002</v>
          </cell>
          <cell r="Z303" t="e">
            <v>#N/A</v>
          </cell>
          <cell r="AA303">
            <v>702.92499999999995</v>
          </cell>
          <cell r="AB303">
            <v>3349.7260000000001</v>
          </cell>
          <cell r="AC303">
            <v>378.459</v>
          </cell>
          <cell r="AD303" t="e">
            <v>#N/A</v>
          </cell>
          <cell r="AE303">
            <v>324.77800000000002</v>
          </cell>
          <cell r="AF303">
            <v>707.42499999999995</v>
          </cell>
          <cell r="AG303">
            <v>245.49199999999999</v>
          </cell>
          <cell r="AH303">
            <v>0</v>
          </cell>
          <cell r="AI303" t="e">
            <v>#DIV/0!</v>
          </cell>
          <cell r="AJ303" t="e">
            <v>#VALUE!</v>
          </cell>
          <cell r="AK303">
            <v>45.4</v>
          </cell>
          <cell r="AL303">
            <v>3979.2</v>
          </cell>
          <cell r="AM303">
            <v>805.57983000000002</v>
          </cell>
          <cell r="AN303">
            <v>75.504999999999995</v>
          </cell>
          <cell r="AO303" t="e">
            <v>#N/A</v>
          </cell>
          <cell r="AP303" t="e">
            <v>#DIV/0!</v>
          </cell>
          <cell r="AQ303" t="e">
            <v>#VALUE!</v>
          </cell>
          <cell r="AR303">
            <v>543.28300000000002</v>
          </cell>
          <cell r="AS303">
            <v>245.49199999999999</v>
          </cell>
          <cell r="AT303" t="e">
            <v>#N/A</v>
          </cell>
          <cell r="AU303" t="e">
            <v>#DIV/0!</v>
          </cell>
          <cell r="AV303">
            <v>6209</v>
          </cell>
          <cell r="AW303" t="e">
            <v>#VALUE!</v>
          </cell>
          <cell r="AX303" t="e">
            <v>#VALUE!</v>
          </cell>
          <cell r="AY303" t="e">
            <v>#VALUE!</v>
          </cell>
          <cell r="AZ303" t="e">
            <v>#VALUE!</v>
          </cell>
          <cell r="BA303" t="e">
            <v>#VALUE!</v>
          </cell>
          <cell r="BB303" t="e">
            <v>#VALUE!</v>
          </cell>
          <cell r="BC303" t="e">
            <v>#VALUE!</v>
          </cell>
          <cell r="BD303" t="e">
            <v>#VALUE!</v>
          </cell>
          <cell r="BE303" t="e">
            <v>#VALUE!</v>
          </cell>
        </row>
        <row r="304">
          <cell r="H304">
            <v>0</v>
          </cell>
          <cell r="I304">
            <v>0</v>
          </cell>
          <cell r="J304">
            <v>0</v>
          </cell>
          <cell r="K304">
            <v>0</v>
          </cell>
          <cell r="L304">
            <v>0</v>
          </cell>
          <cell r="M304">
            <v>0</v>
          </cell>
          <cell r="N304">
            <v>0</v>
          </cell>
          <cell r="O304">
            <v>0</v>
          </cell>
          <cell r="P304">
            <v>0</v>
          </cell>
          <cell r="Q304">
            <v>0</v>
          </cell>
          <cell r="R304">
            <v>0</v>
          </cell>
          <cell r="S304">
            <v>0</v>
          </cell>
          <cell r="T304" t="e">
            <v>#VALUE!</v>
          </cell>
          <cell r="U304">
            <v>3.028</v>
          </cell>
          <cell r="V304">
            <v>224.68799999999999</v>
          </cell>
          <cell r="W304">
            <v>21.153999999999996</v>
          </cell>
          <cell r="X304">
            <v>377.41700000000003</v>
          </cell>
          <cell r="Y304">
            <v>0</v>
          </cell>
          <cell r="Z304" t="e">
            <v>#N/A</v>
          </cell>
          <cell r="AA304">
            <v>340.93399999999997</v>
          </cell>
          <cell r="AB304">
            <v>1238.8889999999999</v>
          </cell>
          <cell r="AC304">
            <v>242.01499999999999</v>
          </cell>
          <cell r="AD304" t="e">
            <v>#N/A</v>
          </cell>
          <cell r="AE304">
            <v>125</v>
          </cell>
          <cell r="AF304">
            <v>256.75</v>
          </cell>
          <cell r="AG304">
            <v>216.34400000000002</v>
          </cell>
          <cell r="AH304">
            <v>0</v>
          </cell>
          <cell r="AI304" t="e">
            <v>#DIV/0!</v>
          </cell>
          <cell r="AJ304" t="e">
            <v>#VALUE!</v>
          </cell>
          <cell r="AK304">
            <v>957.5</v>
          </cell>
          <cell r="AL304">
            <v>1326.8000000000002</v>
          </cell>
          <cell r="AM304">
            <v>448.08199999999999</v>
          </cell>
          <cell r="AN304">
            <v>10.4</v>
          </cell>
          <cell r="AO304" t="e">
            <v>#N/A</v>
          </cell>
          <cell r="AP304" t="e">
            <v>#DIV/0!</v>
          </cell>
          <cell r="AQ304" t="e">
            <v>#VALUE!</v>
          </cell>
          <cell r="AR304">
            <v>0</v>
          </cell>
          <cell r="AS304">
            <v>216.34400000000002</v>
          </cell>
          <cell r="AT304" t="e">
            <v>#N/A</v>
          </cell>
          <cell r="AU304" t="e">
            <v>#DIV/0!</v>
          </cell>
          <cell r="AV304">
            <v>2697.5439999999999</v>
          </cell>
          <cell r="AW304" t="e">
            <v>#VALUE!</v>
          </cell>
          <cell r="AX304" t="e">
            <v>#VALUE!</v>
          </cell>
          <cell r="AY304" t="e">
            <v>#VALUE!</v>
          </cell>
          <cell r="AZ304" t="e">
            <v>#VALUE!</v>
          </cell>
          <cell r="BA304" t="e">
            <v>#VALUE!</v>
          </cell>
          <cell r="BB304" t="e">
            <v>#VALUE!</v>
          </cell>
          <cell r="BC304" t="e">
            <v>#VALUE!</v>
          </cell>
          <cell r="BD304" t="e">
            <v>#VALUE!</v>
          </cell>
          <cell r="BE304" t="e">
            <v>#VALUE!</v>
          </cell>
        </row>
        <row r="305">
          <cell r="H305">
            <v>0</v>
          </cell>
          <cell r="I305">
            <v>0</v>
          </cell>
          <cell r="J305">
            <v>0</v>
          </cell>
          <cell r="K305">
            <v>0</v>
          </cell>
          <cell r="L305">
            <v>0</v>
          </cell>
          <cell r="M305">
            <v>0</v>
          </cell>
          <cell r="N305">
            <v>0</v>
          </cell>
          <cell r="O305">
            <v>0</v>
          </cell>
          <cell r="P305">
            <v>0</v>
          </cell>
          <cell r="Q305">
            <v>0</v>
          </cell>
          <cell r="R305">
            <v>0</v>
          </cell>
          <cell r="S305">
            <v>0</v>
          </cell>
          <cell r="T305" t="e">
            <v>#VALUE!</v>
          </cell>
          <cell r="U305">
            <v>94.596000000000004</v>
          </cell>
          <cell r="V305">
            <v>695.74199999999996</v>
          </cell>
          <cell r="W305">
            <v>1896.8620000000001</v>
          </cell>
          <cell r="X305">
            <v>752.81500000000005</v>
          </cell>
          <cell r="Y305">
            <v>271.21300000000002</v>
          </cell>
          <cell r="Z305" t="e">
            <v>#N/A</v>
          </cell>
          <cell r="AA305">
            <v>1043.8589999999999</v>
          </cell>
          <cell r="AB305">
            <v>4588.6149999999998</v>
          </cell>
          <cell r="AC305">
            <v>620.47399999999993</v>
          </cell>
          <cell r="AD305" t="e">
            <v>#N/A</v>
          </cell>
          <cell r="AE305">
            <v>449.77800000000002</v>
          </cell>
          <cell r="AF305">
            <v>964.17499999999995</v>
          </cell>
          <cell r="AG305">
            <v>461.83600000000001</v>
          </cell>
          <cell r="AH305">
            <v>0</v>
          </cell>
          <cell r="AI305" t="e">
            <v>#DIV/0!</v>
          </cell>
          <cell r="AJ305" t="e">
            <v>#VALUE!</v>
          </cell>
          <cell r="AK305">
            <v>1002.9</v>
          </cell>
          <cell r="AL305">
            <v>5306</v>
          </cell>
          <cell r="AM305">
            <v>1253.66183</v>
          </cell>
          <cell r="AN305">
            <v>85.905000000000001</v>
          </cell>
          <cell r="AO305" t="e">
            <v>#N/A</v>
          </cell>
          <cell r="AP305" t="e">
            <v>#DIV/0!</v>
          </cell>
          <cell r="AQ305" t="e">
            <v>#VALUE!</v>
          </cell>
          <cell r="AR305">
            <v>543.28300000000002</v>
          </cell>
          <cell r="AS305">
            <v>461.83600000000001</v>
          </cell>
          <cell r="AT305" t="e">
            <v>#N/A</v>
          </cell>
          <cell r="AU305" t="e">
            <v>#DIV/0!</v>
          </cell>
          <cell r="AV305">
            <v>8906.5439999999999</v>
          </cell>
          <cell r="AW305" t="e">
            <v>#VALUE!</v>
          </cell>
          <cell r="AX305" t="e">
            <v>#VALUE!</v>
          </cell>
          <cell r="AY305" t="e">
            <v>#VALUE!</v>
          </cell>
          <cell r="AZ305" t="e">
            <v>#VALUE!</v>
          </cell>
          <cell r="BA305" t="e">
            <v>#VALUE!</v>
          </cell>
          <cell r="BB305" t="e">
            <v>#VALUE!</v>
          </cell>
          <cell r="BC305" t="e">
            <v>#VALUE!</v>
          </cell>
          <cell r="BD305" t="e">
            <v>#VALUE!</v>
          </cell>
          <cell r="BE305" t="e">
            <v>#VALUE!</v>
          </cell>
        </row>
        <row r="309">
          <cell r="H309">
            <v>0</v>
          </cell>
          <cell r="I309">
            <v>0</v>
          </cell>
          <cell r="J309">
            <v>0.5</v>
          </cell>
          <cell r="K309">
            <v>0</v>
          </cell>
          <cell r="L309">
            <v>0</v>
          </cell>
          <cell r="M309">
            <v>0.5</v>
          </cell>
          <cell r="N309">
            <v>0</v>
          </cell>
          <cell r="O309">
            <v>0</v>
          </cell>
          <cell r="P309">
            <v>0</v>
          </cell>
          <cell r="Q309">
            <v>0</v>
          </cell>
          <cell r="R309">
            <v>193.71250000000001</v>
          </cell>
          <cell r="S309">
            <v>0</v>
          </cell>
          <cell r="T309" t="str">
            <v xml:space="preserve">NA </v>
          </cell>
          <cell r="U309">
            <v>71.149000000000001</v>
          </cell>
          <cell r="V309">
            <v>430.10399999999998</v>
          </cell>
          <cell r="W309">
            <v>0</v>
          </cell>
          <cell r="X309">
            <v>598.23099999999999</v>
          </cell>
          <cell r="Y309">
            <v>805.12</v>
          </cell>
          <cell r="Z309" t="str">
            <v xml:space="preserve">NA </v>
          </cell>
          <cell r="AA309" t="str">
            <v xml:space="preserve">NA </v>
          </cell>
          <cell r="AB309">
            <v>36038.432499999995</v>
          </cell>
          <cell r="AC309">
            <v>3814.9940000000001</v>
          </cell>
          <cell r="AD309" t="str">
            <v xml:space="preserve">NA </v>
          </cell>
          <cell r="AE309">
            <v>1346.4490000000001</v>
          </cell>
          <cell r="AF309">
            <v>2558.2429999999999</v>
          </cell>
          <cell r="AG309">
            <v>774.71799999999996</v>
          </cell>
          <cell r="AH309">
            <v>430.10399999999998</v>
          </cell>
          <cell r="AI309" t="str">
            <v xml:space="preserve">NA </v>
          </cell>
          <cell r="AJ309" t="str">
            <v xml:space="preserve">NA </v>
          </cell>
          <cell r="AK309">
            <v>2880</v>
          </cell>
          <cell r="AL309">
            <v>23460.400000000001</v>
          </cell>
          <cell r="AM309">
            <v>1179.4469999999999</v>
          </cell>
          <cell r="AN309">
            <v>149.46250000000001</v>
          </cell>
          <cell r="AO309" t="str">
            <v xml:space="preserve">NA </v>
          </cell>
          <cell r="AP309">
            <v>871.06933333333325</v>
          </cell>
          <cell r="AQ309" t="str">
            <v xml:space="preserve">NA </v>
          </cell>
          <cell r="AR309">
            <v>871.06933333333325</v>
          </cell>
          <cell r="AS309">
            <v>774.71799999999996</v>
          </cell>
          <cell r="AT309" t="str">
            <v xml:space="preserve">NA </v>
          </cell>
          <cell r="AU309">
            <v>19772.669999999998</v>
          </cell>
          <cell r="AV309">
            <v>19772.669999999998</v>
          </cell>
          <cell r="AW309" t="str">
            <v xml:space="preserve">NA </v>
          </cell>
          <cell r="AX309" t="str">
            <v xml:space="preserve">NA </v>
          </cell>
          <cell r="AY309" t="str">
            <v xml:space="preserve">NA </v>
          </cell>
          <cell r="AZ309" t="str">
            <v xml:space="preserve">NA </v>
          </cell>
          <cell r="BA309" t="str">
            <v xml:space="preserve">NA </v>
          </cell>
          <cell r="BB309" t="str">
            <v xml:space="preserve">NA </v>
          </cell>
          <cell r="BC309" t="str">
            <v xml:space="preserve">NA </v>
          </cell>
          <cell r="BD309" t="str">
            <v xml:space="preserve">NA </v>
          </cell>
          <cell r="BE309" t="str">
            <v xml:space="preserve">NA </v>
          </cell>
        </row>
        <row r="310">
          <cell r="H310">
            <v>651.88599999999997</v>
          </cell>
          <cell r="I310">
            <v>297.774</v>
          </cell>
          <cell r="J310">
            <v>74.204000000000008</v>
          </cell>
          <cell r="K310">
            <v>865.8</v>
          </cell>
          <cell r="L310">
            <v>286.60300000000001</v>
          </cell>
          <cell r="M310">
            <v>863.29</v>
          </cell>
          <cell r="N310">
            <v>1179.02</v>
          </cell>
          <cell r="O310">
            <v>104.3</v>
          </cell>
          <cell r="P310">
            <v>1298.22</v>
          </cell>
          <cell r="Q310">
            <v>2055.6999999999998</v>
          </cell>
          <cell r="R310">
            <v>792.83749999999998</v>
          </cell>
          <cell r="S310">
            <v>902.26099999999997</v>
          </cell>
          <cell r="T310" t="str">
            <v xml:space="preserve">NA </v>
          </cell>
          <cell r="U310">
            <v>105.1</v>
          </cell>
          <cell r="V310">
            <v>1170.8699999999999</v>
          </cell>
          <cell r="W310">
            <v>651.88599999999997</v>
          </cell>
          <cell r="X310">
            <v>706.82500000000005</v>
          </cell>
          <cell r="Y310">
            <v>1181.761</v>
          </cell>
          <cell r="Z310" t="str">
            <v xml:space="preserve">NA </v>
          </cell>
          <cell r="AA310">
            <v>41782.035000000003</v>
          </cell>
          <cell r="AB310">
            <v>41782.035000000003</v>
          </cell>
          <cell r="AC310">
            <v>4007.8830000000003</v>
          </cell>
          <cell r="AD310" t="str">
            <v xml:space="preserve">NA </v>
          </cell>
          <cell r="AE310">
            <v>1873.2455</v>
          </cell>
          <cell r="AF310">
            <v>2805.6</v>
          </cell>
          <cell r="AG310">
            <v>931.6</v>
          </cell>
          <cell r="AH310">
            <v>1170.8699999999999</v>
          </cell>
          <cell r="AI310">
            <v>826.72300000000007</v>
          </cell>
          <cell r="AJ310" t="str">
            <v xml:space="preserve">NA </v>
          </cell>
          <cell r="AK310">
            <v>3203.14</v>
          </cell>
          <cell r="AL310">
            <v>39302.589999999997</v>
          </cell>
          <cell r="AM310">
            <v>1220.6500000000001</v>
          </cell>
          <cell r="AN310">
            <v>366.50400000000002</v>
          </cell>
          <cell r="AO310" t="str">
            <v xml:space="preserve">NA </v>
          </cell>
          <cell r="AP310">
            <v>1530.0246666666667</v>
          </cell>
          <cell r="AQ310" t="str">
            <v xml:space="preserve">NA </v>
          </cell>
          <cell r="AR310">
            <v>1530.0246666666667</v>
          </cell>
          <cell r="AS310">
            <v>931.6</v>
          </cell>
          <cell r="AT310" t="str">
            <v xml:space="preserve">NA </v>
          </cell>
          <cell r="AU310">
            <v>45340.45</v>
          </cell>
          <cell r="AV310">
            <v>45340.45</v>
          </cell>
          <cell r="AW310" t="str">
            <v xml:space="preserve">NA </v>
          </cell>
          <cell r="AX310" t="str">
            <v xml:space="preserve">NA </v>
          </cell>
          <cell r="AY310" t="str">
            <v xml:space="preserve">NA </v>
          </cell>
          <cell r="AZ310" t="str">
            <v xml:space="preserve">NA </v>
          </cell>
          <cell r="BA310" t="str">
            <v xml:space="preserve">NA </v>
          </cell>
          <cell r="BB310" t="str">
            <v xml:space="preserve">NA </v>
          </cell>
          <cell r="BC310" t="str">
            <v xml:space="preserve">NA </v>
          </cell>
          <cell r="BD310" t="str">
            <v xml:space="preserve">NA </v>
          </cell>
          <cell r="BE310" t="str">
            <v xml:space="preserve">NA </v>
          </cell>
        </row>
        <row r="311">
          <cell r="H311">
            <v>739.88300000000004</v>
          </cell>
          <cell r="I311">
            <v>346.4</v>
          </cell>
          <cell r="J311">
            <v>159.20400000000001</v>
          </cell>
          <cell r="K311">
            <v>937</v>
          </cell>
          <cell r="L311">
            <v>346.274</v>
          </cell>
          <cell r="M311">
            <v>1808.665</v>
          </cell>
          <cell r="N311">
            <v>1241.45</v>
          </cell>
          <cell r="O311">
            <v>122.65</v>
          </cell>
          <cell r="P311">
            <v>1396.81</v>
          </cell>
          <cell r="Q311">
            <v>2192.38</v>
          </cell>
          <cell r="R311">
            <v>881.87869000000001</v>
          </cell>
          <cell r="S311">
            <v>996.26700000000005</v>
          </cell>
          <cell r="T311" t="str">
            <v xml:space="preserve">NA </v>
          </cell>
          <cell r="U311">
            <v>131.9</v>
          </cell>
          <cell r="V311">
            <v>1665.0744999999999</v>
          </cell>
          <cell r="W311">
            <v>739.88300000000004</v>
          </cell>
          <cell r="X311">
            <v>788.39400000000001</v>
          </cell>
          <cell r="Y311">
            <v>1462.2560000000001</v>
          </cell>
          <cell r="Z311" t="str">
            <v xml:space="preserve">NA </v>
          </cell>
          <cell r="AA311">
            <v>47526.497499999998</v>
          </cell>
          <cell r="AB311">
            <v>47526.497499999998</v>
          </cell>
          <cell r="AC311">
            <v>4167.6499999999996</v>
          </cell>
          <cell r="AD311" t="str">
            <v xml:space="preserve">NA </v>
          </cell>
          <cell r="AE311">
            <v>2467.6355199999998</v>
          </cell>
          <cell r="AF311">
            <v>3000</v>
          </cell>
          <cell r="AG311">
            <v>1072.6500000000001</v>
          </cell>
          <cell r="AH311">
            <v>1665.0744999999999</v>
          </cell>
          <cell r="AI311">
            <v>799.10500000000002</v>
          </cell>
          <cell r="AJ311" t="str">
            <v xml:space="preserve">NA </v>
          </cell>
          <cell r="AK311">
            <v>3397.2649999999999</v>
          </cell>
          <cell r="AL311">
            <v>46176.817499999997</v>
          </cell>
          <cell r="AM311">
            <v>1309.6600000000001</v>
          </cell>
          <cell r="AN311">
            <v>574.30956000000003</v>
          </cell>
          <cell r="AO311" t="str">
            <v xml:space="preserve">NA </v>
          </cell>
          <cell r="AP311">
            <v>1763.9683333333332</v>
          </cell>
          <cell r="AQ311" t="str">
            <v xml:space="preserve">NA </v>
          </cell>
          <cell r="AR311">
            <v>1763.9683333333332</v>
          </cell>
          <cell r="AS311">
            <v>1072.6500000000001</v>
          </cell>
          <cell r="AT311" t="str">
            <v xml:space="preserve">NA </v>
          </cell>
          <cell r="AU311">
            <v>54681.75</v>
          </cell>
          <cell r="AV311">
            <v>54681.75</v>
          </cell>
          <cell r="AW311" t="str">
            <v xml:space="preserve">NA </v>
          </cell>
          <cell r="AX311" t="str">
            <v xml:space="preserve">NA </v>
          </cell>
          <cell r="AY311" t="str">
            <v xml:space="preserve">NA </v>
          </cell>
          <cell r="AZ311" t="str">
            <v xml:space="preserve">NA </v>
          </cell>
          <cell r="BA311" t="str">
            <v xml:space="preserve">NA </v>
          </cell>
          <cell r="BB311" t="str">
            <v xml:space="preserve">NA </v>
          </cell>
          <cell r="BC311" t="str">
            <v xml:space="preserve">NA </v>
          </cell>
          <cell r="BD311" t="str">
            <v xml:space="preserve">NA </v>
          </cell>
          <cell r="BE311" t="str">
            <v xml:space="preserve">NA </v>
          </cell>
        </row>
        <row r="312">
          <cell r="H312">
            <v>878.6850508</v>
          </cell>
          <cell r="I312">
            <v>418</v>
          </cell>
          <cell r="J312">
            <v>186.71949999999998</v>
          </cell>
          <cell r="K312">
            <v>1105.6600000000001</v>
          </cell>
          <cell r="L312">
            <v>407.96699999999998</v>
          </cell>
          <cell r="M312">
            <v>2046.16965</v>
          </cell>
          <cell r="N312">
            <v>1322.8</v>
          </cell>
          <cell r="O312">
            <v>150.12360000000001</v>
          </cell>
          <cell r="P312">
            <v>1616.8075749999998</v>
          </cell>
          <cell r="Q312">
            <v>2554.1227000000003</v>
          </cell>
          <cell r="R312">
            <v>881.87869000000001</v>
          </cell>
          <cell r="S312">
            <v>1177.7868473999999</v>
          </cell>
          <cell r="T312" t="str">
            <v xml:space="preserve">NA </v>
          </cell>
          <cell r="U312">
            <v>163.22624999999999</v>
          </cell>
          <cell r="V312">
            <v>2096.6757716000002</v>
          </cell>
          <cell r="W312">
            <v>878.6850508</v>
          </cell>
          <cell r="X312">
            <v>911.93533980000007</v>
          </cell>
          <cell r="Y312">
            <v>1839.0793712000002</v>
          </cell>
          <cell r="Z312" t="str">
            <v xml:space="preserve">NA </v>
          </cell>
          <cell r="AA312" t="str">
            <v xml:space="preserve">NA </v>
          </cell>
          <cell r="AB312" t="str">
            <v xml:space="preserve">NA </v>
          </cell>
          <cell r="AC312">
            <v>4709.4444999999987</v>
          </cell>
          <cell r="AD312" t="str">
            <v xml:space="preserve">NA </v>
          </cell>
          <cell r="AE312">
            <v>2467.6355199999998</v>
          </cell>
          <cell r="AF312">
            <v>3450</v>
          </cell>
          <cell r="AG312">
            <v>1304.6641950000001</v>
          </cell>
          <cell r="AH312">
            <v>2096.6757716000002</v>
          </cell>
          <cell r="AI312">
            <v>879.01550000000009</v>
          </cell>
          <cell r="AJ312" t="str">
            <v xml:space="preserve">NA </v>
          </cell>
          <cell r="AK312">
            <v>3935.0520495000001</v>
          </cell>
          <cell r="AL312">
            <v>52035.112500000003</v>
          </cell>
          <cell r="AM312">
            <v>1459.4851040000001</v>
          </cell>
          <cell r="AN312">
            <v>574.30956000000003</v>
          </cell>
          <cell r="AO312" t="str">
            <v xml:space="preserve">NA </v>
          </cell>
          <cell r="AP312">
            <v>2052.1066880000003</v>
          </cell>
          <cell r="AQ312" t="str">
            <v xml:space="preserve">NA </v>
          </cell>
          <cell r="AR312">
            <v>2052.1066880000003</v>
          </cell>
          <cell r="AS312">
            <v>1304.6641950000001</v>
          </cell>
          <cell r="AT312" t="str">
            <v xml:space="preserve">NA </v>
          </cell>
          <cell r="AU312">
            <v>62265.919999999998</v>
          </cell>
          <cell r="AV312">
            <v>62265.919999999998</v>
          </cell>
          <cell r="AW312" t="str">
            <v xml:space="preserve">NA </v>
          </cell>
          <cell r="AX312" t="str">
            <v xml:space="preserve">NA </v>
          </cell>
          <cell r="AY312" t="str">
            <v xml:space="preserve">NA </v>
          </cell>
          <cell r="AZ312" t="str">
            <v xml:space="preserve">NA </v>
          </cell>
          <cell r="BA312" t="str">
            <v xml:space="preserve">NA </v>
          </cell>
          <cell r="BB312" t="str">
            <v xml:space="preserve">NA </v>
          </cell>
          <cell r="BC312" t="str">
            <v xml:space="preserve">NA </v>
          </cell>
          <cell r="BD312" t="str">
            <v xml:space="preserve">NA </v>
          </cell>
          <cell r="BE312" t="str">
            <v xml:space="preserve">NA </v>
          </cell>
        </row>
        <row r="319">
          <cell r="H319">
            <v>0</v>
          </cell>
          <cell r="I319">
            <v>0</v>
          </cell>
          <cell r="J319">
            <v>0</v>
          </cell>
          <cell r="K319">
            <v>0</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row>
        <row r="322">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1018.396</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row>
        <row r="323">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88.572000000000003</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row>
        <row r="324">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9.9600000000000009</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row>
        <row r="325">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row>
        <row r="326">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98.532000000000011</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row>
        <row r="327">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98.532000000000011</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row>
        <row r="328">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57.956000000000003</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row>
        <row r="329">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1.7173674697010106</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row>
        <row r="333">
          <cell r="H333" t="e">
            <v>#DIV/0!</v>
          </cell>
          <cell r="I333" t="e">
            <v>#DIV/0!</v>
          </cell>
          <cell r="J333" t="e">
            <v>#DIV/0!</v>
          </cell>
          <cell r="K333" t="e">
            <v>#DIV/0!</v>
          </cell>
          <cell r="L333" t="e">
            <v>#DIV/0!</v>
          </cell>
          <cell r="M333" t="e">
            <v>#DIV/0!</v>
          </cell>
          <cell r="N333" t="e">
            <v>#DIV/0!</v>
          </cell>
          <cell r="O333" t="e">
            <v>#DIV/0!</v>
          </cell>
          <cell r="P333" t="e">
            <v>#DIV/0!</v>
          </cell>
          <cell r="Q333" t="e">
            <v>#DIV/0!</v>
          </cell>
          <cell r="R333" t="e">
            <v>#DIV/0!</v>
          </cell>
          <cell r="S333" t="e">
            <v>#DIV/0!</v>
          </cell>
          <cell r="T333" t="e">
            <v>#VALUE!</v>
          </cell>
          <cell r="U333">
            <v>3.3068320810763586E-2</v>
          </cell>
          <cell r="V333">
            <v>0.47698989924722007</v>
          </cell>
          <cell r="W333">
            <v>1.1277874807805904E-2</v>
          </cell>
          <cell r="X333">
            <v>1.0053782918395942</v>
          </cell>
          <cell r="Y333">
            <v>0</v>
          </cell>
          <cell r="Z333" t="e">
            <v>#N/A</v>
          </cell>
          <cell r="AA333">
            <v>0.48502187288828819</v>
          </cell>
          <cell r="AB333">
            <v>0.36984786218335464</v>
          </cell>
          <cell r="AC333">
            <v>0.63947481761564662</v>
          </cell>
          <cell r="AD333" t="e">
            <v>#N/A</v>
          </cell>
          <cell r="AE333">
            <v>0.3848782860908066</v>
          </cell>
          <cell r="AF333">
            <v>0.3629360002827155</v>
          </cell>
          <cell r="AG333">
            <v>0.88126700666416846</v>
          </cell>
          <cell r="AH333" t="e">
            <v>#DIV/0!</v>
          </cell>
          <cell r="AI333" t="e">
            <v>#DIV/0!</v>
          </cell>
          <cell r="AJ333" t="e">
            <v>#VALUE!</v>
          </cell>
          <cell r="AK333">
            <v>21.090308370044053</v>
          </cell>
          <cell r="AL333">
            <v>0.33343385605146769</v>
          </cell>
          <cell r="AM333">
            <v>0.55622296303024366</v>
          </cell>
          <cell r="AN333">
            <v>0.13773922256804186</v>
          </cell>
          <cell r="AO333" t="e">
            <v>#N/A</v>
          </cell>
          <cell r="AP333" t="e">
            <v>#DIV/0!</v>
          </cell>
          <cell r="AQ333" t="e">
            <v>#VALUE!</v>
          </cell>
          <cell r="AR333">
            <v>0</v>
          </cell>
          <cell r="AS333">
            <v>0.88126700666416846</v>
          </cell>
          <cell r="AT333" t="e">
            <v>#N/A</v>
          </cell>
          <cell r="AU333" t="e">
            <v>#DIV/0!</v>
          </cell>
          <cell r="AV333">
            <v>0.43445707843453052</v>
          </cell>
          <cell r="AW333" t="e">
            <v>#VALUE!</v>
          </cell>
          <cell r="AX333" t="e">
            <v>#VALUE!</v>
          </cell>
          <cell r="AY333" t="e">
            <v>#VALUE!</v>
          </cell>
          <cell r="AZ333" t="e">
            <v>#VALUE!</v>
          </cell>
          <cell r="BA333" t="e">
            <v>#VALUE!</v>
          </cell>
          <cell r="BB333" t="e">
            <v>#VALUE!</v>
          </cell>
          <cell r="BC333" t="e">
            <v>#VALUE!</v>
          </cell>
          <cell r="BD333" t="e">
            <v>#VALUE!</v>
          </cell>
          <cell r="BE333" t="e">
            <v>#VALUE!</v>
          </cell>
        </row>
        <row r="334">
          <cell r="H334" t="e">
            <v>#DIV/0!</v>
          </cell>
          <cell r="I334" t="e">
            <v>#DIV/0!</v>
          </cell>
          <cell r="J334" t="e">
            <v>#DIV/0!</v>
          </cell>
          <cell r="K334" t="e">
            <v>#DIV/0!</v>
          </cell>
          <cell r="L334" t="e">
            <v>#DIV/0!</v>
          </cell>
          <cell r="M334" t="e">
            <v>#DIV/0!</v>
          </cell>
          <cell r="N334" t="e">
            <v>#DIV/0!</v>
          </cell>
          <cell r="O334" t="e">
            <v>#DIV/0!</v>
          </cell>
          <cell r="P334" t="e">
            <v>#DIV/0!</v>
          </cell>
          <cell r="Q334" t="e">
            <v>#DIV/0!</v>
          </cell>
          <cell r="R334" t="e">
            <v>#DIV/0!</v>
          </cell>
          <cell r="S334" t="e">
            <v>#DIV/0!</v>
          </cell>
          <cell r="T334" t="e">
            <v>#VALUE!</v>
          </cell>
          <cell r="U334">
            <v>3.2009810139963631E-2</v>
          </cell>
          <cell r="V334">
            <v>0.32294729942996109</v>
          </cell>
          <cell r="W334">
            <v>1.1152102788711038E-2</v>
          </cell>
          <cell r="X334">
            <v>0.50134096690421948</v>
          </cell>
          <cell r="Y334">
            <v>0</v>
          </cell>
          <cell r="Z334" t="e">
            <v>#N/A</v>
          </cell>
          <cell r="AA334">
            <v>0.3266092451183541</v>
          </cell>
          <cell r="AB334">
            <v>0.26999192566820268</v>
          </cell>
          <cell r="AC334">
            <v>0.39004857576626906</v>
          </cell>
          <cell r="AD334" t="e">
            <v>#N/A</v>
          </cell>
          <cell r="AE334">
            <v>0.27791488245312129</v>
          </cell>
          <cell r="AF334">
            <v>0.26628983327715405</v>
          </cell>
          <cell r="AG334">
            <v>0.4684433435245412</v>
          </cell>
          <cell r="AH334" t="e">
            <v>#DIV/0!</v>
          </cell>
          <cell r="AI334" t="e">
            <v>#DIV/0!</v>
          </cell>
          <cell r="AJ334" t="e">
            <v>#VALUE!</v>
          </cell>
          <cell r="AK334">
            <v>0.95473127929005885</v>
          </cell>
          <cell r="AL334">
            <v>0.25005653976630232</v>
          </cell>
          <cell r="AM334">
            <v>0.35741855520958149</v>
          </cell>
          <cell r="AN334">
            <v>0.12106396600896339</v>
          </cell>
          <cell r="AO334" t="e">
            <v>#N/A</v>
          </cell>
          <cell r="AP334" t="e">
            <v>#DIV/0!</v>
          </cell>
          <cell r="AQ334" t="e">
            <v>#VALUE!</v>
          </cell>
          <cell r="AR334">
            <v>0</v>
          </cell>
          <cell r="AS334">
            <v>0.4684433435245412</v>
          </cell>
          <cell r="AT334" t="e">
            <v>#N/A</v>
          </cell>
          <cell r="AU334" t="e">
            <v>#DIV/0!</v>
          </cell>
          <cell r="AV334">
            <v>0.30287213536473856</v>
          </cell>
          <cell r="AW334" t="e">
            <v>#VALUE!</v>
          </cell>
          <cell r="AX334" t="e">
            <v>#VALUE!</v>
          </cell>
          <cell r="AY334" t="e">
            <v>#VALUE!</v>
          </cell>
          <cell r="AZ334" t="e">
            <v>#VALUE!</v>
          </cell>
          <cell r="BA334" t="e">
            <v>#VALUE!</v>
          </cell>
          <cell r="BB334" t="e">
            <v>#VALUE!</v>
          </cell>
          <cell r="BC334" t="e">
            <v>#VALUE!</v>
          </cell>
          <cell r="BD334" t="e">
            <v>#VALUE!</v>
          </cell>
          <cell r="BE334" t="e">
            <v>#VALUE!</v>
          </cell>
        </row>
        <row r="335">
          <cell r="H335">
            <v>0</v>
          </cell>
          <cell r="I335">
            <v>0</v>
          </cell>
          <cell r="J335">
            <v>0</v>
          </cell>
          <cell r="K335">
            <v>0</v>
          </cell>
          <cell r="L335">
            <v>0</v>
          </cell>
          <cell r="M335">
            <v>0</v>
          </cell>
          <cell r="N335">
            <v>0</v>
          </cell>
          <cell r="O335">
            <v>0</v>
          </cell>
          <cell r="P335">
            <v>0</v>
          </cell>
          <cell r="Q335">
            <v>0</v>
          </cell>
          <cell r="R335">
            <v>0</v>
          </cell>
          <cell r="S335">
            <v>0</v>
          </cell>
          <cell r="T335" t="e">
            <v>#VALUE!</v>
          </cell>
          <cell r="U335">
            <v>8.8588866269284829E-3</v>
          </cell>
          <cell r="V335">
            <v>0.15307732625778603</v>
          </cell>
          <cell r="W335">
            <v>1.1574160335215539E-2</v>
          </cell>
          <cell r="X335">
            <v>0.22820228024703099</v>
          </cell>
          <cell r="Y335">
            <v>0</v>
          </cell>
          <cell r="Z335" t="e">
            <v>#N/A</v>
          </cell>
          <cell r="AA335">
            <v>8.8481266666178393E-2</v>
          </cell>
          <cell r="AB335">
            <v>0.15095192856660783</v>
          </cell>
          <cell r="AC335">
            <v>0.40164981543094397</v>
          </cell>
          <cell r="AD335" t="e">
            <v>#N/A</v>
          </cell>
          <cell r="AE335">
            <v>0.22387679760513463</v>
          </cell>
          <cell r="AF335">
            <v>0.10775239109060843</v>
          </cell>
          <cell r="AG335">
            <v>0.26001184308563613</v>
          </cell>
          <cell r="AH335">
            <v>0</v>
          </cell>
          <cell r="AI335" t="e">
            <v>#DIV/0!</v>
          </cell>
          <cell r="AJ335" t="e">
            <v>#VALUE!</v>
          </cell>
          <cell r="AK335">
            <v>0.57221913452976436</v>
          </cell>
          <cell r="AL335">
            <v>0.13857194033093087</v>
          </cell>
          <cell r="AM335">
            <v>0.12063472892986141</v>
          </cell>
          <cell r="AN335">
            <v>0.16923387716085408</v>
          </cell>
          <cell r="AO335" t="e">
            <v>#N/A</v>
          </cell>
          <cell r="AP335" t="e">
            <v>#DIV/0!</v>
          </cell>
          <cell r="AQ335" t="e">
            <v>#VALUE!</v>
          </cell>
          <cell r="AR335">
            <v>0</v>
          </cell>
          <cell r="AS335">
            <v>0.50002277516468485</v>
          </cell>
          <cell r="AT335" t="e">
            <v>#N/A</v>
          </cell>
          <cell r="AU335" t="e">
            <v>#DIV/0!</v>
          </cell>
          <cell r="AV335">
            <v>9.0651199365535964E-2</v>
          </cell>
          <cell r="AW335" t="e">
            <v>#VALUE!</v>
          </cell>
          <cell r="AX335" t="e">
            <v>#VALUE!</v>
          </cell>
          <cell r="AY335" t="e">
            <v>#VALUE!</v>
          </cell>
          <cell r="AZ335" t="e">
            <v>#VALUE!</v>
          </cell>
          <cell r="BA335" t="e">
            <v>#VALUE!</v>
          </cell>
          <cell r="BB335" t="e">
            <v>#VALUE!</v>
          </cell>
          <cell r="BC335" t="e">
            <v>#VALUE!</v>
          </cell>
          <cell r="BD335" t="e">
            <v>#VALUE!</v>
          </cell>
          <cell r="BE335" t="e">
            <v>#VALUE!</v>
          </cell>
        </row>
        <row r="336">
          <cell r="H336" t="e">
            <v>#DIV/0!</v>
          </cell>
          <cell r="I336" t="e">
            <v>#DIV/0!</v>
          </cell>
          <cell r="J336" t="e">
            <v>#DIV/0!</v>
          </cell>
          <cell r="K336" t="e">
            <v>#DIV/0!</v>
          </cell>
          <cell r="L336" t="e">
            <v>#DIV/0!</v>
          </cell>
          <cell r="M336" t="e">
            <v>#DIV/0!</v>
          </cell>
          <cell r="N336" t="e">
            <v>#DIV/0!</v>
          </cell>
          <cell r="O336" t="e">
            <v>#DIV/0!</v>
          </cell>
          <cell r="P336" t="e">
            <v>#DIV/0!</v>
          </cell>
          <cell r="Q336" t="e">
            <v>#DIV/0!</v>
          </cell>
          <cell r="R336" t="e">
            <v>#DIV/0!</v>
          </cell>
          <cell r="S336" t="e">
            <v>#DIV/0!</v>
          </cell>
          <cell r="T336" t="e">
            <v>#DIV/0!</v>
          </cell>
          <cell r="U336">
            <v>-6.082077051926297</v>
          </cell>
          <cell r="V336">
            <v>213.01112877583466</v>
          </cell>
          <cell r="W336">
            <v>13.896939726316541</v>
          </cell>
          <cell r="X336">
            <v>6.230862602294529</v>
          </cell>
          <cell r="Y336" t="e">
            <v>#DIV/0!</v>
          </cell>
          <cell r="Z336">
            <v>2.2921025796672843</v>
          </cell>
          <cell r="AA336">
            <v>8.0582519110751996</v>
          </cell>
          <cell r="AB336">
            <v>4.0286063574090729</v>
          </cell>
          <cell r="AC336">
            <v>7.1056276516096846</v>
          </cell>
          <cell r="AD336" t="e">
            <v>#DIV/0!</v>
          </cell>
          <cell r="AE336">
            <v>2.6400159638153511</v>
          </cell>
          <cell r="AF336">
            <v>11.833591515729267</v>
          </cell>
          <cell r="AG336">
            <v>8.8584567070435174</v>
          </cell>
          <cell r="AH336" t="e">
            <v>#DIV/0!</v>
          </cell>
          <cell r="AI336">
            <v>-0.13712742548509654</v>
          </cell>
          <cell r="AJ336">
            <v>10.242457519361924</v>
          </cell>
          <cell r="AK336">
            <v>3.2163009404388712</v>
          </cell>
          <cell r="AL336">
            <v>8.6789667896678964</v>
          </cell>
          <cell r="AM336">
            <v>17.576351106274934</v>
          </cell>
          <cell r="AN336">
            <v>32.076923076923066</v>
          </cell>
          <cell r="AO336" t="e">
            <v>#DIV/0!</v>
          </cell>
          <cell r="AP336">
            <v>13.890128512921903</v>
          </cell>
          <cell r="AQ336">
            <v>84.798492366412205</v>
          </cell>
          <cell r="AR336">
            <v>31.495881862703154</v>
          </cell>
          <cell r="AS336">
            <v>8.8584567070435192</v>
          </cell>
          <cell r="AT336" t="e">
            <v>#DIV/0!</v>
          </cell>
          <cell r="AU336">
            <v>14.664827586206901</v>
          </cell>
          <cell r="AV336">
            <v>14.292585904251965</v>
          </cell>
          <cell r="AW336" t="e">
            <v>#DIV/0!</v>
          </cell>
          <cell r="AX336" t="e">
            <v>#DIV/0!</v>
          </cell>
          <cell r="AY336" t="e">
            <v>#DIV/0!</v>
          </cell>
          <cell r="AZ336" t="e">
            <v>#DIV/0!</v>
          </cell>
          <cell r="BA336" t="e">
            <v>#DIV/0!</v>
          </cell>
          <cell r="BB336" t="e">
            <v>#DIV/0!</v>
          </cell>
          <cell r="BC336" t="e">
            <v>#DIV/0!</v>
          </cell>
          <cell r="BD336" t="e">
            <v>#DIV/0!</v>
          </cell>
          <cell r="BE336" t="e">
            <v>#DIV/0!</v>
          </cell>
        </row>
        <row r="337">
          <cell r="H337" t="e">
            <v>#DIV/0!</v>
          </cell>
          <cell r="I337" t="e">
            <v>#DIV/0!</v>
          </cell>
          <cell r="J337" t="e">
            <v>#DIV/0!</v>
          </cell>
          <cell r="K337" t="e">
            <v>#DIV/0!</v>
          </cell>
          <cell r="L337" t="e">
            <v>#DIV/0!</v>
          </cell>
          <cell r="M337" t="e">
            <v>#DIV/0!</v>
          </cell>
          <cell r="N337" t="e">
            <v>#DIV/0!</v>
          </cell>
          <cell r="O337" t="e">
            <v>#DIV/0!</v>
          </cell>
          <cell r="P337" t="e">
            <v>#DIV/0!</v>
          </cell>
          <cell r="Q337" t="e">
            <v>#DIV/0!</v>
          </cell>
          <cell r="R337" t="e">
            <v>#DIV/0!</v>
          </cell>
          <cell r="S337" t="e">
            <v>#DIV/0!</v>
          </cell>
          <cell r="T337" t="e">
            <v>#DIV/0!</v>
          </cell>
          <cell r="U337">
            <v>12.788107202680068</v>
          </cell>
          <cell r="V337">
            <v>183.0643879173291</v>
          </cell>
          <cell r="W337">
            <v>10.900300996522862</v>
          </cell>
          <cell r="X337">
            <v>3.3893652844668929</v>
          </cell>
          <cell r="Y337" t="e">
            <v>#DIV/0!</v>
          </cell>
          <cell r="Z337">
            <v>1.907295578162679</v>
          </cell>
          <cell r="AA337">
            <v>7.5281797208075956</v>
          </cell>
          <cell r="AB337">
            <v>3.7580260982298852</v>
          </cell>
          <cell r="AC337">
            <v>6.7022086348889447</v>
          </cell>
          <cell r="AD337" t="e">
            <v>#DIV/0!</v>
          </cell>
          <cell r="AE337">
            <v>1.1162032725821469</v>
          </cell>
          <cell r="AF337">
            <v>8.4041348903717843</v>
          </cell>
          <cell r="AG337">
            <v>4.0978764767459248</v>
          </cell>
          <cell r="AH337" t="e">
            <v>#DIV/0!</v>
          </cell>
          <cell r="AI337">
            <v>0.65279722611188939</v>
          </cell>
          <cell r="AJ337">
            <v>9.1291950834200293</v>
          </cell>
          <cell r="AK337">
            <v>2.7774294670846396</v>
          </cell>
          <cell r="AL337">
            <v>7.4086715867158661</v>
          </cell>
          <cell r="AM337">
            <v>10.940938217869663</v>
          </cell>
          <cell r="AN337">
            <v>-38.282051282051306</v>
          </cell>
          <cell r="AO337" t="e">
            <v>#DIV/0!</v>
          </cell>
          <cell r="AP337">
            <v>12.057760203361106</v>
          </cell>
          <cell r="AQ337">
            <v>82.002246183206111</v>
          </cell>
          <cell r="AR337">
            <v>28.103792256201871</v>
          </cell>
          <cell r="AS337">
            <v>4.0978764767459266</v>
          </cell>
          <cell r="AT337" t="e">
            <v>#DIV/0!</v>
          </cell>
          <cell r="AU337">
            <v>12.647586206896555</v>
          </cell>
          <cell r="AV337">
            <v>12.017288191243516</v>
          </cell>
          <cell r="AW337" t="e">
            <v>#DIV/0!</v>
          </cell>
          <cell r="AX337" t="e">
            <v>#DIV/0!</v>
          </cell>
          <cell r="AY337" t="e">
            <v>#DIV/0!</v>
          </cell>
          <cell r="AZ337" t="e">
            <v>#DIV/0!</v>
          </cell>
          <cell r="BA337" t="e">
            <v>#DIV/0!</v>
          </cell>
          <cell r="BB337" t="e">
            <v>#DIV/0!</v>
          </cell>
          <cell r="BC337" t="e">
            <v>#DIV/0!</v>
          </cell>
          <cell r="BD337" t="e">
            <v>#DIV/0!</v>
          </cell>
          <cell r="BE337" t="e">
            <v>#DIV/0!</v>
          </cell>
        </row>
        <row r="338">
          <cell r="H338" t="str">
            <v xml:space="preserve">NA </v>
          </cell>
          <cell r="I338" t="str">
            <v xml:space="preserve">NA </v>
          </cell>
          <cell r="J338" t="str">
            <v xml:space="preserve">NA </v>
          </cell>
          <cell r="K338" t="str">
            <v xml:space="preserve">NA </v>
          </cell>
          <cell r="L338" t="str">
            <v xml:space="preserve">NA </v>
          </cell>
          <cell r="M338" t="str">
            <v xml:space="preserve">NA </v>
          </cell>
          <cell r="N338" t="str">
            <v xml:space="preserve">NA </v>
          </cell>
          <cell r="O338" t="str">
            <v xml:space="preserve">NA </v>
          </cell>
          <cell r="P338" t="str">
            <v xml:space="preserve">NA </v>
          </cell>
          <cell r="Q338" t="str">
            <v xml:space="preserve">NA </v>
          </cell>
          <cell r="R338" t="str">
            <v xml:space="preserve">NA </v>
          </cell>
          <cell r="S338" t="str">
            <v xml:space="preserve">NA </v>
          </cell>
          <cell r="T338" t="str">
            <v xml:space="preserve">NA </v>
          </cell>
          <cell r="U338">
            <v>0.41696502340952912</v>
          </cell>
          <cell r="V338">
            <v>0.85842327456111855</v>
          </cell>
          <cell r="W338">
            <v>0.1540055218861287</v>
          </cell>
          <cell r="X338">
            <v>2.418952091011056</v>
          </cell>
          <cell r="Y338">
            <v>0</v>
          </cell>
          <cell r="Z338" t="e">
            <v>#N/A</v>
          </cell>
          <cell r="AA338">
            <v>1.3494587266718119</v>
          </cell>
          <cell r="AB338">
            <v>1.6634942416995746</v>
          </cell>
          <cell r="AC338">
            <v>2.1250076829193336</v>
          </cell>
          <cell r="AD338" t="str">
            <v xml:space="preserve">NA </v>
          </cell>
          <cell r="AE338">
            <v>3.2496230437269276</v>
          </cell>
          <cell r="AF338">
            <v>1.3705101447109251</v>
          </cell>
          <cell r="AG338">
            <v>1.861696268759466</v>
          </cell>
          <cell r="AH338">
            <v>0</v>
          </cell>
          <cell r="AI338" t="e">
            <v>#DIV/0!</v>
          </cell>
          <cell r="AJ338" t="e">
            <v>#VALUE!</v>
          </cell>
          <cell r="AK338">
            <v>3.1107862248213132</v>
          </cell>
          <cell r="AL338">
            <v>1.4102891156462587</v>
          </cell>
          <cell r="AM338">
            <v>1.5411352786605583</v>
          </cell>
          <cell r="AN338">
            <v>16.747181964573283</v>
          </cell>
          <cell r="AO338" t="str">
            <v xml:space="preserve">NA </v>
          </cell>
          <cell r="AP338" t="e">
            <v>#DIV/0!</v>
          </cell>
          <cell r="AQ338" t="e">
            <v>#VALUE!</v>
          </cell>
          <cell r="AR338">
            <v>0</v>
          </cell>
          <cell r="AS338">
            <v>1.8616962687594658</v>
          </cell>
          <cell r="AT338" t="e">
            <v>#N/A</v>
          </cell>
          <cell r="AU338" t="e">
            <v>#DIV/0!</v>
          </cell>
          <cell r="AV338">
            <v>1.1931299833650095</v>
          </cell>
          <cell r="AW338" t="str">
            <v xml:space="preserve">NA </v>
          </cell>
          <cell r="AX338" t="str">
            <v xml:space="preserve">NA </v>
          </cell>
          <cell r="AY338" t="str">
            <v xml:space="preserve">NA </v>
          </cell>
          <cell r="AZ338" t="str">
            <v xml:space="preserve">NA </v>
          </cell>
          <cell r="BA338" t="str">
            <v xml:space="preserve">NA </v>
          </cell>
          <cell r="BB338" t="str">
            <v xml:space="preserve">NA </v>
          </cell>
          <cell r="BC338" t="str">
            <v xml:space="preserve">NA </v>
          </cell>
          <cell r="BD338" t="str">
            <v xml:space="preserve">NA </v>
          </cell>
          <cell r="BE338" t="str">
            <v xml:space="preserve">NA </v>
          </cell>
        </row>
        <row r="339">
          <cell r="H339" t="e">
            <v>#DIV/0!</v>
          </cell>
          <cell r="I339" t="e">
            <v>#DIV/0!</v>
          </cell>
          <cell r="J339" t="e">
            <v>#DIV/0!</v>
          </cell>
          <cell r="K339" t="e">
            <v>#DIV/0!</v>
          </cell>
          <cell r="L339" t="e">
            <v>#DIV/0!</v>
          </cell>
          <cell r="M339" t="e">
            <v>#DIV/0!</v>
          </cell>
          <cell r="N339" t="e">
            <v>#DIV/0!</v>
          </cell>
          <cell r="O339" t="e">
            <v>#DIV/0!</v>
          </cell>
          <cell r="P339" t="e">
            <v>#DIV/0!</v>
          </cell>
          <cell r="Q339" t="e">
            <v>#DIV/0!</v>
          </cell>
          <cell r="R339" t="e">
            <v>#DIV/0!</v>
          </cell>
          <cell r="S339" t="e">
            <v>#DIV/0!</v>
          </cell>
          <cell r="T339" t="e">
            <v>#VALUE!</v>
          </cell>
          <cell r="U339">
            <v>3.7433088971579043E-2</v>
          </cell>
          <cell r="V339">
            <v>0.47698989924722007</v>
          </cell>
          <cell r="W339">
            <v>3.3339900235620445E-2</v>
          </cell>
          <cell r="X339">
            <v>1.0871996220610349</v>
          </cell>
          <cell r="Y339">
            <v>0</v>
          </cell>
          <cell r="Z339" t="e">
            <v>#N/A</v>
          </cell>
          <cell r="AA339">
            <v>0.55246070855053886</v>
          </cell>
          <cell r="AB339">
            <v>1.0124909590921907</v>
          </cell>
          <cell r="AC339">
            <v>1.3435201376745218</v>
          </cell>
          <cell r="AD339" t="e">
            <v>#N/A</v>
          </cell>
          <cell r="AE339">
            <v>0.5047323707077559</v>
          </cell>
          <cell r="AF339">
            <v>0.61969159029636589</v>
          </cell>
          <cell r="AG339">
            <v>2.1141382949614984</v>
          </cell>
          <cell r="AH339" t="e">
            <v>#DIV/0!</v>
          </cell>
          <cell r="AI339" t="e">
            <v>#DIV/0!</v>
          </cell>
          <cell r="AJ339" t="e">
            <v>#VALUE!</v>
          </cell>
          <cell r="AK339">
            <v>21.090308370044053</v>
          </cell>
          <cell r="AL339">
            <v>0.44154547572298591</v>
          </cell>
          <cell r="AM339">
            <v>0.66090951676104215</v>
          </cell>
          <cell r="AN339">
            <v>0.22972256582435063</v>
          </cell>
          <cell r="AO339" t="e">
            <v>#N/A</v>
          </cell>
          <cell r="AP339" t="e">
            <v>#DIV/0!</v>
          </cell>
          <cell r="AQ339" t="e">
            <v>#VALUE!</v>
          </cell>
          <cell r="AR339">
            <v>0</v>
          </cell>
          <cell r="AS339">
            <v>2.1141382949614984</v>
          </cell>
          <cell r="AT339" t="e">
            <v>#N/A</v>
          </cell>
          <cell r="AU339" t="e">
            <v>#DIV/0!</v>
          </cell>
          <cell r="AV339">
            <v>0.55786835927749412</v>
          </cell>
          <cell r="AW339" t="e">
            <v>#VALUE!</v>
          </cell>
          <cell r="AX339" t="e">
            <v>#VALUE!</v>
          </cell>
          <cell r="AY339" t="e">
            <v>#VALUE!</v>
          </cell>
          <cell r="AZ339" t="e">
            <v>#VALUE!</v>
          </cell>
          <cell r="BA339" t="e">
            <v>#VALUE!</v>
          </cell>
          <cell r="BB339" t="e">
            <v>#VALUE!</v>
          </cell>
          <cell r="BC339" t="e">
            <v>#VALUE!</v>
          </cell>
          <cell r="BD339" t="e">
            <v>#VALUE!</v>
          </cell>
          <cell r="BE339" t="e">
            <v>#VALUE!</v>
          </cell>
        </row>
        <row r="340">
          <cell r="H340" t="e">
            <v>#DIV/0!</v>
          </cell>
          <cell r="I340" t="e">
            <v>#DIV/0!</v>
          </cell>
          <cell r="J340" t="e">
            <v>#DIV/0!</v>
          </cell>
          <cell r="K340" t="e">
            <v>#DIV/0!</v>
          </cell>
          <cell r="L340" t="e">
            <v>#DIV/0!</v>
          </cell>
          <cell r="M340" t="e">
            <v>#DIV/0!</v>
          </cell>
          <cell r="N340" t="e">
            <v>#DIV/0!</v>
          </cell>
          <cell r="O340" t="e">
            <v>#DIV/0!</v>
          </cell>
          <cell r="P340" t="e">
            <v>#DIV/0!</v>
          </cell>
          <cell r="Q340" t="e">
            <v>#DIV/0!</v>
          </cell>
          <cell r="R340" t="e">
            <v>#DIV/0!</v>
          </cell>
          <cell r="S340" t="e">
            <v>#DIV/0!</v>
          </cell>
          <cell r="T340" t="e">
            <v>#DIV/0!</v>
          </cell>
          <cell r="U340">
            <v>4.0200421940928273</v>
          </cell>
          <cell r="V340" t="e">
            <v>#DIV/0!</v>
          </cell>
          <cell r="W340">
            <v>5.6952372302296492</v>
          </cell>
          <cell r="X340">
            <v>2.8304906039887427</v>
          </cell>
          <cell r="Y340">
            <v>2.2835275535531014</v>
          </cell>
          <cell r="Z340">
            <v>1.5380873546448712</v>
          </cell>
          <cell r="AA340">
            <v>1.4892992008550388</v>
          </cell>
          <cell r="AB340">
            <v>1.3696250405354029</v>
          </cell>
          <cell r="AC340">
            <v>2.0086264742186053</v>
          </cell>
          <cell r="AD340" t="e">
            <v>#DIV/0!</v>
          </cell>
          <cell r="AE340">
            <v>2.2765672158022165</v>
          </cell>
          <cell r="AF340">
            <v>2.4742130240152145</v>
          </cell>
          <cell r="AG340">
            <v>1.8503578399479506</v>
          </cell>
          <cell r="AH340" t="e">
            <v>#DIV/0!</v>
          </cell>
          <cell r="AI340" t="e">
            <v>#DIV/0!</v>
          </cell>
          <cell r="AJ340">
            <v>3.1035400277649234</v>
          </cell>
          <cell r="AK340" t="e">
            <v>#DIV/0!</v>
          </cell>
          <cell r="AL340">
            <v>1.3618488186504096</v>
          </cell>
          <cell r="AM340">
            <v>1.8294232612189767</v>
          </cell>
          <cell r="AN340">
            <v>2.2295276760075255</v>
          </cell>
          <cell r="AO340" t="e">
            <v>#DIV/0!</v>
          </cell>
          <cell r="AP340" t="e">
            <v>#DIV/0!</v>
          </cell>
          <cell r="AQ340" t="e">
            <v>#DIV/0!</v>
          </cell>
          <cell r="AR340">
            <v>2.9700975044125459</v>
          </cell>
          <cell r="AS340">
            <v>1.8503578399479506</v>
          </cell>
          <cell r="AT340">
            <v>1.8976949526679969</v>
          </cell>
          <cell r="AU340">
            <v>1.8288507835231218</v>
          </cell>
          <cell r="AV340">
            <v>1.8297310823382411</v>
          </cell>
          <cell r="AW340" t="e">
            <v>#DIV/0!</v>
          </cell>
          <cell r="AX340" t="e">
            <v>#DIV/0!</v>
          </cell>
          <cell r="AY340" t="e">
            <v>#DIV/0!</v>
          </cell>
          <cell r="AZ340" t="e">
            <v>#DIV/0!</v>
          </cell>
          <cell r="BA340" t="e">
            <v>#DIV/0!</v>
          </cell>
          <cell r="BB340" t="e">
            <v>#DIV/0!</v>
          </cell>
          <cell r="BC340" t="e">
            <v>#DIV/0!</v>
          </cell>
          <cell r="BD340" t="e">
            <v>#DIV/0!</v>
          </cell>
          <cell r="BE340" t="e">
            <v>#DIV/0!</v>
          </cell>
        </row>
        <row r="341">
          <cell r="H341" t="e">
            <v>#DIV/0!</v>
          </cell>
          <cell r="I341" t="e">
            <v>#DIV/0!</v>
          </cell>
          <cell r="J341" t="e">
            <v>#DIV/0!</v>
          </cell>
          <cell r="K341" t="e">
            <v>#DIV/0!</v>
          </cell>
          <cell r="L341" t="e">
            <v>#DIV/0!</v>
          </cell>
          <cell r="M341" t="e">
            <v>#DIV/0!</v>
          </cell>
          <cell r="N341" t="e">
            <v>#DIV/0!</v>
          </cell>
          <cell r="O341" t="e">
            <v>#DIV/0!</v>
          </cell>
          <cell r="P341" t="e">
            <v>#DIV/0!</v>
          </cell>
          <cell r="Q341" t="e">
            <v>#DIV/0!</v>
          </cell>
          <cell r="R341" t="e">
            <v>#DIV/0!</v>
          </cell>
          <cell r="S341" t="e">
            <v>#DIV/0!</v>
          </cell>
          <cell r="T341" t="e">
            <v>#DIV/0!</v>
          </cell>
          <cell r="U341">
            <v>3.2170735382760696</v>
          </cell>
          <cell r="V341" t="e">
            <v>#DIV/0!</v>
          </cell>
          <cell r="W341">
            <v>4.9949836164073469</v>
          </cell>
          <cell r="X341">
            <v>2.1273348094438629</v>
          </cell>
          <cell r="Y341">
            <v>1.7665354072801644</v>
          </cell>
          <cell r="Z341">
            <v>0.60121301059237708</v>
          </cell>
          <cell r="AA341">
            <v>0.42069106544481916</v>
          </cell>
          <cell r="AB341">
            <v>0.44119745773135927</v>
          </cell>
          <cell r="AC341">
            <v>1.0545726664475989</v>
          </cell>
          <cell r="AD341" t="e">
            <v>#DIV/0!</v>
          </cell>
          <cell r="AE341">
            <v>1.2656697890163415</v>
          </cell>
          <cell r="AF341">
            <v>1.4248847981388282</v>
          </cell>
          <cell r="AG341">
            <v>1.4328853790411236</v>
          </cell>
          <cell r="AH341" t="e">
            <v>#DIV/0!</v>
          </cell>
          <cell r="AI341" t="e">
            <v>#DIV/0!</v>
          </cell>
          <cell r="AJ341">
            <v>2.5559283253637717</v>
          </cell>
          <cell r="AK341" t="e">
            <v>#DIV/0!</v>
          </cell>
          <cell r="AL341">
            <v>0.52195243203642172</v>
          </cell>
          <cell r="AM341">
            <v>0.64992215070315917</v>
          </cell>
          <cell r="AN341">
            <v>1.8742779813182824</v>
          </cell>
          <cell r="AO341" t="e">
            <v>#DIV/0!</v>
          </cell>
          <cell r="AP341" t="e">
            <v>#DIV/0!</v>
          </cell>
          <cell r="AQ341" t="e">
            <v>#DIV/0!</v>
          </cell>
          <cell r="AR341">
            <v>2.0066202468740895</v>
          </cell>
          <cell r="AS341">
            <v>1.4328853790411236</v>
          </cell>
          <cell r="AT341">
            <v>1.7320117162626822</v>
          </cell>
          <cell r="AU341">
            <v>0.53315019126530494</v>
          </cell>
          <cell r="AV341">
            <v>0.55858268960242297</v>
          </cell>
          <cell r="AW341" t="e">
            <v>#DIV/0!</v>
          </cell>
          <cell r="AX341" t="e">
            <v>#DIV/0!</v>
          </cell>
          <cell r="AY341" t="e">
            <v>#DIV/0!</v>
          </cell>
          <cell r="AZ341" t="e">
            <v>#DIV/0!</v>
          </cell>
          <cell r="BA341" t="e">
            <v>#DIV/0!</v>
          </cell>
          <cell r="BB341" t="e">
            <v>#DIV/0!</v>
          </cell>
          <cell r="BC341" t="e">
            <v>#DIV/0!</v>
          </cell>
          <cell r="BD341" t="e">
            <v>#DIV/0!</v>
          </cell>
          <cell r="BE341" t="e">
            <v>#DIV/0!</v>
          </cell>
        </row>
        <row r="342">
          <cell r="H342" t="e">
            <v>#DIV/0!</v>
          </cell>
          <cell r="I342" t="e">
            <v>#DIV/0!</v>
          </cell>
          <cell r="J342" t="e">
            <v>#DIV/0!</v>
          </cell>
          <cell r="K342" t="e">
            <v>#DIV/0!</v>
          </cell>
          <cell r="L342" t="e">
            <v>#DIV/0!</v>
          </cell>
          <cell r="M342" t="e">
            <v>#DIV/0!</v>
          </cell>
          <cell r="N342" t="e">
            <v>#DIV/0!</v>
          </cell>
          <cell r="O342" t="e">
            <v>#DIV/0!</v>
          </cell>
          <cell r="P342" t="e">
            <v>#DIV/0!</v>
          </cell>
          <cell r="Q342" t="e">
            <v>#DIV/0!</v>
          </cell>
          <cell r="R342" t="e">
            <v>#DIV/0!</v>
          </cell>
          <cell r="S342" t="e">
            <v>#DIV/0!</v>
          </cell>
          <cell r="T342" t="e">
            <v>#DIV/0!</v>
          </cell>
          <cell r="U342">
            <v>75.504919925699056</v>
          </cell>
          <cell r="V342">
            <v>142.41876821444865</v>
          </cell>
          <cell r="W342">
            <v>60.599368063918767</v>
          </cell>
          <cell r="X342">
            <v>84.677561636395907</v>
          </cell>
          <cell r="Y342">
            <v>56.086920178780403</v>
          </cell>
          <cell r="Z342">
            <v>29.462047185628659</v>
          </cell>
          <cell r="AA342">
            <v>18.536786684089705</v>
          </cell>
          <cell r="AB342">
            <v>19.982262486254637</v>
          </cell>
          <cell r="AC342">
            <v>34.465296957431732</v>
          </cell>
          <cell r="AD342" t="e">
            <v>#DIV/0!</v>
          </cell>
          <cell r="AE342">
            <v>46.48769066035603</v>
          </cell>
          <cell r="AF342">
            <v>49.821284493886708</v>
          </cell>
          <cell r="AG342">
            <v>75.604776788915729</v>
          </cell>
          <cell r="AH342">
            <v>0</v>
          </cell>
          <cell r="AI342">
            <v>0</v>
          </cell>
          <cell r="AJ342">
            <v>88.100132337759732</v>
          </cell>
          <cell r="AK342">
            <v>0</v>
          </cell>
          <cell r="AL342">
            <v>37.06854479672689</v>
          </cell>
          <cell r="AM342">
            <v>56.152798726860979</v>
          </cell>
          <cell r="AN342">
            <v>46.245399669415441</v>
          </cell>
          <cell r="AO342" t="e">
            <v>#DIV/0!</v>
          </cell>
          <cell r="AP342">
            <v>0</v>
          </cell>
          <cell r="AQ342">
            <v>0</v>
          </cell>
          <cell r="AR342">
            <v>57.490491286528034</v>
          </cell>
          <cell r="AS342">
            <v>75.604776788915729</v>
          </cell>
          <cell r="AT342">
            <v>113.07913033368213</v>
          </cell>
          <cell r="AU342">
            <v>21.585394576367626</v>
          </cell>
          <cell r="AV342">
            <v>23.028541826063112</v>
          </cell>
          <cell r="AW342" t="e">
            <v>#DIV/0!</v>
          </cell>
          <cell r="AX342" t="e">
            <v>#DIV/0!</v>
          </cell>
          <cell r="AY342" t="e">
            <v>#DIV/0!</v>
          </cell>
          <cell r="AZ342" t="e">
            <v>#DIV/0!</v>
          </cell>
          <cell r="BA342" t="e">
            <v>#DIV/0!</v>
          </cell>
          <cell r="BB342" t="e">
            <v>#DIV/0!</v>
          </cell>
          <cell r="BC342" t="e">
            <v>#DIV/0!</v>
          </cell>
          <cell r="BD342" t="e">
            <v>#DIV/0!</v>
          </cell>
          <cell r="BE342" t="e">
            <v>#DIV/0!</v>
          </cell>
        </row>
        <row r="343">
          <cell r="H343" t="e">
            <v>#DIV/0!</v>
          </cell>
          <cell r="I343" t="e">
            <v>#DIV/0!</v>
          </cell>
          <cell r="J343" t="e">
            <v>#DIV/0!</v>
          </cell>
          <cell r="K343" t="e">
            <v>#DIV/0!</v>
          </cell>
          <cell r="L343" t="e">
            <v>#DIV/0!</v>
          </cell>
          <cell r="M343" t="e">
            <v>#DIV/0!</v>
          </cell>
          <cell r="N343" t="e">
            <v>#DIV/0!</v>
          </cell>
          <cell r="O343" t="e">
            <v>#DIV/0!</v>
          </cell>
          <cell r="P343">
            <v>0</v>
          </cell>
          <cell r="Q343" t="e">
            <v>#DIV/0!</v>
          </cell>
          <cell r="R343" t="e">
            <v>#DIV/0!</v>
          </cell>
          <cell r="S343" t="e">
            <v>#DIV/0!</v>
          </cell>
          <cell r="T343" t="e">
            <v>#DIV/0!</v>
          </cell>
          <cell r="U343">
            <v>2.4640100347356237</v>
          </cell>
          <cell r="V343" t="e">
            <v>#DIV/0!</v>
          </cell>
          <cell r="W343">
            <v>3.1927330194661949</v>
          </cell>
          <cell r="X343">
            <v>3.2764916894471545</v>
          </cell>
          <cell r="Y343">
            <v>11.303457791293573</v>
          </cell>
          <cell r="Z343">
            <v>7.1802045814174118</v>
          </cell>
          <cell r="AA343">
            <v>6.5265433661401726</v>
          </cell>
          <cell r="AB343">
            <v>6.7426007246327542</v>
          </cell>
          <cell r="AC343">
            <v>9.9703764377630222</v>
          </cell>
          <cell r="AD343" t="e">
            <v>#DIV/0!</v>
          </cell>
          <cell r="AE343">
            <v>8.030446782315428</v>
          </cell>
          <cell r="AF343">
            <v>6.4442341471385198</v>
          </cell>
          <cell r="AG343">
            <v>17.644835738734606</v>
          </cell>
          <cell r="AH343" t="e">
            <v>#DIV/0!</v>
          </cell>
          <cell r="AI343" t="e">
            <v>#DIV/0!</v>
          </cell>
          <cell r="AJ343">
            <v>12.415881197839962</v>
          </cell>
          <cell r="AK343" t="e">
            <v>#DIV/0!</v>
          </cell>
          <cell r="AL343">
            <v>5.237854073139169</v>
          </cell>
          <cell r="AM343">
            <v>1.3073320737173884</v>
          </cell>
          <cell r="AN343">
            <v>26.89027222893246</v>
          </cell>
          <cell r="AO343" t="e">
            <v>#DIV/0!</v>
          </cell>
          <cell r="AP343" t="e">
            <v>#DIV/0!</v>
          </cell>
          <cell r="AQ343" t="e">
            <v>#DIV/0!</v>
          </cell>
          <cell r="AR343">
            <v>5.8227891776362162</v>
          </cell>
          <cell r="AS343">
            <v>17.644835738734603</v>
          </cell>
          <cell r="AT343" t="e">
            <v>#DIV/0!</v>
          </cell>
          <cell r="AU343">
            <v>4.9258162490508726</v>
          </cell>
          <cell r="AV343">
            <v>4.990171164183522</v>
          </cell>
          <cell r="AW343" t="e">
            <v>#DIV/0!</v>
          </cell>
          <cell r="AX343" t="e">
            <v>#DIV/0!</v>
          </cell>
          <cell r="AY343" t="e">
            <v>#DIV/0!</v>
          </cell>
          <cell r="AZ343" t="e">
            <v>#DIV/0!</v>
          </cell>
          <cell r="BA343" t="e">
            <v>#DIV/0!</v>
          </cell>
          <cell r="BB343" t="e">
            <v>#DIV/0!</v>
          </cell>
          <cell r="BC343" t="e">
            <v>#DIV/0!</v>
          </cell>
          <cell r="BD343" t="e">
            <v>#DIV/0!</v>
          </cell>
          <cell r="BE343" t="e">
            <v>#DIV/0!</v>
          </cell>
        </row>
        <row r="344">
          <cell r="H344" t="e">
            <v>#DIV/0!</v>
          </cell>
          <cell r="I344" t="e">
            <v>#DIV/0!</v>
          </cell>
          <cell r="J344" t="e">
            <v>#DIV/0!</v>
          </cell>
          <cell r="K344" t="e">
            <v>#DIV/0!</v>
          </cell>
          <cell r="L344" t="e">
            <v>#DIV/0!</v>
          </cell>
          <cell r="M344" t="e">
            <v>#DIV/0!</v>
          </cell>
          <cell r="N344" t="e">
            <v>#DIV/0!</v>
          </cell>
          <cell r="O344" t="e">
            <v>#DIV/0!</v>
          </cell>
          <cell r="P344" t="e">
            <v>#DIV/0!</v>
          </cell>
          <cell r="Q344" t="e">
            <v>#DIV/0!</v>
          </cell>
          <cell r="R344" t="e">
            <v>#DIV/0!</v>
          </cell>
          <cell r="S344" t="e">
            <v>#DIV/0!</v>
          </cell>
          <cell r="T344" t="e">
            <v>#DIV/0!</v>
          </cell>
          <cell r="U344">
            <v>0.7386435272740759</v>
          </cell>
          <cell r="V344">
            <v>0.92904526134020449</v>
          </cell>
          <cell r="W344">
            <v>0.2775433408763463</v>
          </cell>
          <cell r="X344">
            <v>0.69034370736707718</v>
          </cell>
          <cell r="Y344">
            <v>2.206651487093291</v>
          </cell>
          <cell r="Z344">
            <v>3.7525759419016209</v>
          </cell>
          <cell r="AA344">
            <v>4.6171477009249502</v>
          </cell>
          <cell r="AB344">
            <v>3.5520666129633733</v>
          </cell>
          <cell r="AC344">
            <v>3.8670764498645527</v>
          </cell>
          <cell r="AD344" t="e">
            <v>#DIV/0!</v>
          </cell>
          <cell r="AE344">
            <v>2.6532207284501412</v>
          </cell>
          <cell r="AF344">
            <v>1.9941986332386166</v>
          </cell>
          <cell r="AG344">
            <v>1.3607427011075575</v>
          </cell>
          <cell r="AH344" t="e">
            <v>#DIV/0!</v>
          </cell>
          <cell r="AI344" t="e">
            <v>#DIV/0!</v>
          </cell>
          <cell r="AJ344">
            <v>1.6570307614330961</v>
          </cell>
          <cell r="AK344" t="e">
            <v>#DIV/0!</v>
          </cell>
          <cell r="AL344">
            <v>2.7534700401120342</v>
          </cell>
          <cell r="AM344">
            <v>0.81917305296144882</v>
          </cell>
          <cell r="AN344">
            <v>3.1049413054573636</v>
          </cell>
          <cell r="AO344" t="e">
            <v>#DIV/0!</v>
          </cell>
          <cell r="AP344" t="e">
            <v>#DIV/0!</v>
          </cell>
          <cell r="AQ344" t="e">
            <v>#DIV/0!</v>
          </cell>
          <cell r="AR344">
            <v>1.9276811751028688</v>
          </cell>
          <cell r="AS344">
            <v>1.3607427011075575</v>
          </cell>
          <cell r="AT344">
            <v>1.4008599628652396</v>
          </cell>
          <cell r="AU344">
            <v>2.6378802325223756</v>
          </cell>
          <cell r="AV344">
            <v>2.5820728041257168</v>
          </cell>
          <cell r="AW344" t="e">
            <v>#DIV/0!</v>
          </cell>
          <cell r="AX344" t="e">
            <v>#DIV/0!</v>
          </cell>
          <cell r="AY344" t="e">
            <v>#DIV/0!</v>
          </cell>
          <cell r="AZ344" t="e">
            <v>#DIV/0!</v>
          </cell>
          <cell r="BA344" t="e">
            <v>#DIV/0!</v>
          </cell>
          <cell r="BB344" t="e">
            <v>#DIV/0!</v>
          </cell>
          <cell r="BC344" t="e">
            <v>#DIV/0!</v>
          </cell>
          <cell r="BD344" t="e">
            <v>#DIV/0!</v>
          </cell>
          <cell r="BE344" t="e">
            <v>#DIV/0!</v>
          </cell>
        </row>
        <row r="345">
          <cell r="H345" t="e">
            <v>#DIV/0!</v>
          </cell>
          <cell r="I345" t="e">
            <v>#DIV/0!</v>
          </cell>
          <cell r="J345" t="e">
            <v>#DIV/0!</v>
          </cell>
          <cell r="K345" t="e">
            <v>#DIV/0!</v>
          </cell>
          <cell r="L345" t="e">
            <v>#DIV/0!</v>
          </cell>
          <cell r="M345" t="e">
            <v>#DIV/0!</v>
          </cell>
          <cell r="N345" t="e">
            <v>#DIV/0!</v>
          </cell>
          <cell r="O345" t="e">
            <v>#DIV/0!</v>
          </cell>
          <cell r="P345" t="e">
            <v>#DIV/0!</v>
          </cell>
          <cell r="Q345" t="e">
            <v>#DIV/0!</v>
          </cell>
          <cell r="R345" t="e">
            <v>#DIV/0!</v>
          </cell>
          <cell r="S345" t="e">
            <v>#DIV/0!</v>
          </cell>
          <cell r="T345" t="e">
            <v>#VALUE!</v>
          </cell>
          <cell r="U345">
            <v>27.408945083978104</v>
          </cell>
          <cell r="V345">
            <v>13.313445437991476</v>
          </cell>
          <cell r="W345">
            <v>74.208841920757138</v>
          </cell>
          <cell r="X345">
            <v>4.7245960228152333</v>
          </cell>
          <cell r="Y345" t="e">
            <v>#DIV/0!</v>
          </cell>
          <cell r="Z345" t="e">
            <v>#N/A</v>
          </cell>
          <cell r="AA345">
            <v>8.4690040552465558</v>
          </cell>
          <cell r="AB345">
            <v>6.8702200116394607</v>
          </cell>
          <cell r="AC345">
            <v>5.3781318159145979</v>
          </cell>
          <cell r="AD345" t="e">
            <v>#N/A</v>
          </cell>
          <cell r="AE345">
            <v>3.5168914285714279</v>
          </cell>
          <cell r="AF345">
            <v>8.3389177910696883</v>
          </cell>
          <cell r="AG345">
            <v>6.1387948293986812</v>
          </cell>
          <cell r="AH345" t="e">
            <v>#DIV/0!</v>
          </cell>
          <cell r="AI345" t="e">
            <v>#DIV/0!</v>
          </cell>
          <cell r="AJ345" t="e">
            <v>#VALUE!</v>
          </cell>
          <cell r="AK345">
            <v>3.6738530399104801</v>
          </cell>
          <cell r="AL345">
            <v>8.1037081700331601</v>
          </cell>
          <cell r="AM345">
            <v>7.4156834814035939</v>
          </cell>
          <cell r="AN345">
            <v>0.68241758241758177</v>
          </cell>
          <cell r="AO345" t="e">
            <v>#N/A</v>
          </cell>
          <cell r="AP345" t="e">
            <v>#DIV/0!</v>
          </cell>
          <cell r="AQ345" t="e">
            <v>#VALUE!</v>
          </cell>
          <cell r="AR345" t="e">
            <v>#DIV/0!</v>
          </cell>
          <cell r="AS345">
            <v>6.138794829398682</v>
          </cell>
          <cell r="AT345" t="e">
            <v>#N/A</v>
          </cell>
          <cell r="AU345" t="e">
            <v>#DIV/0!</v>
          </cell>
          <cell r="AV345">
            <v>9.5786474130330621</v>
          </cell>
          <cell r="AW345" t="e">
            <v>#VALUE!</v>
          </cell>
          <cell r="AX345" t="e">
            <v>#VALUE!</v>
          </cell>
          <cell r="AY345" t="e">
            <v>#VALUE!</v>
          </cell>
          <cell r="AZ345" t="e">
            <v>#VALUE!</v>
          </cell>
          <cell r="BA345" t="e">
            <v>#VALUE!</v>
          </cell>
          <cell r="BB345" t="e">
            <v>#VALUE!</v>
          </cell>
          <cell r="BC345" t="e">
            <v>#VALUE!</v>
          </cell>
          <cell r="BD345" t="e">
            <v>#VALUE!</v>
          </cell>
          <cell r="BE345" t="e">
            <v>#VALUE!</v>
          </cell>
        </row>
        <row r="346">
          <cell r="H346" t="e">
            <v>#DIV/0!</v>
          </cell>
          <cell r="I346" t="e">
            <v>#DIV/0!</v>
          </cell>
          <cell r="J346" t="e">
            <v>#DIV/0!</v>
          </cell>
          <cell r="K346" t="e">
            <v>#DIV/0!</v>
          </cell>
          <cell r="L346" t="e">
            <v>#DIV/0!</v>
          </cell>
          <cell r="M346" t="e">
            <v>#DIV/0!</v>
          </cell>
          <cell r="N346" t="e">
            <v>#DIV/0!</v>
          </cell>
          <cell r="O346" t="e">
            <v>#DIV/0!</v>
          </cell>
          <cell r="P346" t="e">
            <v>#DIV/0!</v>
          </cell>
          <cell r="Q346" t="e">
            <v>#DIV/0!</v>
          </cell>
          <cell r="R346" t="e">
            <v>#DIV/0!</v>
          </cell>
          <cell r="S346" t="e">
            <v>#DIV/0!</v>
          </cell>
          <cell r="T346" t="e">
            <v>#VALUE!</v>
          </cell>
          <cell r="U346">
            <v>3.3068320810763586E-2</v>
          </cell>
          <cell r="V346">
            <v>0.47698989924722007</v>
          </cell>
          <cell r="W346">
            <v>1.1277874807805904E-2</v>
          </cell>
          <cell r="X346">
            <v>1.0053782918395942</v>
          </cell>
          <cell r="Y346">
            <v>0</v>
          </cell>
          <cell r="Z346" t="e">
            <v>#N/A</v>
          </cell>
          <cell r="AA346">
            <v>0.48502187288828819</v>
          </cell>
          <cell r="AB346">
            <v>0.36984786218335464</v>
          </cell>
          <cell r="AC346">
            <v>0.63947481761564662</v>
          </cell>
          <cell r="AD346" t="e">
            <v>#N/A</v>
          </cell>
          <cell r="AE346">
            <v>0.3848782860908066</v>
          </cell>
          <cell r="AF346">
            <v>0.3629360002827155</v>
          </cell>
          <cell r="AG346">
            <v>0.88126700666416846</v>
          </cell>
          <cell r="AH346" t="e">
            <v>#DIV/0!</v>
          </cell>
          <cell r="AI346" t="e">
            <v>#DIV/0!</v>
          </cell>
          <cell r="AJ346" t="e">
            <v>#VALUE!</v>
          </cell>
          <cell r="AK346">
            <v>21.090308370044053</v>
          </cell>
          <cell r="AL346">
            <v>0.33343385605146769</v>
          </cell>
          <cell r="AM346">
            <v>0.55622296303024366</v>
          </cell>
          <cell r="AN346">
            <v>0.13773922256804186</v>
          </cell>
          <cell r="AO346" t="e">
            <v>#N/A</v>
          </cell>
          <cell r="AP346" t="e">
            <v>#DIV/0!</v>
          </cell>
          <cell r="AQ346" t="e">
            <v>#VALUE!</v>
          </cell>
          <cell r="AR346">
            <v>0</v>
          </cell>
          <cell r="AS346">
            <v>0.88126700666416846</v>
          </cell>
          <cell r="AT346" t="e">
            <v>#N/A</v>
          </cell>
          <cell r="AU346" t="e">
            <v>#DIV/0!</v>
          </cell>
          <cell r="AV346">
            <v>0.43445707843453052</v>
          </cell>
          <cell r="AW346" t="e">
            <v>#VALUE!</v>
          </cell>
          <cell r="AX346" t="e">
            <v>#VALUE!</v>
          </cell>
          <cell r="AY346" t="e">
            <v>#VALUE!</v>
          </cell>
          <cell r="AZ346" t="e">
            <v>#VALUE!</v>
          </cell>
          <cell r="BA346" t="e">
            <v>#VALUE!</v>
          </cell>
          <cell r="BB346" t="e">
            <v>#VALUE!</v>
          </cell>
          <cell r="BC346" t="e">
            <v>#VALUE!</v>
          </cell>
          <cell r="BD346" t="e">
            <v>#VALUE!</v>
          </cell>
          <cell r="BE346" t="e">
            <v>#VALUE!</v>
          </cell>
        </row>
        <row r="347">
          <cell r="H347" t="e">
            <v>#DIV/0!</v>
          </cell>
          <cell r="I347" t="e">
            <v>#DIV/0!</v>
          </cell>
          <cell r="J347" t="e">
            <v>#DIV/0!</v>
          </cell>
          <cell r="K347" t="e">
            <v>#DIV/0!</v>
          </cell>
          <cell r="L347" t="e">
            <v>#DIV/0!</v>
          </cell>
          <cell r="M347" t="e">
            <v>#DIV/0!</v>
          </cell>
          <cell r="N347" t="e">
            <v>#DIV/0!</v>
          </cell>
          <cell r="O347" t="e">
            <v>#DIV/0!</v>
          </cell>
          <cell r="P347" t="e">
            <v>#DIV/0!</v>
          </cell>
          <cell r="Q347" t="e">
            <v>#DIV/0!</v>
          </cell>
          <cell r="R347" t="e">
            <v>#DIV/0!</v>
          </cell>
          <cell r="S347" t="e">
            <v>#DIV/0!</v>
          </cell>
          <cell r="T347" t="e">
            <v>#VALUE!</v>
          </cell>
          <cell r="U347">
            <v>3.7433088971579043E-2</v>
          </cell>
          <cell r="V347">
            <v>0.47698989924722007</v>
          </cell>
          <cell r="W347">
            <v>3.3339900235620445E-2</v>
          </cell>
          <cell r="X347">
            <v>1.0871996220610349</v>
          </cell>
          <cell r="Y347">
            <v>0</v>
          </cell>
          <cell r="Z347" t="e">
            <v>#N/A</v>
          </cell>
          <cell r="AA347">
            <v>0.55246070855053886</v>
          </cell>
          <cell r="AB347">
            <v>1.0124909590921907</v>
          </cell>
          <cell r="AC347">
            <v>1.3435201376745218</v>
          </cell>
          <cell r="AD347" t="e">
            <v>#N/A</v>
          </cell>
          <cell r="AE347">
            <v>0.5047323707077559</v>
          </cell>
          <cell r="AF347">
            <v>0.61969159029636589</v>
          </cell>
          <cell r="AG347">
            <v>2.1141382949614984</v>
          </cell>
          <cell r="AH347" t="e">
            <v>#DIV/0!</v>
          </cell>
          <cell r="AI347" t="e">
            <v>#DIV/0!</v>
          </cell>
          <cell r="AJ347" t="e">
            <v>#VALUE!</v>
          </cell>
          <cell r="AK347">
            <v>21.090308370044053</v>
          </cell>
          <cell r="AL347">
            <v>0.44154547572298591</v>
          </cell>
          <cell r="AM347">
            <v>0.66090951676104215</v>
          </cell>
          <cell r="AN347">
            <v>0.22972256582435063</v>
          </cell>
          <cell r="AO347" t="e">
            <v>#N/A</v>
          </cell>
          <cell r="AP347" t="e">
            <v>#DIV/0!</v>
          </cell>
          <cell r="AQ347" t="e">
            <v>#VALUE!</v>
          </cell>
          <cell r="AR347">
            <v>0</v>
          </cell>
          <cell r="AS347">
            <v>2.1141382949614984</v>
          </cell>
          <cell r="AT347" t="e">
            <v>#N/A</v>
          </cell>
          <cell r="AU347" t="e">
            <v>#DIV/0!</v>
          </cell>
          <cell r="AV347">
            <v>0.55786835927749412</v>
          </cell>
          <cell r="AW347" t="e">
            <v>#VALUE!</v>
          </cell>
          <cell r="AX347" t="e">
            <v>#VALUE!</v>
          </cell>
          <cell r="AY347" t="e">
            <v>#VALUE!</v>
          </cell>
          <cell r="AZ347" t="e">
            <v>#VALUE!</v>
          </cell>
          <cell r="BA347" t="e">
            <v>#VALUE!</v>
          </cell>
          <cell r="BB347" t="e">
            <v>#VALUE!</v>
          </cell>
          <cell r="BC347" t="e">
            <v>#VALUE!</v>
          </cell>
          <cell r="BD347" t="e">
            <v>#VALUE!</v>
          </cell>
          <cell r="BE347" t="e">
            <v>#VALUE!</v>
          </cell>
        </row>
        <row r="348">
          <cell r="H348" t="e">
            <v>#DIV/0!</v>
          </cell>
          <cell r="I348" t="e">
            <v>#DIV/0!</v>
          </cell>
          <cell r="J348" t="e">
            <v>#DIV/0!</v>
          </cell>
          <cell r="K348" t="e">
            <v>#DIV/0!</v>
          </cell>
          <cell r="L348" t="e">
            <v>#DIV/0!</v>
          </cell>
          <cell r="M348" t="e">
            <v>#DIV/0!</v>
          </cell>
          <cell r="N348" t="e">
            <v>#DIV/0!</v>
          </cell>
          <cell r="O348" t="e">
            <v>#DIV/0!</v>
          </cell>
          <cell r="P348" t="e">
            <v>#DIV/0!</v>
          </cell>
          <cell r="Q348" t="e">
            <v>#DIV/0!</v>
          </cell>
          <cell r="R348" t="e">
            <v>#DIV/0!</v>
          </cell>
          <cell r="S348" t="e">
            <v>#DIV/0!</v>
          </cell>
          <cell r="T348" t="e">
            <v>#VALUE!</v>
          </cell>
          <cell r="U348">
            <v>3.2009810139963631E-2</v>
          </cell>
          <cell r="V348">
            <v>0.32294729942996109</v>
          </cell>
          <cell r="W348">
            <v>1.1152102788711038E-2</v>
          </cell>
          <cell r="X348">
            <v>0.50134096690421948</v>
          </cell>
          <cell r="Y348">
            <v>0</v>
          </cell>
          <cell r="Z348" t="e">
            <v>#N/A</v>
          </cell>
          <cell r="AA348">
            <v>0.3266092451183541</v>
          </cell>
          <cell r="AB348">
            <v>0.26999192566820268</v>
          </cell>
          <cell r="AC348">
            <v>0.39004857576626906</v>
          </cell>
          <cell r="AD348" t="e">
            <v>#N/A</v>
          </cell>
          <cell r="AE348">
            <v>0.27791488245312129</v>
          </cell>
          <cell r="AF348">
            <v>0.26628983327715405</v>
          </cell>
          <cell r="AG348">
            <v>0.4684433435245412</v>
          </cell>
          <cell r="AH348" t="e">
            <v>#DIV/0!</v>
          </cell>
          <cell r="AI348" t="e">
            <v>#DIV/0!</v>
          </cell>
          <cell r="AJ348" t="e">
            <v>#VALUE!</v>
          </cell>
          <cell r="AK348">
            <v>0.95473127929005885</v>
          </cell>
          <cell r="AL348">
            <v>0.25005653976630232</v>
          </cell>
          <cell r="AM348">
            <v>0.35741855520958149</v>
          </cell>
          <cell r="AN348">
            <v>0.12106396600896339</v>
          </cell>
          <cell r="AO348" t="e">
            <v>#N/A</v>
          </cell>
          <cell r="AP348" t="e">
            <v>#DIV/0!</v>
          </cell>
          <cell r="AQ348" t="e">
            <v>#VALUE!</v>
          </cell>
          <cell r="AR348">
            <v>0</v>
          </cell>
          <cell r="AS348">
            <v>0.4684433435245412</v>
          </cell>
          <cell r="AT348" t="e">
            <v>#N/A</v>
          </cell>
          <cell r="AU348" t="e">
            <v>#DIV/0!</v>
          </cell>
          <cell r="AV348">
            <v>0.30287213536473856</v>
          </cell>
          <cell r="AW348" t="e">
            <v>#VALUE!</v>
          </cell>
          <cell r="AX348" t="e">
            <v>#VALUE!</v>
          </cell>
          <cell r="AY348" t="e">
            <v>#VALUE!</v>
          </cell>
          <cell r="AZ348" t="e">
            <v>#VALUE!</v>
          </cell>
          <cell r="BA348" t="e">
            <v>#VALUE!</v>
          </cell>
          <cell r="BB348" t="e">
            <v>#VALUE!</v>
          </cell>
          <cell r="BC348" t="e">
            <v>#VALUE!</v>
          </cell>
          <cell r="BD348" t="e">
            <v>#VALUE!</v>
          </cell>
          <cell r="BE348" t="e">
            <v>#VALUE!</v>
          </cell>
        </row>
        <row r="349">
          <cell r="H349" t="e">
            <v>#DIV/0!</v>
          </cell>
          <cell r="I349" t="e">
            <v>#DIV/0!</v>
          </cell>
          <cell r="J349" t="e">
            <v>#DIV/0!</v>
          </cell>
          <cell r="K349" t="e">
            <v>#DIV/0!</v>
          </cell>
          <cell r="L349" t="e">
            <v>#DIV/0!</v>
          </cell>
          <cell r="M349" t="e">
            <v>#DIV/0!</v>
          </cell>
          <cell r="N349" t="e">
            <v>#DIV/0!</v>
          </cell>
          <cell r="O349" t="e">
            <v>#DIV/0!</v>
          </cell>
          <cell r="P349" t="e">
            <v>#DIV/0!</v>
          </cell>
          <cell r="Q349" t="e">
            <v>#DIV/0!</v>
          </cell>
          <cell r="R349" t="e">
            <v>#DIV/0!</v>
          </cell>
          <cell r="S349" t="e">
            <v>#DIV/0!</v>
          </cell>
          <cell r="T349" t="e">
            <v>#VALUE!</v>
          </cell>
          <cell r="U349" t="e">
            <v>#DIV/0!</v>
          </cell>
          <cell r="V349" t="e">
            <v>#DIV/0!</v>
          </cell>
          <cell r="W349" t="e">
            <v>#DIV/0!</v>
          </cell>
          <cell r="X349" t="e">
            <v>#DIV/0!</v>
          </cell>
          <cell r="Y349" t="e">
            <v>#DIV/0!</v>
          </cell>
          <cell r="Z349" t="e">
            <v>#N/A</v>
          </cell>
          <cell r="AA349" t="e">
            <v>#DIV/0!</v>
          </cell>
          <cell r="AB349" t="e">
            <v>#DIV/0!</v>
          </cell>
          <cell r="AC349" t="e">
            <v>#DIV/0!</v>
          </cell>
          <cell r="AD349" t="e">
            <v>#N/A</v>
          </cell>
          <cell r="AE349" t="e">
            <v>#DIV/0!</v>
          </cell>
          <cell r="AF349" t="e">
            <v>#DIV/0!</v>
          </cell>
          <cell r="AG349" t="e">
            <v>#DIV/0!</v>
          </cell>
          <cell r="AH349" t="e">
            <v>#DIV/0!</v>
          </cell>
          <cell r="AI349" t="e">
            <v>#DIV/0!</v>
          </cell>
          <cell r="AJ349" t="e">
            <v>#VALUE!</v>
          </cell>
          <cell r="AK349" t="e">
            <v>#DIV/0!</v>
          </cell>
          <cell r="AL349" t="e">
            <v>#DIV/0!</v>
          </cell>
          <cell r="AM349" t="e">
            <v>#DIV/0!</v>
          </cell>
          <cell r="AN349" t="e">
            <v>#DIV/0!</v>
          </cell>
          <cell r="AO349" t="e">
            <v>#N/A</v>
          </cell>
          <cell r="AP349" t="e">
            <v>#DIV/0!</v>
          </cell>
          <cell r="AQ349" t="e">
            <v>#VALUE!</v>
          </cell>
          <cell r="AR349" t="e">
            <v>#DIV/0!</v>
          </cell>
          <cell r="AS349" t="e">
            <v>#DIV/0!</v>
          </cell>
          <cell r="AT349" t="e">
            <v>#N/A</v>
          </cell>
          <cell r="AU349" t="e">
            <v>#DIV/0!</v>
          </cell>
          <cell r="AV349" t="e">
            <v>#DIV/0!</v>
          </cell>
          <cell r="AW349" t="e">
            <v>#VALUE!</v>
          </cell>
          <cell r="AX349" t="e">
            <v>#VALUE!</v>
          </cell>
          <cell r="AY349" t="e">
            <v>#VALUE!</v>
          </cell>
          <cell r="AZ349" t="e">
            <v>#VALUE!</v>
          </cell>
          <cell r="BA349" t="e">
            <v>#VALUE!</v>
          </cell>
          <cell r="BB349" t="e">
            <v>#VALUE!</v>
          </cell>
          <cell r="BC349" t="e">
            <v>#VALUE!</v>
          </cell>
          <cell r="BD349" t="e">
            <v>#VALUE!</v>
          </cell>
          <cell r="BE349" t="e">
            <v>#VALUE!</v>
          </cell>
        </row>
        <row r="350">
          <cell r="H350" t="e">
            <v>#DIV/0!</v>
          </cell>
          <cell r="I350" t="e">
            <v>#DIV/0!</v>
          </cell>
          <cell r="J350" t="e">
            <v>#DIV/0!</v>
          </cell>
          <cell r="K350" t="e">
            <v>#DIV/0!</v>
          </cell>
          <cell r="L350" t="e">
            <v>#DIV/0!</v>
          </cell>
          <cell r="M350" t="e">
            <v>#DIV/0!</v>
          </cell>
          <cell r="N350" t="e">
            <v>#DIV/0!</v>
          </cell>
          <cell r="O350" t="e">
            <v>#DIV/0!</v>
          </cell>
          <cell r="P350" t="e">
            <v>#DIV/0!</v>
          </cell>
          <cell r="Q350" t="e">
            <v>#DIV/0!</v>
          </cell>
          <cell r="R350" t="e">
            <v>#DIV/0!</v>
          </cell>
          <cell r="S350" t="e">
            <v>#DIV/0!</v>
          </cell>
          <cell r="T350" t="e">
            <v>#VALUE!</v>
          </cell>
          <cell r="U350" t="e">
            <v>#DIV/0!</v>
          </cell>
          <cell r="V350" t="e">
            <v>#DIV/0!</v>
          </cell>
          <cell r="W350" t="e">
            <v>#DIV/0!</v>
          </cell>
          <cell r="X350" t="e">
            <v>#DIV/0!</v>
          </cell>
          <cell r="Y350">
            <v>0</v>
          </cell>
          <cell r="Z350" t="e">
            <v>#N/A</v>
          </cell>
          <cell r="AA350" t="e">
            <v>#DIV/0!</v>
          </cell>
          <cell r="AB350" t="e">
            <v>#DIV/0!</v>
          </cell>
          <cell r="AC350" t="e">
            <v>#DIV/0!</v>
          </cell>
          <cell r="AD350" t="e">
            <v>#N/A</v>
          </cell>
          <cell r="AE350" t="e">
            <v>#DIV/0!</v>
          </cell>
          <cell r="AF350" t="e">
            <v>#DIV/0!</v>
          </cell>
          <cell r="AG350" t="e">
            <v>#DIV/0!</v>
          </cell>
          <cell r="AH350" t="e">
            <v>#DIV/0!</v>
          </cell>
          <cell r="AI350" t="e">
            <v>#DIV/0!</v>
          </cell>
          <cell r="AJ350" t="e">
            <v>#VALUE!</v>
          </cell>
          <cell r="AK350" t="e">
            <v>#DIV/0!</v>
          </cell>
          <cell r="AL350" t="e">
            <v>#DIV/0!</v>
          </cell>
          <cell r="AM350" t="e">
            <v>#DIV/0!</v>
          </cell>
          <cell r="AN350" t="e">
            <v>#DIV/0!</v>
          </cell>
          <cell r="AO350" t="e">
            <v>#N/A</v>
          </cell>
          <cell r="AP350" t="e">
            <v>#DIV/0!</v>
          </cell>
          <cell r="AQ350" t="e">
            <v>#VALUE!</v>
          </cell>
          <cell r="AR350" t="e">
            <v>#DIV/0!</v>
          </cell>
          <cell r="AS350" t="e">
            <v>#DIV/0!</v>
          </cell>
          <cell r="AT350" t="e">
            <v>#N/A</v>
          </cell>
          <cell r="AU350" t="e">
            <v>#DIV/0!</v>
          </cell>
          <cell r="AV350" t="e">
            <v>#DIV/0!</v>
          </cell>
          <cell r="AW350" t="e">
            <v>#VALUE!</v>
          </cell>
          <cell r="AX350" t="e">
            <v>#VALUE!</v>
          </cell>
          <cell r="AY350" t="e">
            <v>#VALUE!</v>
          </cell>
          <cell r="AZ350" t="e">
            <v>#VALUE!</v>
          </cell>
          <cell r="BA350" t="e">
            <v>#VALUE!</v>
          </cell>
          <cell r="BB350" t="e">
            <v>#VALUE!</v>
          </cell>
          <cell r="BC350" t="e">
            <v>#VALUE!</v>
          </cell>
          <cell r="BD350" t="e">
            <v>#VALUE!</v>
          </cell>
          <cell r="BE350" t="e">
            <v>#VALUE!</v>
          </cell>
        </row>
        <row r="351">
          <cell r="H351" t="e">
            <v>#DIV/0!</v>
          </cell>
          <cell r="I351" t="e">
            <v>#DIV/0!</v>
          </cell>
          <cell r="J351" t="e">
            <v>#DIV/0!</v>
          </cell>
          <cell r="K351" t="e">
            <v>#DIV/0!</v>
          </cell>
          <cell r="L351" t="e">
            <v>#DIV/0!</v>
          </cell>
          <cell r="M351" t="e">
            <v>#DIV/0!</v>
          </cell>
          <cell r="N351" t="e">
            <v>#DIV/0!</v>
          </cell>
          <cell r="O351" t="e">
            <v>#DIV/0!</v>
          </cell>
          <cell r="P351" t="e">
            <v>#DIV/0!</v>
          </cell>
          <cell r="Q351" t="e">
            <v>#DIV/0!</v>
          </cell>
          <cell r="R351" t="e">
            <v>#DIV/0!</v>
          </cell>
          <cell r="S351" t="e">
            <v>#DIV/0!</v>
          </cell>
          <cell r="T351" t="e">
            <v>#VALUE!</v>
          </cell>
          <cell r="U351">
            <v>0</v>
          </cell>
          <cell r="V351">
            <v>0</v>
          </cell>
          <cell r="W351">
            <v>0</v>
          </cell>
          <cell r="X351">
            <v>0</v>
          </cell>
          <cell r="Y351" t="e">
            <v>#DIV/0!</v>
          </cell>
          <cell r="Z351" t="e">
            <v>#N/A</v>
          </cell>
          <cell r="AA351">
            <v>0</v>
          </cell>
          <cell r="AB351">
            <v>0</v>
          </cell>
          <cell r="AC351">
            <v>0</v>
          </cell>
          <cell r="AD351" t="e">
            <v>#N/A</v>
          </cell>
          <cell r="AE351">
            <v>0</v>
          </cell>
          <cell r="AF351">
            <v>0</v>
          </cell>
          <cell r="AG351">
            <v>0</v>
          </cell>
          <cell r="AH351" t="e">
            <v>#DIV/0!</v>
          </cell>
          <cell r="AI351" t="e">
            <v>#DIV/0!</v>
          </cell>
          <cell r="AJ351" t="e">
            <v>#VALUE!</v>
          </cell>
          <cell r="AK351">
            <v>0</v>
          </cell>
          <cell r="AL351">
            <v>0</v>
          </cell>
          <cell r="AM351">
            <v>0</v>
          </cell>
          <cell r="AN351">
            <v>0</v>
          </cell>
          <cell r="AO351" t="e">
            <v>#N/A</v>
          </cell>
          <cell r="AP351" t="e">
            <v>#DIV/0!</v>
          </cell>
          <cell r="AQ351" t="e">
            <v>#VALUE!</v>
          </cell>
          <cell r="AR351" t="e">
            <v>#DIV/0!</v>
          </cell>
          <cell r="AS351">
            <v>0</v>
          </cell>
          <cell r="AT351" t="e">
            <v>#N/A</v>
          </cell>
          <cell r="AU351" t="e">
            <v>#DIV/0!</v>
          </cell>
          <cell r="AV351">
            <v>0</v>
          </cell>
          <cell r="AW351" t="e">
            <v>#VALUE!</v>
          </cell>
          <cell r="AX351" t="e">
            <v>#VALUE!</v>
          </cell>
          <cell r="AY351" t="e">
            <v>#VALUE!</v>
          </cell>
          <cell r="AZ351" t="e">
            <v>#VALUE!</v>
          </cell>
          <cell r="BA351" t="e">
            <v>#VALUE!</v>
          </cell>
          <cell r="BB351" t="e">
            <v>#VALUE!</v>
          </cell>
          <cell r="BC351" t="e">
            <v>#VALUE!</v>
          </cell>
          <cell r="BD351" t="e">
            <v>#VALUE!</v>
          </cell>
          <cell r="BE351" t="e">
            <v>#VALUE!</v>
          </cell>
        </row>
        <row r="352">
          <cell r="H352" t="e">
            <v>#DIV/0!</v>
          </cell>
          <cell r="I352" t="e">
            <v>#DIV/0!</v>
          </cell>
          <cell r="J352" t="e">
            <v>#DIV/0!</v>
          </cell>
          <cell r="K352" t="e">
            <v>#DIV/0!</v>
          </cell>
          <cell r="L352" t="e">
            <v>#DIV/0!</v>
          </cell>
          <cell r="M352" t="e">
            <v>#DIV/0!</v>
          </cell>
          <cell r="N352" t="e">
            <v>#DIV/0!</v>
          </cell>
          <cell r="O352" t="e">
            <v>#DIV/0!</v>
          </cell>
          <cell r="P352" t="e">
            <v>#DIV/0!</v>
          </cell>
          <cell r="Q352" t="e">
            <v>#DIV/0!</v>
          </cell>
          <cell r="R352" t="e">
            <v>#DIV/0!</v>
          </cell>
          <cell r="S352" t="e">
            <v>#DIV/0!</v>
          </cell>
          <cell r="T352" t="e">
            <v>#VALUE!</v>
          </cell>
          <cell r="U352" t="e">
            <v>#DIV/0!</v>
          </cell>
          <cell r="V352" t="e">
            <v>#DIV/0!</v>
          </cell>
          <cell r="W352" t="e">
            <v>#DIV/0!</v>
          </cell>
          <cell r="X352" t="e">
            <v>#DIV/0!</v>
          </cell>
          <cell r="Y352">
            <v>0</v>
          </cell>
          <cell r="Z352" t="e">
            <v>#N/A</v>
          </cell>
          <cell r="AA352" t="e">
            <v>#DIV/0!</v>
          </cell>
          <cell r="AB352" t="e">
            <v>#DIV/0!</v>
          </cell>
          <cell r="AC352" t="e">
            <v>#DIV/0!</v>
          </cell>
          <cell r="AD352" t="e">
            <v>#N/A</v>
          </cell>
          <cell r="AE352" t="e">
            <v>#DIV/0!</v>
          </cell>
          <cell r="AF352" t="e">
            <v>#DIV/0!</v>
          </cell>
          <cell r="AG352" t="e">
            <v>#DIV/0!</v>
          </cell>
          <cell r="AH352" t="e">
            <v>#DIV/0!</v>
          </cell>
          <cell r="AI352" t="e">
            <v>#DIV/0!</v>
          </cell>
          <cell r="AJ352" t="e">
            <v>#VALUE!</v>
          </cell>
          <cell r="AK352" t="e">
            <v>#DIV/0!</v>
          </cell>
          <cell r="AL352" t="e">
            <v>#DIV/0!</v>
          </cell>
          <cell r="AM352" t="e">
            <v>#DIV/0!</v>
          </cell>
          <cell r="AN352" t="e">
            <v>#DIV/0!</v>
          </cell>
          <cell r="AO352" t="e">
            <v>#N/A</v>
          </cell>
          <cell r="AP352" t="e">
            <v>#DIV/0!</v>
          </cell>
          <cell r="AQ352" t="e">
            <v>#VALUE!</v>
          </cell>
          <cell r="AR352" t="e">
            <v>#DIV/0!</v>
          </cell>
          <cell r="AS352" t="e">
            <v>#DIV/0!</v>
          </cell>
          <cell r="AT352" t="e">
            <v>#N/A</v>
          </cell>
          <cell r="AU352" t="e">
            <v>#DIV/0!</v>
          </cell>
          <cell r="AV352" t="e">
            <v>#DIV/0!</v>
          </cell>
          <cell r="AW352" t="e">
            <v>#VALUE!</v>
          </cell>
          <cell r="AX352" t="e">
            <v>#VALUE!</v>
          </cell>
          <cell r="AY352" t="e">
            <v>#VALUE!</v>
          </cell>
          <cell r="AZ352" t="e">
            <v>#VALUE!</v>
          </cell>
          <cell r="BA352" t="e">
            <v>#VALUE!</v>
          </cell>
          <cell r="BB352" t="e">
            <v>#VALUE!</v>
          </cell>
          <cell r="BC352" t="e">
            <v>#VALUE!</v>
          </cell>
          <cell r="BD352" t="e">
            <v>#VALUE!</v>
          </cell>
          <cell r="BE352" t="e">
            <v>#VALUE!</v>
          </cell>
        </row>
        <row r="355">
          <cell r="H355" t="str">
            <v>NA</v>
          </cell>
          <cell r="I355" t="str">
            <v>NA</v>
          </cell>
          <cell r="J355" t="str">
            <v>NA</v>
          </cell>
          <cell r="K355" t="str">
            <v>NA</v>
          </cell>
          <cell r="L355" t="str">
            <v>NA</v>
          </cell>
          <cell r="M355" t="str">
            <v>NA</v>
          </cell>
          <cell r="N355" t="str">
            <v>NA</v>
          </cell>
          <cell r="O355" t="str">
            <v>NA</v>
          </cell>
          <cell r="P355" t="str">
            <v>NA</v>
          </cell>
          <cell r="Q355" t="str">
            <v>NA</v>
          </cell>
          <cell r="R355" t="str">
            <v>NA</v>
          </cell>
          <cell r="S355" t="str">
            <v>NA</v>
          </cell>
          <cell r="T355" t="str">
            <v>NA</v>
          </cell>
          <cell r="U355">
            <v>0.20995586345605899</v>
          </cell>
          <cell r="V355">
            <v>0.10275023502492142</v>
          </cell>
          <cell r="W355">
            <v>0.10056437389770712</v>
          </cell>
          <cell r="X355">
            <v>6.3399138041506209E-2</v>
          </cell>
          <cell r="Y355">
            <v>0.58279376997374444</v>
          </cell>
          <cell r="Z355">
            <v>0.13959607886307257</v>
          </cell>
          <cell r="AA355">
            <v>0.20449890190537223</v>
          </cell>
          <cell r="AB355">
            <v>0.17130811424123071</v>
          </cell>
          <cell r="AC355">
            <v>4.5618858895758452E-2</v>
          </cell>
          <cell r="AD355" t="str">
            <v>NA</v>
          </cell>
          <cell r="AE355">
            <v>1.3168845155921094E-2</v>
          </cell>
          <cell r="AF355">
            <v>8.957475648052271E-2</v>
          </cell>
          <cell r="AG355">
            <v>0.18778939013096974</v>
          </cell>
          <cell r="AH355">
            <v>0.43624879304795638</v>
          </cell>
          <cell r="AI355">
            <v>-1.1964360020419562E-2</v>
          </cell>
          <cell r="AJ355">
            <v>0.17426680830826613</v>
          </cell>
          <cell r="AK355">
            <v>0.14263544018058694</v>
          </cell>
          <cell r="AL355">
            <v>0.20321891361665445</v>
          </cell>
          <cell r="AM355">
            <v>0.11318642402641155</v>
          </cell>
          <cell r="AN355">
            <v>0.48666539367322259</v>
          </cell>
          <cell r="AO355" t="str">
            <v>NA</v>
          </cell>
          <cell r="AP355">
            <v>0.12990297733669087</v>
          </cell>
          <cell r="AQ355">
            <v>0.12461481215605752</v>
          </cell>
          <cell r="AR355">
            <v>9.600139839123667E-2</v>
          </cell>
          <cell r="AS355">
            <v>0.18778939013096974</v>
          </cell>
          <cell r="AT355">
            <v>8.9152755768771463E-2</v>
          </cell>
          <cell r="AU355">
            <v>0.11680633237212357</v>
          </cell>
          <cell r="AV355">
            <v>0.11790497783355192</v>
          </cell>
          <cell r="AW355" t="str">
            <v>NA</v>
          </cell>
          <cell r="AX355" t="str">
            <v>NA</v>
          </cell>
          <cell r="AY355" t="str">
            <v>NA</v>
          </cell>
          <cell r="AZ355" t="str">
            <v>NA</v>
          </cell>
          <cell r="BA355" t="str">
            <v>NA</v>
          </cell>
          <cell r="BB355" t="str">
            <v>NA</v>
          </cell>
          <cell r="BC355" t="str">
            <v>NA</v>
          </cell>
          <cell r="BD355" t="str">
            <v>NA</v>
          </cell>
          <cell r="BE355" t="str">
            <v>NA</v>
          </cell>
        </row>
        <row r="356">
          <cell r="H356" t="str">
            <v>NA</v>
          </cell>
          <cell r="I356" t="str">
            <v>NA</v>
          </cell>
          <cell r="J356" t="str">
            <v>NA</v>
          </cell>
          <cell r="K356" t="str">
            <v>NA</v>
          </cell>
          <cell r="L356" t="str">
            <v>NA</v>
          </cell>
          <cell r="M356" t="str">
            <v>NA</v>
          </cell>
          <cell r="N356" t="str">
            <v>NA</v>
          </cell>
          <cell r="O356" t="str">
            <v>NA</v>
          </cell>
          <cell r="P356" t="str">
            <v>NA</v>
          </cell>
          <cell r="Q356" t="str">
            <v>NA</v>
          </cell>
          <cell r="R356" t="str">
            <v>NA</v>
          </cell>
          <cell r="S356" t="str">
            <v>NA</v>
          </cell>
          <cell r="T356" t="str">
            <v>NA</v>
          </cell>
          <cell r="U356" t="str">
            <v>NM</v>
          </cell>
          <cell r="V356">
            <v>0.15825544253408919</v>
          </cell>
          <cell r="W356">
            <v>0.10056437389770712</v>
          </cell>
          <cell r="X356">
            <v>9.0451419029002889E-3</v>
          </cell>
          <cell r="Y356">
            <v>8.5606160047799751E-2</v>
          </cell>
          <cell r="Z356">
            <v>0.64688017921677488</v>
          </cell>
          <cell r="AA356">
            <v>0.2096406524266361</v>
          </cell>
          <cell r="AB356">
            <v>-2.7622055860919703E-2</v>
          </cell>
          <cell r="AC356">
            <v>0.1512625224898354</v>
          </cell>
          <cell r="AD356" t="str">
            <v>NA</v>
          </cell>
          <cell r="AE356" t="str">
            <v>NM</v>
          </cell>
          <cell r="AF356">
            <v>0.21062712675200901</v>
          </cell>
          <cell r="AG356">
            <v>-5.9426053346557373E-3</v>
          </cell>
          <cell r="AH356" t="str">
            <v>NA</v>
          </cell>
          <cell r="AI356" t="str">
            <v>NA</v>
          </cell>
          <cell r="AJ356">
            <v>0.65257109552308123</v>
          </cell>
          <cell r="AK356">
            <v>0.5193474392623767</v>
          </cell>
          <cell r="AL356">
            <v>0.58974533339506641</v>
          </cell>
          <cell r="AM356">
            <v>9.7560975609756184E-2</v>
          </cell>
          <cell r="AN356" t="str">
            <v>NM</v>
          </cell>
          <cell r="AO356" t="str">
            <v>NA</v>
          </cell>
          <cell r="AP356">
            <v>0.16269030049301803</v>
          </cell>
          <cell r="AQ356">
            <v>0.21516485718497758</v>
          </cell>
          <cell r="AR356">
            <v>0.17410371280984438</v>
          </cell>
          <cell r="AS356">
            <v>-1.9477426139478782E-2</v>
          </cell>
          <cell r="AT356">
            <v>0.35565154787616993</v>
          </cell>
          <cell r="AU356" t="str">
            <v>NA</v>
          </cell>
          <cell r="AV356">
            <v>0.20532727299434717</v>
          </cell>
          <cell r="AW356" t="str">
            <v>NA</v>
          </cell>
          <cell r="AX356" t="str">
            <v>NA</v>
          </cell>
          <cell r="AY356" t="str">
            <v>NA</v>
          </cell>
          <cell r="AZ356" t="str">
            <v>NA</v>
          </cell>
          <cell r="BA356" t="str">
            <v>NA</v>
          </cell>
          <cell r="BB356" t="str">
            <v>NA</v>
          </cell>
          <cell r="BC356" t="str">
            <v>NA</v>
          </cell>
          <cell r="BD356" t="str">
            <v>NA</v>
          </cell>
          <cell r="BE356" t="str">
            <v>NA</v>
          </cell>
        </row>
        <row r="360">
          <cell r="H360">
            <v>0.10465116279069764</v>
          </cell>
          <cell r="I360">
            <v>-7.999999999999996E-2</v>
          </cell>
          <cell r="J360">
            <v>9.375E-2</v>
          </cell>
          <cell r="K360">
            <v>0.27064220183486221</v>
          </cell>
          <cell r="L360">
            <v>-1.5</v>
          </cell>
          <cell r="M360">
            <v>-8.7912087912087933E-2</v>
          </cell>
          <cell r="N360">
            <v>6.9306930693069368E-2</v>
          </cell>
          <cell r="O360">
            <v>0.1333333333333333</v>
          </cell>
          <cell r="P360">
            <v>-0.69724770642201839</v>
          </cell>
          <cell r="Q360">
            <v>4.39560439560438E-2</v>
          </cell>
          <cell r="R360">
            <v>5.6994818652849721E-2</v>
          </cell>
          <cell r="S360">
            <v>5.5118110236220597E-2</v>
          </cell>
          <cell r="T360" t="e">
            <v>#VALUE!</v>
          </cell>
          <cell r="U360">
            <v>2.5555555555555558</v>
          </cell>
          <cell r="V360">
            <v>0.75</v>
          </cell>
          <cell r="W360">
            <v>9.3023255813953432E-2</v>
          </cell>
          <cell r="X360">
            <v>0.14102564102564097</v>
          </cell>
          <cell r="Y360">
            <v>0.4027777777777779</v>
          </cell>
          <cell r="Z360" t="e">
            <v>#N/A</v>
          </cell>
          <cell r="AA360">
            <v>0.35586481113320079</v>
          </cell>
          <cell r="AB360">
            <v>0.35586481113320079</v>
          </cell>
          <cell r="AC360">
            <v>0.24271844660194164</v>
          </cell>
          <cell r="AD360" t="e">
            <v>#N/A</v>
          </cell>
          <cell r="AE360">
            <v>-0.35582822085889565</v>
          </cell>
          <cell r="AF360">
            <v>0.2736318407960201</v>
          </cell>
          <cell r="AG360">
            <v>0.30000000000000004</v>
          </cell>
          <cell r="AH360">
            <v>0.43577981651376141</v>
          </cell>
          <cell r="AI360">
            <v>-0.7303370786516854</v>
          </cell>
          <cell r="AJ360" t="e">
            <v>#VALUE!</v>
          </cell>
          <cell r="AK360">
            <v>0.34351145038167941</v>
          </cell>
          <cell r="AL360">
            <v>0.30347349177330907</v>
          </cell>
          <cell r="AM360">
            <v>0.21276595744680837</v>
          </cell>
          <cell r="AN360">
            <v>-0.48062015503875966</v>
          </cell>
          <cell r="AO360" t="e">
            <v>#N/A</v>
          </cell>
          <cell r="AP360">
            <v>0.25789473684210518</v>
          </cell>
          <cell r="AQ360" t="e">
            <v>#VALUE!</v>
          </cell>
          <cell r="AR360">
            <v>0.25789473684210518</v>
          </cell>
          <cell r="AS360">
            <v>0.30000000000000004</v>
          </cell>
          <cell r="AT360" t="e">
            <v>#N/A</v>
          </cell>
          <cell r="AU360">
            <v>0.59890109890109899</v>
          </cell>
          <cell r="AV360">
            <v>0.59890109890109899</v>
          </cell>
          <cell r="AW360" t="e">
            <v>#VALUE!</v>
          </cell>
          <cell r="AX360" t="e">
            <v>#VALUE!</v>
          </cell>
          <cell r="AY360" t="e">
            <v>#VALUE!</v>
          </cell>
          <cell r="AZ360" t="e">
            <v>#VALUE!</v>
          </cell>
          <cell r="BA360" t="e">
            <v>#VALUE!</v>
          </cell>
          <cell r="BB360" t="e">
            <v>#VALUE!</v>
          </cell>
          <cell r="BC360" t="e">
            <v>#VALUE!</v>
          </cell>
          <cell r="BD360" t="e">
            <v>#VALUE!</v>
          </cell>
          <cell r="BE360" t="e">
            <v>#VALUE!</v>
          </cell>
        </row>
        <row r="361">
          <cell r="H361">
            <v>0.12631578947368438</v>
          </cell>
          <cell r="I361">
            <v>0.47826086956521752</v>
          </cell>
          <cell r="J361">
            <v>0.1333333333333333</v>
          </cell>
          <cell r="K361">
            <v>0.12635379061371843</v>
          </cell>
          <cell r="L361">
            <v>3.5</v>
          </cell>
          <cell r="M361">
            <v>0.22891566265060259</v>
          </cell>
          <cell r="N361">
            <v>0.1064814814814814</v>
          </cell>
          <cell r="O361">
            <v>0.43137254901960786</v>
          </cell>
          <cell r="P361">
            <v>1.1212121212121211</v>
          </cell>
          <cell r="Q361">
            <v>0.16842105263157903</v>
          </cell>
          <cell r="R361">
            <v>0.16394558823529404</v>
          </cell>
          <cell r="S361">
            <v>0.15671641791044766</v>
          </cell>
          <cell r="T361">
            <v>0.15340909090909083</v>
          </cell>
          <cell r="U361">
            <v>1.03125</v>
          </cell>
          <cell r="V361">
            <v>0.48051948051948035</v>
          </cell>
          <cell r="W361">
            <v>0.13829787234042556</v>
          </cell>
          <cell r="X361">
            <v>0.15730337078651679</v>
          </cell>
          <cell r="Y361">
            <v>0.25742574257425743</v>
          </cell>
          <cell r="Z361" t="e">
            <v>#N/A</v>
          </cell>
          <cell r="AA361">
            <v>0.19648093841642233</v>
          </cell>
          <cell r="AB361">
            <v>0.19648093841642233</v>
          </cell>
          <cell r="AC361">
            <v>0.109375</v>
          </cell>
          <cell r="AD361" t="e">
            <v>#N/A</v>
          </cell>
          <cell r="AE361">
            <v>0.4095238095238094</v>
          </cell>
          <cell r="AF361">
            <v>0.15625</v>
          </cell>
          <cell r="AG361">
            <v>0.19780219780219777</v>
          </cell>
          <cell r="AH361">
            <v>0.41533546325878601</v>
          </cell>
          <cell r="AI361">
            <v>1</v>
          </cell>
          <cell r="AJ361" t="e">
            <v>#VALUE!</v>
          </cell>
          <cell r="AK361">
            <v>0.15340909090909083</v>
          </cell>
          <cell r="AL361">
            <v>0.21879382889200549</v>
          </cell>
          <cell r="AM361">
            <v>0.11403508771929838</v>
          </cell>
          <cell r="AN361">
            <v>0.49731343283582086</v>
          </cell>
          <cell r="AO361" t="e">
            <v>#N/A</v>
          </cell>
          <cell r="AP361">
            <v>0.19874476987447709</v>
          </cell>
          <cell r="AQ361" t="e">
            <v>#VALUE!</v>
          </cell>
          <cell r="AR361">
            <v>0.19874476987447709</v>
          </cell>
          <cell r="AS361">
            <v>0.19780219780219777</v>
          </cell>
          <cell r="AT361" t="e">
            <v>#N/A</v>
          </cell>
          <cell r="AU361">
            <v>0.20274914089347074</v>
          </cell>
          <cell r="AV361">
            <v>0.20274914089347074</v>
          </cell>
          <cell r="AW361" t="e">
            <v>#VALUE!</v>
          </cell>
          <cell r="AX361" t="e">
            <v>#VALUE!</v>
          </cell>
          <cell r="AY361" t="e">
            <v>#VALUE!</v>
          </cell>
          <cell r="AZ361" t="e">
            <v>#VALUE!</v>
          </cell>
          <cell r="BA361" t="e">
            <v>#VALUE!</v>
          </cell>
          <cell r="BB361" t="e">
            <v>#VALUE!</v>
          </cell>
          <cell r="BC361" t="e">
            <v>#VALUE!</v>
          </cell>
          <cell r="BD361" t="e">
            <v>#VALUE!</v>
          </cell>
          <cell r="BE361" t="e">
            <v>#VALUE!</v>
          </cell>
        </row>
        <row r="362">
          <cell r="H362">
            <v>-0.50345323741007197</v>
          </cell>
          <cell r="I362">
            <v>-0.68642659279778395</v>
          </cell>
          <cell r="J362">
            <v>-2.8714524207011705E-2</v>
          </cell>
          <cell r="K362">
            <v>0.63133640552995396</v>
          </cell>
          <cell r="L362">
            <v>-9.5238095238095122E-2</v>
          </cell>
          <cell r="M362">
            <v>-0.21292460646230327</v>
          </cell>
          <cell r="N362">
            <v>-0.34760869565217389</v>
          </cell>
          <cell r="O362">
            <v>-0.48140321217244297</v>
          </cell>
          <cell r="P362">
            <v>-0.81860006572461386</v>
          </cell>
          <cell r="Q362">
            <v>-0.18022705771050151</v>
          </cell>
          <cell r="R362">
            <v>0.18976545842217463</v>
          </cell>
          <cell r="S362">
            <v>-0.3235708251196846</v>
          </cell>
          <cell r="T362" t="e">
            <v>#VALUE!</v>
          </cell>
          <cell r="U362">
            <v>-0.20848845867460897</v>
          </cell>
          <cell r="V362">
            <v>0.51308139534883712</v>
          </cell>
          <cell r="W362">
            <v>-0.50345323741007197</v>
          </cell>
          <cell r="X362">
            <v>-0.41168478260869568</v>
          </cell>
          <cell r="Y362">
            <v>-8.5178236397748575E-2</v>
          </cell>
          <cell r="Z362" t="str">
            <v>NA</v>
          </cell>
          <cell r="AA362">
            <v>8.9791635436966111E-2</v>
          </cell>
          <cell r="AB362">
            <v>8.9791635436966111E-2</v>
          </cell>
          <cell r="AC362">
            <v>-0.27339901477832518</v>
          </cell>
          <cell r="AD362" t="str">
            <v>NA</v>
          </cell>
          <cell r="AE362">
            <v>-4.5066991473812545E-2</v>
          </cell>
          <cell r="AF362">
            <v>0.50169204737732653</v>
          </cell>
          <cell r="AG362">
            <v>-1.9562043795620543E-2</v>
          </cell>
          <cell r="AH362">
            <v>0.51308139534883712</v>
          </cell>
          <cell r="AI362">
            <v>-0.57641025641025645</v>
          </cell>
          <cell r="AJ362" t="e">
            <v>#VALUE!</v>
          </cell>
          <cell r="AK362">
            <v>0.14455445544554446</v>
          </cell>
          <cell r="AL362">
            <v>-0.20732618988288076</v>
          </cell>
          <cell r="AM362">
            <v>9.5517841601392428E-2</v>
          </cell>
          <cell r="AN362">
            <v>7.0815450643776812E-2</v>
          </cell>
          <cell r="AO362" t="str">
            <v>NA</v>
          </cell>
          <cell r="AP362">
            <v>0.35375886524822686</v>
          </cell>
          <cell r="AQ362" t="e">
            <v>#VALUE!</v>
          </cell>
          <cell r="AR362">
            <v>0.35375886524822686</v>
          </cell>
          <cell r="AS362">
            <v>-1.9562043795620543E-2</v>
          </cell>
          <cell r="AT362" t="str">
            <v>NA</v>
          </cell>
          <cell r="AU362">
            <v>-0.11770321876704848</v>
          </cell>
          <cell r="AV362">
            <v>-0.11770321876704848</v>
          </cell>
          <cell r="AW362" t="e">
            <v>#VALUE!</v>
          </cell>
          <cell r="AX362" t="e">
            <v>#VALUE!</v>
          </cell>
          <cell r="AY362" t="e">
            <v>#VALUE!</v>
          </cell>
          <cell r="AZ362" t="e">
            <v>#VALUE!</v>
          </cell>
          <cell r="BA362" t="e">
            <v>#VALUE!</v>
          </cell>
          <cell r="BB362" t="e">
            <v>#VALUE!</v>
          </cell>
          <cell r="BC362" t="e">
            <v>#VALUE!</v>
          </cell>
          <cell r="BD362" t="e">
            <v>#VALUE!</v>
          </cell>
          <cell r="BE362" t="e">
            <v>#VALUE!</v>
          </cell>
        </row>
        <row r="363">
          <cell r="H363">
            <v>2.8985507246370723E-4</v>
          </cell>
          <cell r="I363">
            <v>-0.17971014492753623</v>
          </cell>
          <cell r="J363">
            <v>8.788332086761419E-2</v>
          </cell>
          <cell r="K363">
            <v>9.2322883238706632E-2</v>
          </cell>
          <cell r="L363">
            <v>8.8004822182037534E-2</v>
          </cell>
          <cell r="M363">
            <v>0.1124121779859486</v>
          </cell>
          <cell r="N363">
            <v>9.6055514974433986E-2</v>
          </cell>
          <cell r="O363">
            <v>-0.11343930635838151</v>
          </cell>
          <cell r="P363">
            <v>-0.24487004103967169</v>
          </cell>
          <cell r="Q363">
            <v>4.5235223160434268E-2</v>
          </cell>
          <cell r="R363">
            <v>3.4930448222565635E-2</v>
          </cell>
          <cell r="S363">
            <v>0.11203703703703694</v>
          </cell>
          <cell r="T363" t="e">
            <v>#VALUE!</v>
          </cell>
          <cell r="U363">
            <v>-3.3636363636363575E-2</v>
          </cell>
          <cell r="V363">
            <v>0.15950100245043441</v>
          </cell>
          <cell r="W363">
            <v>2.8985507246370723E-4</v>
          </cell>
          <cell r="X363">
            <v>6.7488443759630146E-2</v>
          </cell>
          <cell r="Y363">
            <v>0.16372315035799523</v>
          </cell>
          <cell r="Z363" t="str">
            <v>NA</v>
          </cell>
          <cell r="AA363">
            <v>0.14236329352608434</v>
          </cell>
          <cell r="AB363">
            <v>0.14236329352608434</v>
          </cell>
          <cell r="AC363">
            <v>1.7241379310344751E-2</v>
          </cell>
          <cell r="AD363" t="str">
            <v>NA</v>
          </cell>
          <cell r="AE363">
            <v>9.3444909344490901E-2</v>
          </cell>
          <cell r="AF363">
            <v>0.24068033550792167</v>
          </cell>
          <cell r="AG363">
            <v>0.16395147313691494</v>
          </cell>
          <cell r="AH363">
            <v>0.15950100245043441</v>
          </cell>
          <cell r="AI363">
            <v>0</v>
          </cell>
          <cell r="AJ363" t="e">
            <v>#VALUE!</v>
          </cell>
          <cell r="AK363">
            <v>8.0373831775700788E-2</v>
          </cell>
          <cell r="AL363">
            <v>2.1515735388567769E-2</v>
          </cell>
          <cell r="AM363">
            <v>4.2011589403973426E-2</v>
          </cell>
          <cell r="AN363">
            <v>7.3118279569892364E-2</v>
          </cell>
          <cell r="AO363" t="str">
            <v>NA</v>
          </cell>
          <cell r="AP363">
            <v>5.5985837574684671E-2</v>
          </cell>
          <cell r="AQ363" t="e">
            <v>#VALUE!</v>
          </cell>
          <cell r="AR363">
            <v>5.5985837574684671E-2</v>
          </cell>
          <cell r="AS363">
            <v>0.16395147313691494</v>
          </cell>
          <cell r="AT363" t="str">
            <v>NA</v>
          </cell>
          <cell r="AU363">
            <v>0.16119188655537608</v>
          </cell>
          <cell r="AV363">
            <v>0.16119188655537608</v>
          </cell>
          <cell r="AW363" t="e">
            <v>#VALUE!</v>
          </cell>
          <cell r="AX363" t="e">
            <v>#VALUE!</v>
          </cell>
          <cell r="AY363" t="e">
            <v>#VALUE!</v>
          </cell>
          <cell r="AZ363" t="e">
            <v>#VALUE!</v>
          </cell>
          <cell r="BA363" t="e">
            <v>#VALUE!</v>
          </cell>
          <cell r="BB363" t="e">
            <v>#VALUE!</v>
          </cell>
          <cell r="BC363" t="e">
            <v>#VALUE!</v>
          </cell>
          <cell r="BD363" t="e">
            <v>#VALUE!</v>
          </cell>
          <cell r="BE363" t="e">
            <v>#VALUE!</v>
          </cell>
        </row>
        <row r="364">
          <cell r="H364">
            <v>7.4408468244084647E-2</v>
          </cell>
          <cell r="I364">
            <v>-0.59015206372194062</v>
          </cell>
          <cell r="J364">
            <v>3.1034482758620641E-3</v>
          </cell>
          <cell r="K364">
            <v>0.10184262948207179</v>
          </cell>
          <cell r="L364">
            <v>-0.21041119860017488</v>
          </cell>
          <cell r="M364">
            <v>3.4858387799564294E-2</v>
          </cell>
          <cell r="N364">
            <v>-0.22932717000513603</v>
          </cell>
          <cell r="O364">
            <v>-0.34664536741214069</v>
          </cell>
          <cell r="P364">
            <v>-0.58651685393258424</v>
          </cell>
          <cell r="Q364">
            <v>-2.0903954802259928E-2</v>
          </cell>
          <cell r="R364">
            <v>5.1507537688442184E-2</v>
          </cell>
          <cell r="S364">
            <v>-1.1115685467270486E-2</v>
          </cell>
          <cell r="T364" t="e">
            <v>#VALUE!</v>
          </cell>
          <cell r="U364">
            <v>4.4717444717444765E-2</v>
          </cell>
          <cell r="V364">
            <v>5.2152819890842972E-2</v>
          </cell>
          <cell r="W364">
            <v>7.4408468244084647E-2</v>
          </cell>
          <cell r="X364">
            <v>-8.5533262935586163E-2</v>
          </cell>
          <cell r="Y364">
            <v>8.6884567645841848E-3</v>
          </cell>
          <cell r="Z364" t="str">
            <v>NA</v>
          </cell>
          <cell r="AA364">
            <v>-4.6557377049180282E-2</v>
          </cell>
          <cell r="AB364">
            <v>-4.6557377049180282E-2</v>
          </cell>
          <cell r="AC364">
            <v>-0.19089413055403182</v>
          </cell>
          <cell r="AD364" t="str">
            <v>NA</v>
          </cell>
          <cell r="AE364">
            <v>-1.0101010101010055E-2</v>
          </cell>
          <cell r="AF364">
            <v>0.11262014208106974</v>
          </cell>
          <cell r="AG364">
            <v>0.11896034655114951</v>
          </cell>
          <cell r="AH364">
            <v>5.2152819890842972E-2</v>
          </cell>
          <cell r="AI364">
            <v>-0.66368078175895762</v>
          </cell>
          <cell r="AJ364" t="e">
            <v>#VALUE!</v>
          </cell>
          <cell r="AK364">
            <v>-1.7006802721088454E-2</v>
          </cell>
          <cell r="AL364">
            <v>-0.12344998622209979</v>
          </cell>
          <cell r="AM364">
            <v>4.939558149228862E-2</v>
          </cell>
          <cell r="AN364">
            <v>3.9583333333333526E-2</v>
          </cell>
          <cell r="AO364" t="str">
            <v>NA</v>
          </cell>
          <cell r="AP364">
            <v>-3.1065989847715803E-2</v>
          </cell>
          <cell r="AQ364" t="e">
            <v>#VALUE!</v>
          </cell>
          <cell r="AR364">
            <v>-3.1065989847715803E-2</v>
          </cell>
          <cell r="AS364">
            <v>0.11896034655114951</v>
          </cell>
          <cell r="AT364" t="str">
            <v>NA</v>
          </cell>
          <cell r="AU364">
            <v>2.6336665080120447E-2</v>
          </cell>
          <cell r="AV364">
            <v>2.6336665080120447E-2</v>
          </cell>
          <cell r="AW364" t="e">
            <v>#VALUE!</v>
          </cell>
          <cell r="AX364" t="e">
            <v>#VALUE!</v>
          </cell>
          <cell r="AY364" t="e">
            <v>#VALUE!</v>
          </cell>
          <cell r="AZ364" t="e">
            <v>#VALUE!</v>
          </cell>
          <cell r="BA364" t="e">
            <v>#VALUE!</v>
          </cell>
          <cell r="BB364" t="e">
            <v>#VALUE!</v>
          </cell>
          <cell r="BC364" t="e">
            <v>#VALUE!</v>
          </cell>
          <cell r="BD364" t="e">
            <v>#VALUE!</v>
          </cell>
          <cell r="BE364" t="e">
            <v>#VALUE!</v>
          </cell>
        </row>
        <row r="365">
          <cell r="H365">
            <v>-6.7297297297297387E-2</v>
          </cell>
          <cell r="I365">
            <v>-0.63717948717948714</v>
          </cell>
          <cell r="J365">
            <v>6.0904449307074948E-2</v>
          </cell>
          <cell r="K365">
            <v>0.32089552238805963</v>
          </cell>
          <cell r="L365">
            <v>-0.33123379029270095</v>
          </cell>
          <cell r="M365">
            <v>-0.20634920634920639</v>
          </cell>
          <cell r="N365">
            <v>-0.33664898320070735</v>
          </cell>
          <cell r="O365">
            <v>-0.39076464746772599</v>
          </cell>
          <cell r="P365">
            <v>-0.67529411764705882</v>
          </cell>
          <cell r="Q365">
            <v>-0.17001915708812265</v>
          </cell>
          <cell r="R365">
            <v>4.4617784711388442E-2</v>
          </cell>
          <cell r="S365">
            <v>-0.20986842105263159</v>
          </cell>
          <cell r="T365" t="e">
            <v>#VALUE!</v>
          </cell>
          <cell r="U365">
            <v>0.16174863387978156</v>
          </cell>
          <cell r="V365">
            <v>-3.0545725460979667E-2</v>
          </cell>
          <cell r="W365">
            <v>-6.7297297297297387E-2</v>
          </cell>
          <cell r="X365">
            <v>-0.26297872340425532</v>
          </cell>
          <cell r="Y365">
            <v>-8.9430894308943909E-3</v>
          </cell>
          <cell r="Z365" t="str">
            <v>NA</v>
          </cell>
          <cell r="AA365">
            <v>9.7192876546936313E-2</v>
          </cell>
          <cell r="AB365">
            <v>9.7192876546936313E-2</v>
          </cell>
          <cell r="AC365">
            <v>-0.22895974908520644</v>
          </cell>
          <cell r="AD365" t="str">
            <v>NA</v>
          </cell>
          <cell r="AE365">
            <v>-0.15969989281886388</v>
          </cell>
          <cell r="AF365">
            <v>0.24068033550792167</v>
          </cell>
          <cell r="AG365">
            <v>0.23365172667156497</v>
          </cell>
          <cell r="AH365">
            <v>-3.0545725460979667E-2</v>
          </cell>
          <cell r="AI365">
            <v>-0.65938144329896908</v>
          </cell>
          <cell r="AJ365" t="e">
            <v>#VALUE!</v>
          </cell>
          <cell r="AK365">
            <v>6.25E-2</v>
          </cell>
          <cell r="AL365">
            <v>-8.1072653570315456E-3</v>
          </cell>
          <cell r="AM365">
            <v>8.0008580008580132E-2</v>
          </cell>
          <cell r="AN365">
            <v>-0.25522388059701495</v>
          </cell>
          <cell r="AO365" t="str">
            <v>NA</v>
          </cell>
          <cell r="AP365">
            <v>0.19569030318215996</v>
          </cell>
          <cell r="AQ365" t="e">
            <v>#VALUE!</v>
          </cell>
          <cell r="AR365">
            <v>0.19569030318215996</v>
          </cell>
          <cell r="AS365">
            <v>0.23365172667156497</v>
          </cell>
          <cell r="AT365" t="str">
            <v>NA</v>
          </cell>
          <cell r="AU365">
            <v>-1.4623000761614713E-2</v>
          </cell>
          <cell r="AV365">
            <v>-1.4623000761614713E-2</v>
          </cell>
          <cell r="AW365" t="e">
            <v>#VALUE!</v>
          </cell>
          <cell r="AX365" t="e">
            <v>#VALUE!</v>
          </cell>
          <cell r="AY365" t="e">
            <v>#VALUE!</v>
          </cell>
          <cell r="AZ365" t="e">
            <v>#VALUE!</v>
          </cell>
          <cell r="BA365" t="e">
            <v>#VALUE!</v>
          </cell>
          <cell r="BB365" t="e">
            <v>#VALUE!</v>
          </cell>
          <cell r="BC365" t="e">
            <v>#VALUE!</v>
          </cell>
          <cell r="BD365" t="e">
            <v>#VALUE!</v>
          </cell>
          <cell r="BE365" t="e">
            <v>#VALUE!</v>
          </cell>
        </row>
        <row r="368">
          <cell r="H368" t="str">
            <v>NA</v>
          </cell>
          <cell r="I368" t="str">
            <v>NA</v>
          </cell>
          <cell r="J368" t="str">
            <v>NA</v>
          </cell>
          <cell r="K368" t="str">
            <v>NA</v>
          </cell>
          <cell r="L368" t="str">
            <v>NA</v>
          </cell>
          <cell r="M368" t="str">
            <v>NA</v>
          </cell>
          <cell r="N368" t="str">
            <v>NA</v>
          </cell>
          <cell r="O368" t="str">
            <v>NA</v>
          </cell>
          <cell r="P368" t="str">
            <v>NA</v>
          </cell>
          <cell r="Q368" t="str">
            <v>NA</v>
          </cell>
          <cell r="R368" t="str">
            <v>NA</v>
          </cell>
          <cell r="S368" t="str">
            <v>NA</v>
          </cell>
          <cell r="T368" t="str">
            <v>NA</v>
          </cell>
          <cell r="U368">
            <v>1.0693307896982774E-2</v>
          </cell>
          <cell r="V368">
            <v>0.26962970549622445</v>
          </cell>
          <cell r="W368">
            <v>0.18696819790456437</v>
          </cell>
          <cell r="X368">
            <v>0.19380520277577651</v>
          </cell>
          <cell r="Y368">
            <v>5.2594519010087125E-2</v>
          </cell>
          <cell r="Z368">
            <v>1.6443183851760568E-2</v>
          </cell>
          <cell r="AA368">
            <v>1.7640908278226348E-2</v>
          </cell>
          <cell r="AB368">
            <v>1.8085483627143288E-2</v>
          </cell>
          <cell r="AC368">
            <v>2.3776764772298026E-2</v>
          </cell>
          <cell r="AD368" t="str">
            <v>NA</v>
          </cell>
          <cell r="AE368">
            <v>9.4951978503645881E-3</v>
          </cell>
          <cell r="AF368">
            <v>6.1589367709245585E-2</v>
          </cell>
          <cell r="AG368">
            <v>9.1801786875638308E-2</v>
          </cell>
          <cell r="AH368">
            <v>0.12840506567192247</v>
          </cell>
          <cell r="AI368">
            <v>-0.3762399904386326</v>
          </cell>
          <cell r="AJ368">
            <v>5.7014234155848866E-2</v>
          </cell>
          <cell r="AK368">
            <v>7.4016158457127973E-2</v>
          </cell>
          <cell r="AL368">
            <v>2.0259684636452783E-2</v>
          </cell>
          <cell r="AM368">
            <v>0.18599818389465572</v>
          </cell>
          <cell r="AN368">
            <v>-1.0550700285228106E-2</v>
          </cell>
          <cell r="AO368" t="str">
            <v>NA</v>
          </cell>
          <cell r="AP368">
            <v>0.10256708201011942</v>
          </cell>
          <cell r="AQ368">
            <v>7.0224324920313538E-2</v>
          </cell>
          <cell r="AR368">
            <v>9.8081181987959801E-2</v>
          </cell>
          <cell r="AS368">
            <v>9.1801786875638308E-2</v>
          </cell>
          <cell r="AT368">
            <v>5.6732938030461574E-2</v>
          </cell>
          <cell r="AU368">
            <v>4.2896086300536124E-2</v>
          </cell>
          <cell r="AV368">
            <v>4.3864724300229654E-2</v>
          </cell>
          <cell r="AW368" t="str">
            <v>NA</v>
          </cell>
          <cell r="AX368" t="str">
            <v>NA</v>
          </cell>
          <cell r="AY368" t="str">
            <v>NA</v>
          </cell>
          <cell r="AZ368" t="str">
            <v>NA</v>
          </cell>
          <cell r="BA368" t="str">
            <v>NA</v>
          </cell>
          <cell r="BB368" t="str">
            <v>NA</v>
          </cell>
          <cell r="BC368" t="str">
            <v>NA</v>
          </cell>
          <cell r="BD368" t="str">
            <v>NA</v>
          </cell>
          <cell r="BE368" t="str">
            <v>NA</v>
          </cell>
        </row>
        <row r="369">
          <cell r="H369" t="str">
            <v>NA</v>
          </cell>
          <cell r="I369" t="str">
            <v>NA</v>
          </cell>
          <cell r="J369" t="str">
            <v>NA</v>
          </cell>
          <cell r="K369" t="str">
            <v>NA</v>
          </cell>
          <cell r="L369" t="str">
            <v>NA</v>
          </cell>
          <cell r="M369" t="str">
            <v>NA</v>
          </cell>
          <cell r="N369" t="str">
            <v>NA</v>
          </cell>
          <cell r="O369" t="str">
            <v>NA</v>
          </cell>
          <cell r="P369" t="str">
            <v>NA</v>
          </cell>
          <cell r="Q369" t="str">
            <v>NA</v>
          </cell>
          <cell r="R369" t="str">
            <v>NA</v>
          </cell>
          <cell r="S369" t="str">
            <v>NA</v>
          </cell>
          <cell r="T369" t="str">
            <v>NA</v>
          </cell>
          <cell r="U369">
            <v>9.1144133741653657E-2</v>
          </cell>
          <cell r="V369">
            <v>0.30463519892738433</v>
          </cell>
          <cell r="W369">
            <v>0.22234099810657673</v>
          </cell>
          <cell r="X369">
            <v>0.24490529491447746</v>
          </cell>
          <cell r="Y369">
            <v>5.6626710110702583E-2</v>
          </cell>
          <cell r="Z369">
            <v>2.0562085830529934E-2</v>
          </cell>
          <cell r="AA369">
            <v>1.8947336685949608E-2</v>
          </cell>
          <cell r="AB369">
            <v>1.9779493010378759E-2</v>
          </cell>
          <cell r="AC369">
            <v>2.9526577653195909E-2</v>
          </cell>
          <cell r="AD369" t="str">
            <v>NA</v>
          </cell>
          <cell r="AE369">
            <v>2.1632449686811436E-2</v>
          </cell>
          <cell r="AF369">
            <v>7.1737787681207435E-2</v>
          </cell>
          <cell r="AG369">
            <v>0.14368201229991615</v>
          </cell>
          <cell r="AH369">
            <v>0.13140653897996923</v>
          </cell>
          <cell r="AI369">
            <v>-0.10923867574997122</v>
          </cell>
          <cell r="AJ369">
            <v>6.8400569678198769E-2</v>
          </cell>
          <cell r="AK369">
            <v>0.10027365129007038</v>
          </cell>
          <cell r="AL369">
            <v>2.6509473304554627E-2</v>
          </cell>
          <cell r="AM369">
            <v>0.24651213661995836</v>
          </cell>
          <cell r="AN369">
            <v>1.8903591682419645E-3</v>
          </cell>
          <cell r="AO369" t="str">
            <v>NA</v>
          </cell>
          <cell r="AP369">
            <v>0.1109593136397737</v>
          </cell>
          <cell r="AQ369">
            <v>7.4231050658540979E-2</v>
          </cell>
          <cell r="AR369">
            <v>0.10599003507698727</v>
          </cell>
          <cell r="AS369">
            <v>0.1436820122999162</v>
          </cell>
          <cell r="AT369">
            <v>8.5055226136495757E-2</v>
          </cell>
          <cell r="AU369">
            <v>4.9586429958934496E-2</v>
          </cell>
          <cell r="AV369">
            <v>5.1493433399889148E-2</v>
          </cell>
          <cell r="AW369" t="str">
            <v>NA</v>
          </cell>
          <cell r="AX369" t="str">
            <v>NA</v>
          </cell>
          <cell r="AY369" t="str">
            <v>NA</v>
          </cell>
          <cell r="AZ369" t="str">
            <v>NA</v>
          </cell>
          <cell r="BA369" t="str">
            <v>NA</v>
          </cell>
          <cell r="BB369" t="str">
            <v>NA</v>
          </cell>
          <cell r="BC369" t="str">
            <v>NA</v>
          </cell>
          <cell r="BD369" t="str">
            <v>NA</v>
          </cell>
          <cell r="BE369" t="str">
            <v>NA</v>
          </cell>
        </row>
        <row r="370">
          <cell r="H370" t="str">
            <v>NA</v>
          </cell>
          <cell r="I370" t="str">
            <v>NA</v>
          </cell>
          <cell r="J370" t="str">
            <v>NA</v>
          </cell>
          <cell r="K370" t="str">
            <v>NA</v>
          </cell>
          <cell r="L370" t="str">
            <v>NA</v>
          </cell>
          <cell r="M370" t="str">
            <v>NA</v>
          </cell>
          <cell r="N370" t="str">
            <v>NA</v>
          </cell>
          <cell r="O370" t="str">
            <v>NA</v>
          </cell>
          <cell r="P370" t="str">
            <v>NA</v>
          </cell>
          <cell r="Q370" t="str">
            <v>NA</v>
          </cell>
          <cell r="R370" t="str">
            <v>NA</v>
          </cell>
          <cell r="S370" t="str">
            <v>NA</v>
          </cell>
          <cell r="T370" t="str">
            <v>NA</v>
          </cell>
          <cell r="U370" t="str">
            <v>NA</v>
          </cell>
          <cell r="V370" t="str">
            <v>NA</v>
          </cell>
          <cell r="W370" t="str">
            <v>NA</v>
          </cell>
          <cell r="X370" t="str">
            <v>NA</v>
          </cell>
          <cell r="Y370" t="str">
            <v>NA</v>
          </cell>
          <cell r="Z370" t="str">
            <v>NA</v>
          </cell>
          <cell r="AA370" t="str">
            <v>NA</v>
          </cell>
          <cell r="AB370" t="str">
            <v>NA</v>
          </cell>
          <cell r="AC370" t="str">
            <v>NA</v>
          </cell>
          <cell r="AD370" t="str">
            <v>NA</v>
          </cell>
          <cell r="AE370" t="str">
            <v>NA</v>
          </cell>
          <cell r="AF370" t="str">
            <v>NA</v>
          </cell>
          <cell r="AG370" t="str">
            <v>NA</v>
          </cell>
          <cell r="AH370" t="str">
            <v>NA</v>
          </cell>
          <cell r="AI370" t="str">
            <v>NA</v>
          </cell>
          <cell r="AJ370" t="str">
            <v>NA</v>
          </cell>
          <cell r="AK370" t="str">
            <v>NA</v>
          </cell>
          <cell r="AL370" t="str">
            <v>NA</v>
          </cell>
          <cell r="AM370" t="str">
            <v>NA</v>
          </cell>
          <cell r="AN370" t="str">
            <v>NA</v>
          </cell>
          <cell r="AO370" t="str">
            <v>NA</v>
          </cell>
          <cell r="AP370" t="str">
            <v>NA</v>
          </cell>
          <cell r="AQ370" t="str">
            <v>NA</v>
          </cell>
          <cell r="AR370" t="str">
            <v>NA</v>
          </cell>
          <cell r="AS370" t="str">
            <v>NA</v>
          </cell>
          <cell r="AT370" t="str">
            <v>NA</v>
          </cell>
          <cell r="AU370" t="str">
            <v>NA</v>
          </cell>
          <cell r="AV370" t="str">
            <v>NA</v>
          </cell>
          <cell r="AW370" t="str">
            <v>NA</v>
          </cell>
          <cell r="AX370" t="str">
            <v>NA</v>
          </cell>
          <cell r="AY370" t="str">
            <v>NA</v>
          </cell>
          <cell r="AZ370" t="str">
            <v>NA</v>
          </cell>
          <cell r="BA370" t="str">
            <v>NA</v>
          </cell>
          <cell r="BB370" t="str">
            <v>NA</v>
          </cell>
          <cell r="BC370" t="str">
            <v>NA</v>
          </cell>
          <cell r="BD370" t="str">
            <v>NA</v>
          </cell>
          <cell r="BE370" t="str">
            <v>NA</v>
          </cell>
        </row>
        <row r="371">
          <cell r="H371" t="str">
            <v>NA</v>
          </cell>
          <cell r="I371" t="str">
            <v>NA</v>
          </cell>
          <cell r="J371" t="str">
            <v>NA</v>
          </cell>
          <cell r="K371" t="str">
            <v>NA</v>
          </cell>
          <cell r="L371" t="str">
            <v>NA</v>
          </cell>
          <cell r="M371" t="str">
            <v>NA</v>
          </cell>
          <cell r="N371" t="str">
            <v>NA</v>
          </cell>
          <cell r="O371" t="str">
            <v>NA</v>
          </cell>
          <cell r="P371" t="str">
            <v>NA</v>
          </cell>
          <cell r="Q371" t="str">
            <v>NA</v>
          </cell>
          <cell r="R371" t="str">
            <v>NA</v>
          </cell>
          <cell r="S371" t="str">
            <v>NA</v>
          </cell>
          <cell r="T371" t="str">
            <v>NA</v>
          </cell>
          <cell r="U371">
            <v>2.5678999949796662E-2</v>
          </cell>
          <cell r="V371">
            <v>0.27540828297688108</v>
          </cell>
          <cell r="W371">
            <v>0.20063708001654312</v>
          </cell>
          <cell r="X371">
            <v>0.15859158068885848</v>
          </cell>
          <cell r="Y371">
            <v>5.809255882492962E-2</v>
          </cell>
          <cell r="Z371">
            <v>7.4723437100795318E-3</v>
          </cell>
          <cell r="AA371">
            <v>1.5289612129255312E-2</v>
          </cell>
          <cell r="AB371">
            <v>1.317572296661065E-2</v>
          </cell>
          <cell r="AC371">
            <v>1.9621385529127709E-2</v>
          </cell>
          <cell r="AD371" t="str">
            <v>NA</v>
          </cell>
          <cell r="AE371">
            <v>1.7287513736093773E-3</v>
          </cell>
          <cell r="AF371">
            <v>5.9480187375475835E-2</v>
          </cell>
          <cell r="AG371">
            <v>7.8066385916670172E-2</v>
          </cell>
          <cell r="AH371">
            <v>0.11831133820256415</v>
          </cell>
          <cell r="AI371">
            <v>-1.1728616389785422</v>
          </cell>
          <cell r="AJ371">
            <v>4.9451750360423978E-2</v>
          </cell>
          <cell r="AK371">
            <v>4.2839457909825393E-2</v>
          </cell>
          <cell r="AL371">
            <v>1.7205234268453502E-2</v>
          </cell>
          <cell r="AM371">
            <v>0.17197296699215819</v>
          </cell>
          <cell r="AN371">
            <v>-8.7516628159350282E-3</v>
          </cell>
          <cell r="AO371" t="str">
            <v>NA</v>
          </cell>
          <cell r="AP371">
            <v>9.4578724412380202E-2</v>
          </cell>
          <cell r="AQ371">
            <v>6.934894319374002E-2</v>
          </cell>
          <cell r="AR371">
            <v>9.4715979021457106E-2</v>
          </cell>
          <cell r="AS371">
            <v>7.8066385916670186E-2</v>
          </cell>
          <cell r="AT371">
            <v>5.864899430298802E-2</v>
          </cell>
          <cell r="AU371">
            <v>3.9514769359205469E-2</v>
          </cell>
          <cell r="AV371">
            <v>4.0318621536564375E-2</v>
          </cell>
          <cell r="AW371" t="str">
            <v>NA</v>
          </cell>
          <cell r="AX371" t="str">
            <v>NA</v>
          </cell>
          <cell r="AY371" t="str">
            <v>NA</v>
          </cell>
          <cell r="AZ371" t="str">
            <v>NA</v>
          </cell>
          <cell r="BA371" t="str">
            <v>NA</v>
          </cell>
          <cell r="BB371" t="str">
            <v>NA</v>
          </cell>
          <cell r="BC371" t="str">
            <v>NA</v>
          </cell>
          <cell r="BD371" t="str">
            <v>NA</v>
          </cell>
          <cell r="BE371" t="str">
            <v>NA</v>
          </cell>
        </row>
        <row r="372">
          <cell r="H372" t="str">
            <v>NA</v>
          </cell>
          <cell r="I372" t="str">
            <v>NA</v>
          </cell>
          <cell r="J372" t="str">
            <v>NA</v>
          </cell>
          <cell r="K372" t="str">
            <v>NA</v>
          </cell>
          <cell r="L372" t="str">
            <v>NA</v>
          </cell>
          <cell r="M372" t="str">
            <v>NA</v>
          </cell>
          <cell r="N372" t="str">
            <v>NA</v>
          </cell>
          <cell r="O372" t="str">
            <v>NA</v>
          </cell>
          <cell r="P372" t="str">
            <v>NA</v>
          </cell>
          <cell r="Q372" t="str">
            <v>NA</v>
          </cell>
          <cell r="R372" t="str">
            <v>NA</v>
          </cell>
          <cell r="S372" t="str">
            <v>NA</v>
          </cell>
          <cell r="T372" t="str">
            <v>NA</v>
          </cell>
          <cell r="U372">
            <v>-4.3927908027512038E-3</v>
          </cell>
          <cell r="V372">
            <v>0.20653206128125329</v>
          </cell>
          <cell r="W372">
            <v>0.12526303691905261</v>
          </cell>
          <cell r="X372">
            <v>0.1468841579511618</v>
          </cell>
          <cell r="Y372">
            <v>3.6255398674314765E-2</v>
          </cell>
          <cell r="Z372">
            <v>3.9994658745698764E-3</v>
          </cell>
          <cell r="AA372">
            <v>7.3751108439257503E-3</v>
          </cell>
          <cell r="AB372">
            <v>8.028278223140747E-3</v>
          </cell>
          <cell r="AC372">
            <v>9.3050110067772526E-3</v>
          </cell>
          <cell r="AD372" t="str">
            <v>NA</v>
          </cell>
          <cell r="AE372">
            <v>6.0696381994441457E-3</v>
          </cell>
          <cell r="AF372">
            <v>3.7696811836836451E-2</v>
          </cell>
          <cell r="AG372">
            <v>4.6554960150150961E-2</v>
          </cell>
          <cell r="AH372">
            <v>6.8077803203661316E-2</v>
          </cell>
          <cell r="AI372">
            <v>-0.83697860643003408</v>
          </cell>
          <cell r="AJ372">
            <v>3.2146262804111009E-2</v>
          </cell>
          <cell r="AK372">
            <v>2.8448788115715409E-2</v>
          </cell>
          <cell r="AL372">
            <v>1.1051249394181891E-2</v>
          </cell>
          <cell r="AM372">
            <v>0.11997147815883208</v>
          </cell>
          <cell r="AN372">
            <v>-9.3482979157344243E-3</v>
          </cell>
          <cell r="AO372" t="str">
            <v>NA</v>
          </cell>
          <cell r="AP372">
            <v>7.5426295809524882E-2</v>
          </cell>
          <cell r="AQ372">
            <v>5.1325100735721586E-2</v>
          </cell>
          <cell r="AR372">
            <v>5.7305606632530051E-2</v>
          </cell>
          <cell r="AS372">
            <v>4.6554960150150967E-2</v>
          </cell>
          <cell r="AT372">
            <v>3.3876991047552617E-2</v>
          </cell>
          <cell r="AU372">
            <v>3.0233637340932366E-2</v>
          </cell>
          <cell r="AV372">
            <v>3.0552129273036521E-2</v>
          </cell>
          <cell r="AW372" t="str">
            <v>NA</v>
          </cell>
          <cell r="AX372" t="str">
            <v>NA</v>
          </cell>
          <cell r="AY372" t="str">
            <v>NA</v>
          </cell>
          <cell r="AZ372" t="str">
            <v>NA</v>
          </cell>
          <cell r="BA372" t="str">
            <v>NA</v>
          </cell>
          <cell r="BB372" t="str">
            <v>NA</v>
          </cell>
          <cell r="BC372" t="str">
            <v>NA</v>
          </cell>
          <cell r="BD372" t="str">
            <v>NA</v>
          </cell>
          <cell r="BE372" t="str">
            <v>NA</v>
          </cell>
        </row>
        <row r="373">
          <cell r="H373" t="str">
            <v>NA</v>
          </cell>
          <cell r="I373" t="str">
            <v>NA</v>
          </cell>
          <cell r="J373" t="str">
            <v>NA</v>
          </cell>
          <cell r="K373" t="str">
            <v>NA</v>
          </cell>
          <cell r="L373" t="str">
            <v>NA</v>
          </cell>
          <cell r="M373" t="str">
            <v>NA</v>
          </cell>
          <cell r="N373" t="str">
            <v>NA</v>
          </cell>
          <cell r="O373" t="str">
            <v>NA</v>
          </cell>
          <cell r="P373" t="str">
            <v>NA</v>
          </cell>
          <cell r="Q373" t="str">
            <v>NA</v>
          </cell>
          <cell r="R373" t="str">
            <v>NA</v>
          </cell>
          <cell r="S373" t="str">
            <v>NA</v>
          </cell>
          <cell r="T373" t="str">
            <v>NA</v>
          </cell>
          <cell r="U373">
            <v>0.67948943220041169</v>
          </cell>
          <cell r="V373">
            <v>0.63776873585907012</v>
          </cell>
          <cell r="W373">
            <v>0.55173963082656829</v>
          </cell>
          <cell r="X373">
            <v>0.5541208916263658</v>
          </cell>
          <cell r="Y373">
            <v>0.11112218247602222</v>
          </cell>
          <cell r="Z373">
            <v>6.3213027440768607E-2</v>
          </cell>
          <cell r="AA373">
            <v>4.2909573555369403E-2</v>
          </cell>
          <cell r="AB373">
            <v>5.1639957459606381E-2</v>
          </cell>
          <cell r="AC373">
            <v>0.10691364573343819</v>
          </cell>
          <cell r="AD373" t="str">
            <v>NA</v>
          </cell>
          <cell r="AE373">
            <v>0.2260176519349755</v>
          </cell>
          <cell r="AF373">
            <v>0.27508069299670168</v>
          </cell>
          <cell r="AG373">
            <v>0.38174374927360266</v>
          </cell>
          <cell r="AH373">
            <v>0.19715682893953174</v>
          </cell>
          <cell r="AI373">
            <v>9.2147723198266154E-2</v>
          </cell>
          <cell r="AJ373">
            <v>0.23024886993596916</v>
          </cell>
          <cell r="AK373">
            <v>0.26081574146468567</v>
          </cell>
          <cell r="AL373">
            <v>7.61893759228158E-2</v>
          </cell>
          <cell r="AM373">
            <v>0.48022929389790292</v>
          </cell>
          <cell r="AN373">
            <v>0.11898912967376826</v>
          </cell>
          <cell r="AO373" t="str">
            <v>NA</v>
          </cell>
          <cell r="AP373">
            <v>0.35655872249454262</v>
          </cell>
          <cell r="AQ373">
            <v>0.25830443237174988</v>
          </cell>
          <cell r="AR373">
            <v>0.3461197772604111</v>
          </cell>
          <cell r="AS373">
            <v>0.38174374927360272</v>
          </cell>
          <cell r="AT373">
            <v>0.30281595163353076</v>
          </cell>
          <cell r="AU373">
            <v>9.2319280269199513E-2</v>
          </cell>
          <cell r="AV373">
            <v>9.8681537232598676E-2</v>
          </cell>
          <cell r="AW373" t="str">
            <v>NA</v>
          </cell>
          <cell r="AX373" t="str">
            <v>NA</v>
          </cell>
          <cell r="AY373" t="str">
            <v>NA</v>
          </cell>
          <cell r="AZ373" t="str">
            <v>NA</v>
          </cell>
          <cell r="BA373" t="str">
            <v>NA</v>
          </cell>
          <cell r="BB373" t="str">
            <v>NA</v>
          </cell>
          <cell r="BC373" t="str">
            <v>NA</v>
          </cell>
          <cell r="BD373" t="str">
            <v>NA</v>
          </cell>
          <cell r="BE373" t="str">
            <v>NA</v>
          </cell>
        </row>
        <row r="374">
          <cell r="H374" t="e">
            <v>#DIV/0!</v>
          </cell>
          <cell r="I374" t="e">
            <v>#DIV/0!</v>
          </cell>
          <cell r="J374" t="e">
            <v>#DIV/0!</v>
          </cell>
          <cell r="K374" t="e">
            <v>#DIV/0!</v>
          </cell>
          <cell r="L374" t="e">
            <v>#DIV/0!</v>
          </cell>
          <cell r="M374" t="e">
            <v>#DIV/0!</v>
          </cell>
          <cell r="N374" t="e">
            <v>#DIV/0!</v>
          </cell>
          <cell r="O374" t="e">
            <v>#DIV/0!</v>
          </cell>
          <cell r="P374" t="e">
            <v>#DIV/0!</v>
          </cell>
          <cell r="Q374" t="e">
            <v>#DIV/0!</v>
          </cell>
          <cell r="R374" t="e">
            <v>#DIV/0!</v>
          </cell>
          <cell r="S374" t="e">
            <v>#DIV/0!</v>
          </cell>
          <cell r="T374" t="e">
            <v>#VALUE!</v>
          </cell>
          <cell r="U374">
            <v>-3.822295998602186E-3</v>
          </cell>
          <cell r="V374">
            <v>0.37671689298751965</v>
          </cell>
          <cell r="W374">
            <v>4.1256688141224546E-2</v>
          </cell>
          <cell r="X374">
            <v>0.24927516928699672</v>
          </cell>
          <cell r="Y374">
            <v>0.12074273725816977</v>
          </cell>
          <cell r="Z374" t="e">
            <v>#N/A</v>
          </cell>
          <cell r="AA374">
            <v>0.13990141195717892</v>
          </cell>
          <cell r="AB374">
            <v>9.0242074426385918E-2</v>
          </cell>
          <cell r="AC374">
            <v>9.4834579175022929E-2</v>
          </cell>
          <cell r="AD374" t="e">
            <v>#N/A</v>
          </cell>
          <cell r="AE374">
            <v>3.3231314928966874E-2</v>
          </cell>
          <cell r="AF374">
            <v>0.13915680107431885</v>
          </cell>
          <cell r="AG374">
            <v>0.1533777068091832</v>
          </cell>
          <cell r="AH374" t="e">
            <v>#DIV/0!</v>
          </cell>
          <cell r="AI374" t="e">
            <v>#DIV/0!</v>
          </cell>
          <cell r="AJ374" t="e">
            <v>#VALUE!</v>
          </cell>
          <cell r="AK374">
            <v>1.9234889867841412</v>
          </cell>
          <cell r="AL374">
            <v>9.8562525130679521E-2</v>
          </cell>
          <cell r="AM374">
            <v>0.17564987941666813</v>
          </cell>
          <cell r="AN374">
            <v>-4.0672803125620827E-2</v>
          </cell>
          <cell r="AO374" t="e">
            <v>#N/A</v>
          </cell>
          <cell r="AP374" t="e">
            <v>#DIV/0!</v>
          </cell>
          <cell r="AQ374" t="e">
            <v>#VALUE!</v>
          </cell>
          <cell r="AR374">
            <v>0.14656633835404384</v>
          </cell>
          <cell r="AS374">
            <v>0.1533777068091832</v>
          </cell>
          <cell r="AT374" t="e">
            <v>#N/A</v>
          </cell>
          <cell r="AU374" t="e">
            <v>#DIV/0!</v>
          </cell>
          <cell r="AV374">
            <v>0.2160472539861491</v>
          </cell>
          <cell r="AW374" t="e">
            <v>#VALUE!</v>
          </cell>
          <cell r="AX374" t="e">
            <v>#VALUE!</v>
          </cell>
          <cell r="AY374" t="e">
            <v>#VALUE!</v>
          </cell>
          <cell r="AZ374" t="e">
            <v>#VALUE!</v>
          </cell>
          <cell r="BA374" t="e">
            <v>#VALUE!</v>
          </cell>
          <cell r="BB374" t="e">
            <v>#VALUE!</v>
          </cell>
          <cell r="BC374" t="e">
            <v>#VALUE!</v>
          </cell>
          <cell r="BD374" t="e">
            <v>#VALUE!</v>
          </cell>
          <cell r="BE374" t="e">
            <v>#VALUE!</v>
          </cell>
        </row>
        <row r="375">
          <cell r="H375" t="e">
            <v>#DIV/0!</v>
          </cell>
          <cell r="I375" t="e">
            <v>#DIV/0!</v>
          </cell>
          <cell r="J375" t="e">
            <v>#DIV/0!</v>
          </cell>
          <cell r="K375" t="e">
            <v>#DIV/0!</v>
          </cell>
          <cell r="L375" t="e">
            <v>#DIV/0!</v>
          </cell>
          <cell r="M375" t="e">
            <v>#DIV/0!</v>
          </cell>
          <cell r="N375" t="e">
            <v>#DIV/0!</v>
          </cell>
          <cell r="O375" t="e">
            <v>#DIV/0!</v>
          </cell>
          <cell r="P375" t="e">
            <v>#DIV/0!</v>
          </cell>
          <cell r="Q375" t="e">
            <v>#DIV/0!</v>
          </cell>
          <cell r="R375" t="e">
            <v>#DIV/0!</v>
          </cell>
          <cell r="S375" t="e">
            <v>#DIV/0!</v>
          </cell>
          <cell r="T375" t="e">
            <v>#DIV/0!</v>
          </cell>
          <cell r="U375">
            <v>-3.2447064931212686E-3</v>
          </cell>
          <cell r="V375">
            <v>0.19187763284817308</v>
          </cell>
          <cell r="W375">
            <v>3.4765921754830974E-2</v>
          </cell>
          <cell r="X375">
            <v>0.10140055415349639</v>
          </cell>
          <cell r="Y375">
            <v>8.0003029399836806E-2</v>
          </cell>
          <cell r="Z375">
            <v>1.5008299421367445E-2</v>
          </cell>
          <cell r="AA375">
            <v>3.405197607709845E-2</v>
          </cell>
          <cell r="AB375">
            <v>2.8516979035999163E-2</v>
          </cell>
          <cell r="AC375">
            <v>3.5983188930038768E-2</v>
          </cell>
          <cell r="AD375" t="e">
            <v>#DIV/0!</v>
          </cell>
          <cell r="AE375">
            <v>1.6104089884958001E-2</v>
          </cell>
          <cell r="AF375">
            <v>7.5174930642472548E-2</v>
          </cell>
          <cell r="AG375">
            <v>6.3349322224671129E-2</v>
          </cell>
          <cell r="AH375" t="e">
            <v>#DIV/0!</v>
          </cell>
          <cell r="AI375" t="e">
            <v>#DIV/0!</v>
          </cell>
          <cell r="AJ375">
            <v>5.3267346331524482E-2</v>
          </cell>
          <cell r="AK375" t="e">
            <v>#DIV/0!</v>
          </cell>
          <cell r="AL375">
            <v>3.0429284112686104E-2</v>
          </cell>
          <cell r="AM375">
            <v>9.8277402031668251E-2</v>
          </cell>
          <cell r="AN375">
            <v>-2.9025916334284797E-2</v>
          </cell>
          <cell r="AO375" t="e">
            <v>#DIV/0!</v>
          </cell>
          <cell r="AP375" t="e">
            <v>#DIV/0!</v>
          </cell>
          <cell r="AQ375" t="e">
            <v>#DIV/0!</v>
          </cell>
          <cell r="AR375">
            <v>0.11046693913337828</v>
          </cell>
          <cell r="AS375">
            <v>6.3349322224671129E-2</v>
          </cell>
          <cell r="AT375">
            <v>4.7456920420860617E-2</v>
          </cell>
          <cell r="AU375">
            <v>7.9752714298895841E-2</v>
          </cell>
          <cell r="AV375">
            <v>7.88878221040408E-2</v>
          </cell>
          <cell r="AW375" t="e">
            <v>#DIV/0!</v>
          </cell>
          <cell r="AX375" t="e">
            <v>#DIV/0!</v>
          </cell>
          <cell r="AY375" t="e">
            <v>#DIV/0!</v>
          </cell>
          <cell r="AZ375" t="e">
            <v>#DIV/0!</v>
          </cell>
          <cell r="BA375" t="e">
            <v>#DIV/0!</v>
          </cell>
          <cell r="BB375" t="e">
            <v>#DIV/0!</v>
          </cell>
          <cell r="BC375" t="e">
            <v>#DIV/0!</v>
          </cell>
          <cell r="BD375" t="e">
            <v>#DIV/0!</v>
          </cell>
          <cell r="BE375" t="e">
            <v>#DIV/0!</v>
          </cell>
        </row>
        <row r="376">
          <cell r="H376">
            <v>0.46767854722862168</v>
          </cell>
          <cell r="I376">
            <v>0.26498127340823974</v>
          </cell>
          <cell r="J376">
            <v>0.76431949553336831</v>
          </cell>
          <cell r="K376">
            <v>0.86764705882352944</v>
          </cell>
          <cell r="L376">
            <v>0.43027413587604291</v>
          </cell>
          <cell r="M376">
            <v>0.47006432459178621</v>
          </cell>
          <cell r="N376">
            <v>0.57733743747595234</v>
          </cell>
          <cell r="O376">
            <v>0.51018711018711016</v>
          </cell>
          <cell r="P376">
            <v>0.15206611570247933</v>
          </cell>
          <cell r="Q376">
            <v>0.70447154471544704</v>
          </cell>
          <cell r="R376">
            <v>0.84545454545454535</v>
          </cell>
          <cell r="S376">
            <v>0.58656898656898648</v>
          </cell>
          <cell r="T376" t="e">
            <v>#VALUE!</v>
          </cell>
          <cell r="U376">
            <v>0.79151154132539103</v>
          </cell>
          <cell r="V376">
            <v>0.80299290342486895</v>
          </cell>
          <cell r="W376">
            <v>0.46767854722862168</v>
          </cell>
          <cell r="X376">
            <v>0.61584225762367029</v>
          </cell>
          <cell r="Y376">
            <v>0.67797552836484976</v>
          </cell>
          <cell r="Z376" t="e">
            <v>#N/A</v>
          </cell>
          <cell r="AA376">
            <v>0.87748943874471952</v>
          </cell>
          <cell r="AB376">
            <v>0.87748943874471952</v>
          </cell>
          <cell r="AC376">
            <v>0.70574162679425845</v>
          </cell>
          <cell r="AD376" t="e">
            <v>#N/A</v>
          </cell>
          <cell r="AE376">
            <v>0.74809160305343503</v>
          </cell>
          <cell r="AF376">
            <v>0.99812558575445176</v>
          </cell>
          <cell r="AG376">
            <v>0.93798882681564244</v>
          </cell>
          <cell r="AH376">
            <v>0.80299290342486895</v>
          </cell>
          <cell r="AI376">
            <v>0.86938217029786347</v>
          </cell>
          <cell r="AJ376" t="e">
            <v>#VALUE!</v>
          </cell>
          <cell r="AK376">
            <v>0.86449297038588091</v>
          </cell>
          <cell r="AL376">
            <v>0.75576146353052975</v>
          </cell>
          <cell r="AM376">
            <v>0.95359848484848497</v>
          </cell>
          <cell r="AN376">
            <v>0.61226993865030677</v>
          </cell>
          <cell r="AO376" t="e">
            <v>#N/A</v>
          </cell>
          <cell r="AP376">
            <v>0.89246306340003745</v>
          </cell>
          <cell r="AQ376" t="e">
            <v>#VALUE!</v>
          </cell>
          <cell r="AR376">
            <v>0.89246306340003745</v>
          </cell>
          <cell r="AS376">
            <v>0.93798882681564244</v>
          </cell>
          <cell r="AT376" t="e">
            <v>#N/A</v>
          </cell>
          <cell r="AU376">
            <v>0.84451697127937342</v>
          </cell>
          <cell r="AV376">
            <v>0.84451697127937342</v>
          </cell>
          <cell r="AW376" t="e">
            <v>#VALUE!</v>
          </cell>
          <cell r="AX376" t="e">
            <v>#VALUE!</v>
          </cell>
          <cell r="AY376" t="e">
            <v>#VALUE!</v>
          </cell>
          <cell r="AZ376" t="e">
            <v>#VALUE!</v>
          </cell>
          <cell r="BA376" t="e">
            <v>#VALUE!</v>
          </cell>
          <cell r="BB376" t="e">
            <v>#VALUE!</v>
          </cell>
          <cell r="BC376" t="e">
            <v>#VALUE!</v>
          </cell>
          <cell r="BD376" t="e">
            <v>#VALUE!</v>
          </cell>
          <cell r="BE376" t="e">
            <v>#VALUE!</v>
          </cell>
        </row>
        <row r="377">
          <cell r="H377">
            <v>1.298344620015049</v>
          </cell>
          <cell r="I377">
            <v>1.0884615384615384</v>
          </cell>
          <cell r="J377">
            <v>1.3344036697247705</v>
          </cell>
          <cell r="K377">
            <v>2.1071428571428572</v>
          </cell>
          <cell r="L377">
            <v>1.3079710144927537</v>
          </cell>
          <cell r="M377">
            <v>1.4615384615384615</v>
          </cell>
          <cell r="N377">
            <v>1.2076458752515091</v>
          </cell>
          <cell r="O377">
            <v>1.2331658291457286</v>
          </cell>
          <cell r="P377">
            <v>1.2897196261682242</v>
          </cell>
          <cell r="Q377">
            <v>1.2093510118632238</v>
          </cell>
          <cell r="R377">
            <v>1.4993282579489475</v>
          </cell>
          <cell r="S377">
            <v>1.3449048152295633</v>
          </cell>
          <cell r="T377" t="e">
            <v>#VALUE!</v>
          </cell>
          <cell r="U377">
            <v>1.1811111111111112</v>
          </cell>
          <cell r="V377">
            <v>1.7794871794871794</v>
          </cell>
          <cell r="W377">
            <v>1.298344620015049</v>
          </cell>
          <cell r="X377">
            <v>1.2711926605504587</v>
          </cell>
          <cell r="Y377">
            <v>1.3425110132158589</v>
          </cell>
          <cell r="Z377" t="e">
            <v>#N/A</v>
          </cell>
          <cell r="AA377">
            <v>1.3500213552208873</v>
          </cell>
          <cell r="AB377">
            <v>1.3500213552208873</v>
          </cell>
          <cell r="AC377">
            <v>1.1115297663903543</v>
          </cell>
          <cell r="AD377" t="e">
            <v>#N/A</v>
          </cell>
          <cell r="AE377">
            <v>1.7230769230769232</v>
          </cell>
          <cell r="AF377">
            <v>1.6692789968652038</v>
          </cell>
          <cell r="AG377">
            <v>1.6380487804878048</v>
          </cell>
          <cell r="AH377">
            <v>1.7794871794871794</v>
          </cell>
          <cell r="AI377">
            <v>1.6920612419647574</v>
          </cell>
          <cell r="AJ377" t="e">
            <v>#VALUE!</v>
          </cell>
          <cell r="AK377">
            <v>1.3761904761904762</v>
          </cell>
          <cell r="AL377">
            <v>1.2003773584905659</v>
          </cell>
          <cell r="AM377">
            <v>1.3889655172413793</v>
          </cell>
          <cell r="AN377">
            <v>2.8514285714285714</v>
          </cell>
          <cell r="AO377" t="e">
            <v>#N/A</v>
          </cell>
          <cell r="AP377">
            <v>1.454878048780488</v>
          </cell>
          <cell r="AQ377" t="e">
            <v>#VALUE!</v>
          </cell>
          <cell r="AR377">
            <v>1.454878048780488</v>
          </cell>
          <cell r="AS377">
            <v>1.6380487804878048</v>
          </cell>
          <cell r="AT377" t="e">
            <v>#N/A</v>
          </cell>
          <cell r="AU377">
            <v>1.3881974248927038</v>
          </cell>
          <cell r="AV377">
            <v>1.3881974248927038</v>
          </cell>
          <cell r="AW377" t="e">
            <v>#VALUE!</v>
          </cell>
          <cell r="AX377" t="e">
            <v>#VALUE!</v>
          </cell>
          <cell r="AY377" t="e">
            <v>#VALUE!</v>
          </cell>
          <cell r="AZ377" t="e">
            <v>#VALUE!</v>
          </cell>
          <cell r="BA377" t="e">
            <v>#VALUE!</v>
          </cell>
          <cell r="BB377" t="e">
            <v>#VALUE!</v>
          </cell>
          <cell r="BC377" t="e">
            <v>#VALUE!</v>
          </cell>
          <cell r="BD377" t="e">
            <v>#VALUE!</v>
          </cell>
          <cell r="BE377" t="e">
            <v>#VALUE!</v>
          </cell>
        </row>
        <row r="378">
          <cell r="H378">
            <v>0.29834462001504902</v>
          </cell>
          <cell r="I378">
            <v>8.8461538461538369E-2</v>
          </cell>
          <cell r="J378">
            <v>0.33440366972477054</v>
          </cell>
          <cell r="K378">
            <v>1.1071428571428572</v>
          </cell>
          <cell r="L378">
            <v>0.30797101449275366</v>
          </cell>
          <cell r="M378">
            <v>0.46153846153846145</v>
          </cell>
          <cell r="N378">
            <v>0.20764587525150913</v>
          </cell>
          <cell r="O378">
            <v>0.23316582914572859</v>
          </cell>
          <cell r="P378">
            <v>0.28971962616822422</v>
          </cell>
          <cell r="Q378">
            <v>0.2093510118632238</v>
          </cell>
          <cell r="R378">
            <v>0.49932825794894753</v>
          </cell>
          <cell r="S378">
            <v>0.34490481522956329</v>
          </cell>
          <cell r="T378" t="e">
            <v>#VALUE!</v>
          </cell>
          <cell r="U378">
            <v>0.18111111111111122</v>
          </cell>
          <cell r="V378">
            <v>0.77948717948717938</v>
          </cell>
          <cell r="W378">
            <v>0.29834462001504902</v>
          </cell>
          <cell r="X378">
            <v>0.27119266055045865</v>
          </cell>
          <cell r="Y378">
            <v>0.34251101321585886</v>
          </cell>
          <cell r="Z378" t="e">
            <v>#N/A</v>
          </cell>
          <cell r="AA378">
            <v>0.35002135522088729</v>
          </cell>
          <cell r="AB378">
            <v>0.35002135522088729</v>
          </cell>
          <cell r="AC378">
            <v>0.11152976639035428</v>
          </cell>
          <cell r="AD378" t="e">
            <v>#N/A</v>
          </cell>
          <cell r="AE378">
            <v>0.72307692307692317</v>
          </cell>
          <cell r="AF378">
            <v>0.66927899686520376</v>
          </cell>
          <cell r="AG378">
            <v>0.63804878048780478</v>
          </cell>
          <cell r="AH378">
            <v>0.77948717948717938</v>
          </cell>
          <cell r="AI378">
            <v>0.69206124196475738</v>
          </cell>
          <cell r="AJ378" t="e">
            <v>#VALUE!</v>
          </cell>
          <cell r="AK378">
            <v>0.37619047619047619</v>
          </cell>
          <cell r="AL378">
            <v>0.20037735849056593</v>
          </cell>
          <cell r="AM378">
            <v>0.38896551724137929</v>
          </cell>
          <cell r="AN378">
            <v>1.8514285714285714</v>
          </cell>
          <cell r="AO378" t="e">
            <v>#N/A</v>
          </cell>
          <cell r="AP378">
            <v>0.45487804878048799</v>
          </cell>
          <cell r="AQ378" t="e">
            <v>#VALUE!</v>
          </cell>
          <cell r="AR378">
            <v>0.45487804878048799</v>
          </cell>
          <cell r="AS378">
            <v>0.63804878048780478</v>
          </cell>
          <cell r="AT378" t="e">
            <v>#N/A</v>
          </cell>
          <cell r="AU378">
            <v>0.38819742489270381</v>
          </cell>
          <cell r="AV378">
            <v>0.38819742489270381</v>
          </cell>
          <cell r="AW378" t="e">
            <v>#VALUE!</v>
          </cell>
          <cell r="AX378" t="e">
            <v>#VALUE!</v>
          </cell>
          <cell r="AY378" t="e">
            <v>#VALUE!</v>
          </cell>
          <cell r="AZ378" t="e">
            <v>#VALUE!</v>
          </cell>
          <cell r="BA378" t="e">
            <v>#VALUE!</v>
          </cell>
          <cell r="BB378" t="e">
            <v>#VALUE!</v>
          </cell>
          <cell r="BC378" t="e">
            <v>#VALUE!</v>
          </cell>
          <cell r="BD378" t="e">
            <v>#VALUE!</v>
          </cell>
          <cell r="BE378" t="e">
            <v>#VALUE!</v>
          </cell>
        </row>
        <row r="379">
          <cell r="H379" t="e">
            <v>#DIV/0!</v>
          </cell>
          <cell r="I379" t="e">
            <v>#DIV/0!</v>
          </cell>
          <cell r="J379" t="e">
            <v>#DIV/0!</v>
          </cell>
          <cell r="K379" t="e">
            <v>#DIV/0!</v>
          </cell>
          <cell r="L379" t="e">
            <v>#DIV/0!</v>
          </cell>
          <cell r="M379" t="e">
            <v>#DIV/0!</v>
          </cell>
          <cell r="N379" t="e">
            <v>#DIV/0!</v>
          </cell>
          <cell r="O379" t="e">
            <v>#DIV/0!</v>
          </cell>
          <cell r="P379" t="e">
            <v>#DIV/0!</v>
          </cell>
          <cell r="Q379" t="e">
            <v>#DIV/0!</v>
          </cell>
          <cell r="R379" t="e">
            <v>#DIV/0!</v>
          </cell>
          <cell r="S379" t="e">
            <v>#DIV/0!</v>
          </cell>
          <cell r="T379" t="e">
            <v>#DIV/0!</v>
          </cell>
          <cell r="U379" t="e">
            <v>#DIV/0!</v>
          </cell>
          <cell r="V379" t="e">
            <v>#DIV/0!</v>
          </cell>
          <cell r="W379" t="e">
            <v>#DIV/0!</v>
          </cell>
          <cell r="X379" t="e">
            <v>#DIV/0!</v>
          </cell>
          <cell r="Y379">
            <v>9.6752147494687746E-2</v>
          </cell>
          <cell r="Z379" t="e">
            <v>#DIV/0!</v>
          </cell>
          <cell r="AA379" t="e">
            <v>#DIV/0!</v>
          </cell>
          <cell r="AB379" t="e">
            <v>#DIV/0!</v>
          </cell>
          <cell r="AC379" t="e">
            <v>#DIV/0!</v>
          </cell>
          <cell r="AD379" t="e">
            <v>#DIV/0!</v>
          </cell>
          <cell r="AE379" t="e">
            <v>#DIV/0!</v>
          </cell>
          <cell r="AF379" t="e">
            <v>#DIV/0!</v>
          </cell>
          <cell r="AG379" t="e">
            <v>#DIV/0!</v>
          </cell>
          <cell r="AH379" t="e">
            <v>#DIV/0!</v>
          </cell>
          <cell r="AI379" t="e">
            <v>#DIV/0!</v>
          </cell>
          <cell r="AJ379" t="e">
            <v>#DIV/0!</v>
          </cell>
          <cell r="AK379" t="e">
            <v>#DIV/0!</v>
          </cell>
          <cell r="AL379" t="e">
            <v>#DIV/0!</v>
          </cell>
          <cell r="AM379" t="e">
            <v>#DIV/0!</v>
          </cell>
          <cell r="AN379" t="e">
            <v>#DIV/0!</v>
          </cell>
          <cell r="AO379" t="e">
            <v>#DIV/0!</v>
          </cell>
          <cell r="AP379" t="e">
            <v>#DIV/0!</v>
          </cell>
          <cell r="AQ379" t="e">
            <v>#DIV/0!</v>
          </cell>
          <cell r="AR379" t="e">
            <v>#DIV/0!</v>
          </cell>
          <cell r="AS379" t="e">
            <v>#DIV/0!</v>
          </cell>
          <cell r="AT379" t="e">
            <v>#DIV/0!</v>
          </cell>
          <cell r="AU379" t="e">
            <v>#DIV/0!</v>
          </cell>
          <cell r="AV379" t="e">
            <v>#DIV/0!</v>
          </cell>
          <cell r="AW379" t="e">
            <v>#DIV/0!</v>
          </cell>
          <cell r="AX379" t="e">
            <v>#DIV/0!</v>
          </cell>
          <cell r="AY379" t="e">
            <v>#DIV/0!</v>
          </cell>
          <cell r="AZ379" t="e">
            <v>#DIV/0!</v>
          </cell>
          <cell r="BA379" t="e">
            <v>#DIV/0!</v>
          </cell>
          <cell r="BB379" t="e">
            <v>#DIV/0!</v>
          </cell>
          <cell r="BC379" t="e">
            <v>#DIV/0!</v>
          </cell>
          <cell r="BD379" t="e">
            <v>#DIV/0!</v>
          </cell>
          <cell r="BE379" t="e">
            <v>#DIV/0!</v>
          </cell>
        </row>
        <row r="380">
          <cell r="H380" t="e">
            <v>#DIV/0!</v>
          </cell>
          <cell r="I380" t="e">
            <v>#DIV/0!</v>
          </cell>
          <cell r="J380" t="e">
            <v>#DIV/0!</v>
          </cell>
          <cell r="K380" t="e">
            <v>#DIV/0!</v>
          </cell>
          <cell r="L380" t="e">
            <v>#DIV/0!</v>
          </cell>
          <cell r="M380" t="e">
            <v>#DIV/0!</v>
          </cell>
          <cell r="N380" t="e">
            <v>#DIV/0!</v>
          </cell>
          <cell r="O380" t="e">
            <v>#DIV/0!</v>
          </cell>
          <cell r="P380" t="e">
            <v>#DIV/0!</v>
          </cell>
          <cell r="Q380" t="e">
            <v>#DIV/0!</v>
          </cell>
          <cell r="R380" t="e">
            <v>#DIV/0!</v>
          </cell>
          <cell r="S380" t="e">
            <v>#DIV/0!</v>
          </cell>
          <cell r="T380" t="e">
            <v>#DIV/0!</v>
          </cell>
          <cell r="U380" t="e">
            <v>#DIV/0!</v>
          </cell>
          <cell r="V380" t="e">
            <v>#DIV/0!</v>
          </cell>
          <cell r="W380" t="e">
            <v>#DIV/0!</v>
          </cell>
          <cell r="X380" t="e">
            <v>#DIV/0!</v>
          </cell>
          <cell r="Y380">
            <v>9.6752147494687746E-2</v>
          </cell>
          <cell r="Z380" t="e">
            <v>#DIV/0!</v>
          </cell>
          <cell r="AA380" t="e">
            <v>#DIV/0!</v>
          </cell>
          <cell r="AB380" t="e">
            <v>#DIV/0!</v>
          </cell>
          <cell r="AC380" t="e">
            <v>#DIV/0!</v>
          </cell>
          <cell r="AD380" t="e">
            <v>#DIV/0!</v>
          </cell>
          <cell r="AE380" t="e">
            <v>#DIV/0!</v>
          </cell>
          <cell r="AF380" t="e">
            <v>#DIV/0!</v>
          </cell>
          <cell r="AG380" t="e">
            <v>#DIV/0!</v>
          </cell>
          <cell r="AH380" t="e">
            <v>#DIV/0!</v>
          </cell>
          <cell r="AI380" t="e">
            <v>#DIV/0!</v>
          </cell>
          <cell r="AJ380" t="e">
            <v>#DIV/0!</v>
          </cell>
          <cell r="AK380" t="e">
            <v>#DIV/0!</v>
          </cell>
          <cell r="AL380" t="e">
            <v>#DIV/0!</v>
          </cell>
          <cell r="AM380" t="e">
            <v>#DIV/0!</v>
          </cell>
          <cell r="AN380" t="e">
            <v>#DIV/0!</v>
          </cell>
          <cell r="AO380" t="e">
            <v>#DIV/0!</v>
          </cell>
          <cell r="AP380" t="e">
            <v>#DIV/0!</v>
          </cell>
          <cell r="AQ380" t="e">
            <v>#DIV/0!</v>
          </cell>
          <cell r="AR380" t="e">
            <v>#DIV/0!</v>
          </cell>
          <cell r="AS380" t="e">
            <v>#DIV/0!</v>
          </cell>
          <cell r="AT380" t="e">
            <v>#DIV/0!</v>
          </cell>
          <cell r="AU380" t="e">
            <v>#DIV/0!</v>
          </cell>
          <cell r="AV380" t="e">
            <v>#DIV/0!</v>
          </cell>
          <cell r="AW380" t="e">
            <v>#DIV/0!</v>
          </cell>
          <cell r="AX380" t="e">
            <v>#DIV/0!</v>
          </cell>
          <cell r="AY380" t="e">
            <v>#DIV/0!</v>
          </cell>
          <cell r="AZ380" t="e">
            <v>#DIV/0!</v>
          </cell>
          <cell r="BA380" t="e">
            <v>#DIV/0!</v>
          </cell>
          <cell r="BB380" t="e">
            <v>#DIV/0!</v>
          </cell>
          <cell r="BC380" t="e">
            <v>#DIV/0!</v>
          </cell>
          <cell r="BD380" t="e">
            <v>#DIV/0!</v>
          </cell>
          <cell r="BE380" t="e">
            <v>#DIV/0!</v>
          </cell>
        </row>
        <row r="381">
          <cell r="H381" t="e">
            <v>#DIV/0!</v>
          </cell>
          <cell r="I381" t="e">
            <v>#DIV/0!</v>
          </cell>
          <cell r="J381" t="e">
            <v>#DIV/0!</v>
          </cell>
          <cell r="K381" t="e">
            <v>#DIV/0!</v>
          </cell>
          <cell r="L381" t="e">
            <v>#DIV/0!</v>
          </cell>
          <cell r="M381" t="e">
            <v>#DIV/0!</v>
          </cell>
          <cell r="N381" t="e">
            <v>#DIV/0!</v>
          </cell>
          <cell r="O381" t="e">
            <v>#DIV/0!</v>
          </cell>
          <cell r="P381" t="e">
            <v>#DIV/0!</v>
          </cell>
          <cell r="Q381" t="e">
            <v>#DIV/0!</v>
          </cell>
          <cell r="R381" t="e">
            <v>#DIV/0!</v>
          </cell>
          <cell r="S381" t="e">
            <v>#DIV/0!</v>
          </cell>
          <cell r="T381" t="e">
            <v>#DIV/0!</v>
          </cell>
          <cell r="U381" t="e">
            <v>#DIV/0!</v>
          </cell>
          <cell r="V381" t="e">
            <v>#DIV/0!</v>
          </cell>
          <cell r="W381" t="e">
            <v>#DIV/0!</v>
          </cell>
          <cell r="X381" t="e">
            <v>#DIV/0!</v>
          </cell>
          <cell r="Y381">
            <v>9.6752147494687746E-2</v>
          </cell>
          <cell r="Z381" t="e">
            <v>#DIV/0!</v>
          </cell>
          <cell r="AA381" t="e">
            <v>#DIV/0!</v>
          </cell>
          <cell r="AB381" t="e">
            <v>#DIV/0!</v>
          </cell>
          <cell r="AC381" t="e">
            <v>#DIV/0!</v>
          </cell>
          <cell r="AD381" t="e">
            <v>#DIV/0!</v>
          </cell>
          <cell r="AE381" t="e">
            <v>#DIV/0!</v>
          </cell>
          <cell r="AF381" t="e">
            <v>#DIV/0!</v>
          </cell>
          <cell r="AG381" t="e">
            <v>#DIV/0!</v>
          </cell>
          <cell r="AH381" t="e">
            <v>#DIV/0!</v>
          </cell>
          <cell r="AI381" t="e">
            <v>#DIV/0!</v>
          </cell>
          <cell r="AJ381" t="e">
            <v>#DIV/0!</v>
          </cell>
          <cell r="AK381" t="e">
            <v>#DIV/0!</v>
          </cell>
          <cell r="AL381" t="e">
            <v>#DIV/0!</v>
          </cell>
          <cell r="AM381" t="e">
            <v>#DIV/0!</v>
          </cell>
          <cell r="AN381" t="e">
            <v>#DIV/0!</v>
          </cell>
          <cell r="AO381" t="e">
            <v>#DIV/0!</v>
          </cell>
          <cell r="AP381" t="e">
            <v>#DIV/0!</v>
          </cell>
          <cell r="AQ381" t="e">
            <v>#DIV/0!</v>
          </cell>
          <cell r="AR381" t="e">
            <v>#DIV/0!</v>
          </cell>
          <cell r="AS381" t="e">
            <v>#DIV/0!</v>
          </cell>
          <cell r="AT381" t="e">
            <v>#DIV/0!</v>
          </cell>
          <cell r="AU381" t="e">
            <v>#DIV/0!</v>
          </cell>
          <cell r="AV381" t="e">
            <v>#DIV/0!</v>
          </cell>
          <cell r="AW381" t="e">
            <v>#DIV/0!</v>
          </cell>
          <cell r="AX381" t="e">
            <v>#DIV/0!</v>
          </cell>
          <cell r="AY381" t="e">
            <v>#DIV/0!</v>
          </cell>
          <cell r="AZ381" t="e">
            <v>#DIV/0!</v>
          </cell>
          <cell r="BA381" t="e">
            <v>#DIV/0!</v>
          </cell>
          <cell r="BB381" t="e">
            <v>#DIV/0!</v>
          </cell>
          <cell r="BC381" t="e">
            <v>#DIV/0!</v>
          </cell>
          <cell r="BD381" t="e">
            <v>#DIV/0!</v>
          </cell>
          <cell r="BE381" t="e">
            <v>#DIV/0!</v>
          </cell>
        </row>
        <row r="382">
          <cell r="H382" t="e">
            <v>#DIV/0!</v>
          </cell>
          <cell r="I382" t="e">
            <v>#DIV/0!</v>
          </cell>
          <cell r="J382" t="e">
            <v>#DIV/0!</v>
          </cell>
          <cell r="K382" t="e">
            <v>#DIV/0!</v>
          </cell>
          <cell r="L382" t="e">
            <v>#DIV/0!</v>
          </cell>
          <cell r="M382" t="e">
            <v>#DIV/0!</v>
          </cell>
          <cell r="N382" t="e">
            <v>#DIV/0!</v>
          </cell>
          <cell r="O382" t="e">
            <v>#DIV/0!</v>
          </cell>
          <cell r="P382" t="e">
            <v>#DIV/0!</v>
          </cell>
          <cell r="Q382" t="e">
            <v>#DIV/0!</v>
          </cell>
          <cell r="R382" t="e">
            <v>#DIV/0!</v>
          </cell>
          <cell r="S382" t="e">
            <v>#DIV/0!</v>
          </cell>
          <cell r="T382" t="e">
            <v>#DIV/0!</v>
          </cell>
          <cell r="U382" t="e">
            <v>#DIV/0!</v>
          </cell>
          <cell r="V382" t="e">
            <v>#DIV/0!</v>
          </cell>
          <cell r="W382" t="e">
            <v>#DIV/0!</v>
          </cell>
          <cell r="X382" t="e">
            <v>#DIV/0!</v>
          </cell>
          <cell r="Y382">
            <v>8.6972061948397295E-2</v>
          </cell>
          <cell r="Z382" t="e">
            <v>#DIV/0!</v>
          </cell>
          <cell r="AA382" t="e">
            <v>#DIV/0!</v>
          </cell>
          <cell r="AB382" t="e">
            <v>#DIV/0!</v>
          </cell>
          <cell r="AC382" t="e">
            <v>#DIV/0!</v>
          </cell>
          <cell r="AD382" t="e">
            <v>#DIV/0!</v>
          </cell>
          <cell r="AE382" t="e">
            <v>#DIV/0!</v>
          </cell>
          <cell r="AF382" t="e">
            <v>#DIV/0!</v>
          </cell>
          <cell r="AG382" t="e">
            <v>#DIV/0!</v>
          </cell>
          <cell r="AH382" t="e">
            <v>#DIV/0!</v>
          </cell>
          <cell r="AI382" t="e">
            <v>#DIV/0!</v>
          </cell>
          <cell r="AJ382" t="e">
            <v>#DIV/0!</v>
          </cell>
          <cell r="AK382" t="e">
            <v>#DIV/0!</v>
          </cell>
          <cell r="AL382" t="e">
            <v>#DIV/0!</v>
          </cell>
          <cell r="AM382" t="e">
            <v>#DIV/0!</v>
          </cell>
          <cell r="AN382" t="e">
            <v>#DIV/0!</v>
          </cell>
          <cell r="AO382" t="e">
            <v>#DIV/0!</v>
          </cell>
          <cell r="AP382" t="e">
            <v>#DIV/0!</v>
          </cell>
          <cell r="AQ382" t="e">
            <v>#DIV/0!</v>
          </cell>
          <cell r="AR382" t="e">
            <v>#DIV/0!</v>
          </cell>
          <cell r="AS382" t="e">
            <v>#DIV/0!</v>
          </cell>
          <cell r="AT382" t="e">
            <v>#DIV/0!</v>
          </cell>
          <cell r="AU382" t="e">
            <v>#DIV/0!</v>
          </cell>
          <cell r="AV382" t="e">
            <v>#DIV/0!</v>
          </cell>
          <cell r="AW382" t="e">
            <v>#DIV/0!</v>
          </cell>
          <cell r="AX382" t="e">
            <v>#DIV/0!</v>
          </cell>
          <cell r="AY382" t="e">
            <v>#DIV/0!</v>
          </cell>
          <cell r="AZ382" t="e">
            <v>#DIV/0!</v>
          </cell>
          <cell r="BA382" t="e">
            <v>#DIV/0!</v>
          </cell>
          <cell r="BB382" t="e">
            <v>#DIV/0!</v>
          </cell>
          <cell r="BC382" t="e">
            <v>#DIV/0!</v>
          </cell>
          <cell r="BD382" t="e">
            <v>#DIV/0!</v>
          </cell>
          <cell r="BE382" t="e">
            <v>#DIV/0!</v>
          </cell>
        </row>
        <row r="383">
          <cell r="H383" t="e">
            <v>#DIV/0!</v>
          </cell>
          <cell r="I383" t="e">
            <v>#DIV/0!</v>
          </cell>
          <cell r="J383" t="e">
            <v>#DIV/0!</v>
          </cell>
          <cell r="K383" t="e">
            <v>#DIV/0!</v>
          </cell>
          <cell r="L383" t="e">
            <v>#DIV/0!</v>
          </cell>
          <cell r="M383" t="e">
            <v>#DIV/0!</v>
          </cell>
          <cell r="N383" t="e">
            <v>#DIV/0!</v>
          </cell>
          <cell r="O383" t="e">
            <v>#DIV/0!</v>
          </cell>
          <cell r="P383" t="e">
            <v>#DIV/0!</v>
          </cell>
          <cell r="Q383" t="e">
            <v>#DIV/0!</v>
          </cell>
          <cell r="R383" t="e">
            <v>#DIV/0!</v>
          </cell>
          <cell r="S383" t="e">
            <v>#DIV/0!</v>
          </cell>
          <cell r="T383" t="e">
            <v>#DIV/0!</v>
          </cell>
          <cell r="U383" t="e">
            <v>#DIV/0!</v>
          </cell>
          <cell r="V383" t="e">
            <v>#DIV/0!</v>
          </cell>
          <cell r="W383" t="e">
            <v>#DIV/0!</v>
          </cell>
          <cell r="X383" t="e">
            <v>#DIV/0!</v>
          </cell>
          <cell r="Y383">
            <v>5.6909100192852294E-2</v>
          </cell>
          <cell r="Z383" t="e">
            <v>#DIV/0!</v>
          </cell>
          <cell r="AA383" t="e">
            <v>#DIV/0!</v>
          </cell>
          <cell r="AB383" t="e">
            <v>#DIV/0!</v>
          </cell>
          <cell r="AC383" t="e">
            <v>#DIV/0!</v>
          </cell>
          <cell r="AD383" t="e">
            <v>#DIV/0!</v>
          </cell>
          <cell r="AE383" t="e">
            <v>#DIV/0!</v>
          </cell>
          <cell r="AF383" t="e">
            <v>#DIV/0!</v>
          </cell>
          <cell r="AG383" t="e">
            <v>#DIV/0!</v>
          </cell>
          <cell r="AH383" t="e">
            <v>#DIV/0!</v>
          </cell>
          <cell r="AI383" t="e">
            <v>#DIV/0!</v>
          </cell>
          <cell r="AJ383" t="e">
            <v>#DIV/0!</v>
          </cell>
          <cell r="AK383" t="e">
            <v>#DIV/0!</v>
          </cell>
          <cell r="AL383" t="e">
            <v>#DIV/0!</v>
          </cell>
          <cell r="AM383" t="e">
            <v>#DIV/0!</v>
          </cell>
          <cell r="AN383" t="e">
            <v>#DIV/0!</v>
          </cell>
          <cell r="AO383" t="e">
            <v>#DIV/0!</v>
          </cell>
          <cell r="AP383" t="e">
            <v>#DIV/0!</v>
          </cell>
          <cell r="AQ383" t="e">
            <v>#DIV/0!</v>
          </cell>
          <cell r="AR383" t="e">
            <v>#DIV/0!</v>
          </cell>
          <cell r="AS383" t="e">
            <v>#DIV/0!</v>
          </cell>
          <cell r="AT383" t="e">
            <v>#DIV/0!</v>
          </cell>
          <cell r="AU383" t="e">
            <v>#DIV/0!</v>
          </cell>
          <cell r="AV383" t="e">
            <v>#DIV/0!</v>
          </cell>
          <cell r="AW383" t="e">
            <v>#DIV/0!</v>
          </cell>
          <cell r="AX383" t="e">
            <v>#DIV/0!</v>
          </cell>
          <cell r="AY383" t="e">
            <v>#DIV/0!</v>
          </cell>
          <cell r="AZ383" t="e">
            <v>#DIV/0!</v>
          </cell>
          <cell r="BA383" t="e">
            <v>#DIV/0!</v>
          </cell>
          <cell r="BB383" t="e">
            <v>#DIV/0!</v>
          </cell>
          <cell r="BC383" t="e">
            <v>#DIV/0!</v>
          </cell>
          <cell r="BD383" t="e">
            <v>#DIV/0!</v>
          </cell>
          <cell r="BE383" t="e">
            <v>#DIV/0!</v>
          </cell>
        </row>
        <row r="389">
          <cell r="H389">
            <v>34.51</v>
          </cell>
          <cell r="I389">
            <v>5.66</v>
          </cell>
          <cell r="J389">
            <v>29.09</v>
          </cell>
          <cell r="K389">
            <v>44.25</v>
          </cell>
          <cell r="L389">
            <v>18.05</v>
          </cell>
          <cell r="M389">
            <v>19</v>
          </cell>
          <cell r="N389">
            <v>30.01</v>
          </cell>
          <cell r="O389">
            <v>12.27</v>
          </cell>
          <cell r="P389">
            <v>5.52</v>
          </cell>
          <cell r="Q389">
            <v>17.329999999999998</v>
          </cell>
          <cell r="R389">
            <v>33.479999999999997</v>
          </cell>
          <cell r="S389">
            <v>24.02</v>
          </cell>
          <cell r="T389" t="e">
            <v>#VALUE!</v>
          </cell>
          <cell r="U389">
            <v>21.26</v>
          </cell>
          <cell r="V389">
            <v>52.05</v>
          </cell>
          <cell r="W389">
            <v>34.51</v>
          </cell>
          <cell r="X389">
            <v>34.64</v>
          </cell>
          <cell r="Y389">
            <v>24.38</v>
          </cell>
          <cell r="Z389" t="e">
            <v>#N/A</v>
          </cell>
          <cell r="AA389">
            <v>72.7</v>
          </cell>
          <cell r="AB389">
            <v>72.7</v>
          </cell>
          <cell r="AC389">
            <v>14.75</v>
          </cell>
          <cell r="AD389" t="e">
            <v>#N/A</v>
          </cell>
          <cell r="AE389">
            <v>7.84</v>
          </cell>
          <cell r="AF389">
            <v>53.25</v>
          </cell>
          <cell r="AG389">
            <v>33.58</v>
          </cell>
          <cell r="AH389">
            <v>52.05</v>
          </cell>
          <cell r="AI389">
            <v>8.26</v>
          </cell>
          <cell r="AJ389" t="e">
            <v>#VALUE!</v>
          </cell>
          <cell r="AK389">
            <v>28.9</v>
          </cell>
          <cell r="AL389">
            <v>31.81</v>
          </cell>
          <cell r="AM389">
            <v>50.35</v>
          </cell>
          <cell r="AN389">
            <v>4.99</v>
          </cell>
          <cell r="AO389" t="e">
            <v>#N/A</v>
          </cell>
          <cell r="AP389">
            <v>47.72</v>
          </cell>
          <cell r="AQ389" t="e">
            <v>#VALUE!</v>
          </cell>
          <cell r="AR389">
            <v>47.72</v>
          </cell>
          <cell r="AS389">
            <v>33.58</v>
          </cell>
          <cell r="AT389" t="e">
            <v>#N/A</v>
          </cell>
          <cell r="AU389">
            <v>64.69</v>
          </cell>
          <cell r="AV389">
            <v>64.69</v>
          </cell>
          <cell r="AW389" t="e">
            <v>#VALUE!</v>
          </cell>
          <cell r="AX389" t="e">
            <v>#VALUE!</v>
          </cell>
          <cell r="AY389" t="e">
            <v>#VALUE!</v>
          </cell>
          <cell r="AZ389" t="e">
            <v>#VALUE!</v>
          </cell>
          <cell r="BA389" t="e">
            <v>#VALUE!</v>
          </cell>
          <cell r="BB389" t="e">
            <v>#VALUE!</v>
          </cell>
          <cell r="BC389" t="e">
            <v>#VALUE!</v>
          </cell>
          <cell r="BD389" t="e">
            <v>#VALUE!</v>
          </cell>
          <cell r="BE389" t="e">
            <v>#VALUE!</v>
          </cell>
        </row>
        <row r="390">
          <cell r="H390">
            <v>59.207999999999998</v>
          </cell>
          <cell r="I390">
            <v>145.916</v>
          </cell>
          <cell r="J390">
            <v>42.494525000000003</v>
          </cell>
          <cell r="K390">
            <v>26.085000000000001</v>
          </cell>
          <cell r="L390">
            <v>60.100999999999999</v>
          </cell>
          <cell r="M390">
            <v>213.28299999999999</v>
          </cell>
          <cell r="N390">
            <v>45.409689999999998</v>
          </cell>
          <cell r="O390">
            <v>15.414</v>
          </cell>
          <cell r="P390">
            <v>125.556</v>
          </cell>
          <cell r="Q390">
            <v>186.74</v>
          </cell>
          <cell r="R390">
            <v>35.048999999999999</v>
          </cell>
          <cell r="S390">
            <v>136.77799999999999</v>
          </cell>
          <cell r="T390">
            <v>57.9</v>
          </cell>
          <cell r="U390">
            <v>16.077313</v>
          </cell>
          <cell r="V390">
            <v>28.199946000000001</v>
          </cell>
          <cell r="W390">
            <v>52.961227999999998</v>
          </cell>
          <cell r="X390">
            <v>47.744526999999998</v>
          </cell>
          <cell r="Y390">
            <v>44.61</v>
          </cell>
          <cell r="Z390">
            <v>135.58958899999999</v>
          </cell>
          <cell r="AA390">
            <v>53.001061999999997</v>
          </cell>
          <cell r="AB390">
            <v>112.89100000000001</v>
          </cell>
          <cell r="AC390">
            <v>40.850999999999999</v>
          </cell>
          <cell r="AD390">
            <v>0</v>
          </cell>
          <cell r="AE390">
            <v>71.217195000000004</v>
          </cell>
          <cell r="AF390">
            <v>44.747</v>
          </cell>
          <cell r="AG390">
            <v>24.778272999999999</v>
          </cell>
          <cell r="AH390">
            <v>26.098680000000002</v>
          </cell>
          <cell r="AI390">
            <v>0</v>
          </cell>
          <cell r="AJ390">
            <v>31.284690000000001</v>
          </cell>
          <cell r="AK390">
            <v>57.9</v>
          </cell>
          <cell r="AL390">
            <v>301</v>
          </cell>
          <cell r="AM390">
            <v>73.771000000000001</v>
          </cell>
          <cell r="AN390">
            <v>12.315314000000001</v>
          </cell>
          <cell r="AO390">
            <v>0</v>
          </cell>
          <cell r="AP390">
            <v>0</v>
          </cell>
          <cell r="AQ390">
            <v>0</v>
          </cell>
          <cell r="AR390">
            <v>68.506</v>
          </cell>
          <cell r="AS390">
            <v>12.884701959999999</v>
          </cell>
          <cell r="AT390">
            <v>0</v>
          </cell>
          <cell r="AU390">
            <v>0</v>
          </cell>
          <cell r="AV390">
            <v>460</v>
          </cell>
          <cell r="AW390">
            <v>0</v>
          </cell>
          <cell r="AX390">
            <v>0</v>
          </cell>
          <cell r="AY390">
            <v>0</v>
          </cell>
          <cell r="AZ390">
            <v>0</v>
          </cell>
          <cell r="BA390">
            <v>0</v>
          </cell>
          <cell r="BB390">
            <v>0</v>
          </cell>
          <cell r="BC390">
            <v>0</v>
          </cell>
          <cell r="BD390">
            <v>0</v>
          </cell>
          <cell r="BE390">
            <v>0</v>
          </cell>
        </row>
        <row r="393">
          <cell r="H393">
            <v>0</v>
          </cell>
          <cell r="I393">
            <v>0</v>
          </cell>
          <cell r="J393">
            <v>0</v>
          </cell>
          <cell r="K393">
            <v>0</v>
          </cell>
          <cell r="L393">
            <v>0</v>
          </cell>
          <cell r="M393">
            <v>0</v>
          </cell>
          <cell r="N393">
            <v>0</v>
          </cell>
          <cell r="O393">
            <v>0</v>
          </cell>
          <cell r="P393">
            <v>0</v>
          </cell>
          <cell r="Q393">
            <v>0</v>
          </cell>
          <cell r="R393">
            <v>0</v>
          </cell>
          <cell r="S393">
            <v>0</v>
          </cell>
          <cell r="T393">
            <v>0</v>
          </cell>
          <cell r="U393">
            <v>2.5030000000000001</v>
          </cell>
          <cell r="V393">
            <v>0</v>
          </cell>
          <cell r="W393">
            <v>5.6609999999999996</v>
          </cell>
          <cell r="X393">
            <v>5.0519999999999996</v>
          </cell>
          <cell r="Y393">
            <v>5.1552319999999998</v>
          </cell>
          <cell r="Z393">
            <v>8.721584</v>
          </cell>
          <cell r="AA393">
            <v>3.6339999999999999</v>
          </cell>
          <cell r="AB393">
            <v>0</v>
          </cell>
          <cell r="AC393">
            <v>2.2189999999999999</v>
          </cell>
          <cell r="AD393">
            <v>0</v>
          </cell>
          <cell r="AE393">
            <v>6.3520000000000012</v>
          </cell>
          <cell r="AF393">
            <v>0</v>
          </cell>
          <cell r="AG393">
            <v>7.7510000000000003</v>
          </cell>
          <cell r="AH393">
            <v>1.796775</v>
          </cell>
          <cell r="AI393">
            <v>0</v>
          </cell>
          <cell r="AJ393">
            <v>1.796775</v>
          </cell>
          <cell r="AK393">
            <v>0</v>
          </cell>
          <cell r="AL393">
            <v>60.732304999999997</v>
          </cell>
          <cell r="AM393">
            <v>3.5651830000000002</v>
          </cell>
          <cell r="AN393">
            <v>2.4042520000000001</v>
          </cell>
          <cell r="AO393">
            <v>0</v>
          </cell>
          <cell r="AP393">
            <v>0</v>
          </cell>
          <cell r="AQ393">
            <v>0</v>
          </cell>
          <cell r="AR393">
            <v>0.95021299999999997</v>
          </cell>
          <cell r="AS393">
            <v>4.0305200000000001</v>
          </cell>
          <cell r="AT393">
            <v>0</v>
          </cell>
          <cell r="AU393">
            <v>0</v>
          </cell>
          <cell r="AV393">
            <v>0</v>
          </cell>
          <cell r="AW393">
            <v>0</v>
          </cell>
          <cell r="AX393">
            <v>0</v>
          </cell>
          <cell r="AY393">
            <v>0</v>
          </cell>
          <cell r="AZ393">
            <v>0</v>
          </cell>
          <cell r="BA393">
            <v>0</v>
          </cell>
          <cell r="BB393">
            <v>0</v>
          </cell>
          <cell r="BC393">
            <v>0</v>
          </cell>
          <cell r="BD393">
            <v>0</v>
          </cell>
          <cell r="BE393">
            <v>0</v>
          </cell>
        </row>
        <row r="394">
          <cell r="H394">
            <v>0</v>
          </cell>
          <cell r="I394">
            <v>0</v>
          </cell>
          <cell r="J394">
            <v>0</v>
          </cell>
          <cell r="K394">
            <v>0</v>
          </cell>
          <cell r="L394">
            <v>0</v>
          </cell>
          <cell r="M394">
            <v>0</v>
          </cell>
          <cell r="N394">
            <v>0</v>
          </cell>
          <cell r="O394">
            <v>0</v>
          </cell>
          <cell r="P394">
            <v>0</v>
          </cell>
          <cell r="Q394">
            <v>0</v>
          </cell>
          <cell r="R394">
            <v>0</v>
          </cell>
          <cell r="S394">
            <v>0</v>
          </cell>
          <cell r="T394">
            <v>0</v>
          </cell>
          <cell r="U394">
            <v>18.14</v>
          </cell>
          <cell r="V394">
            <v>0</v>
          </cell>
          <cell r="W394">
            <v>46.72</v>
          </cell>
          <cell r="X394">
            <v>36.450000000000003</v>
          </cell>
          <cell r="Y394">
            <v>22.4</v>
          </cell>
          <cell r="Z394">
            <v>13.83</v>
          </cell>
          <cell r="AA394">
            <v>24</v>
          </cell>
          <cell r="AB394">
            <v>42</v>
          </cell>
          <cell r="AC394">
            <v>13.46</v>
          </cell>
          <cell r="AD394">
            <v>0</v>
          </cell>
          <cell r="AE394">
            <v>10.304480478589419</v>
          </cell>
          <cell r="AF394">
            <v>26.04</v>
          </cell>
          <cell r="AG394">
            <v>18.55</v>
          </cell>
          <cell r="AH394">
            <v>13.52</v>
          </cell>
          <cell r="AI394">
            <v>0</v>
          </cell>
          <cell r="AJ394">
            <v>13.52</v>
          </cell>
          <cell r="AK394">
            <v>0</v>
          </cell>
          <cell r="AL394">
            <v>39.36</v>
          </cell>
          <cell r="AM394">
            <v>32.39</v>
          </cell>
          <cell r="AN394">
            <v>9.9</v>
          </cell>
          <cell r="AO394">
            <v>0</v>
          </cell>
          <cell r="AP394">
            <v>0</v>
          </cell>
          <cell r="AQ394">
            <v>0</v>
          </cell>
          <cell r="AR394">
            <v>20.514070571545538</v>
          </cell>
          <cell r="AS394">
            <v>9.6460000000000008</v>
          </cell>
          <cell r="AT394">
            <v>0</v>
          </cell>
          <cell r="AU394">
            <v>0</v>
          </cell>
          <cell r="AV394">
            <v>34.83</v>
          </cell>
          <cell r="AW394">
            <v>0</v>
          </cell>
          <cell r="AX394">
            <v>0</v>
          </cell>
          <cell r="AY394">
            <v>0</v>
          </cell>
          <cell r="AZ394">
            <v>0</v>
          </cell>
          <cell r="BA394">
            <v>0</v>
          </cell>
          <cell r="BB394">
            <v>0</v>
          </cell>
          <cell r="BC394">
            <v>0</v>
          </cell>
          <cell r="BD394">
            <v>0</v>
          </cell>
          <cell r="BE394">
            <v>0</v>
          </cell>
        </row>
        <row r="395">
          <cell r="H395">
            <v>0</v>
          </cell>
          <cell r="I395">
            <v>0</v>
          </cell>
          <cell r="J395">
            <v>0</v>
          </cell>
          <cell r="K395">
            <v>0</v>
          </cell>
          <cell r="L395">
            <v>0</v>
          </cell>
          <cell r="M395">
            <v>0</v>
          </cell>
          <cell r="N395">
            <v>0</v>
          </cell>
          <cell r="O395">
            <v>0</v>
          </cell>
          <cell r="P395">
            <v>0</v>
          </cell>
          <cell r="Q395">
            <v>0</v>
          </cell>
          <cell r="R395">
            <v>0</v>
          </cell>
          <cell r="S395">
            <v>0</v>
          </cell>
          <cell r="T395" t="e">
            <v>#VALUE!</v>
          </cell>
          <cell r="U395">
            <v>0.36732643461900283</v>
          </cell>
          <cell r="V395">
            <v>0</v>
          </cell>
          <cell r="W395">
            <v>0</v>
          </cell>
          <cell r="X395">
            <v>0</v>
          </cell>
          <cell r="Y395">
            <v>0.41867757834290398</v>
          </cell>
          <cell r="Z395" t="e">
            <v>#N/A</v>
          </cell>
          <cell r="AA395">
            <v>2.4343301237964239</v>
          </cell>
          <cell r="AB395">
            <v>0</v>
          </cell>
          <cell r="AC395">
            <v>0.19406847457627086</v>
          </cell>
          <cell r="AD395" t="e">
            <v>#N/A</v>
          </cell>
          <cell r="AE395">
            <v>0</v>
          </cell>
          <cell r="AF395">
            <v>0</v>
          </cell>
          <cell r="AG395">
            <v>3.4692534246575333</v>
          </cell>
          <cell r="AH395">
            <v>1.3300622622478386</v>
          </cell>
          <cell r="AI395">
            <v>0</v>
          </cell>
          <cell r="AJ395" t="e">
            <v>#VALUE!</v>
          </cell>
          <cell r="AK395">
            <v>0</v>
          </cell>
          <cell r="AL395">
            <v>0</v>
          </cell>
          <cell r="AM395">
            <v>1.2717117513406158</v>
          </cell>
          <cell r="AN395">
            <v>0</v>
          </cell>
          <cell r="AO395" t="e">
            <v>#N/A</v>
          </cell>
          <cell r="AP395">
            <v>0</v>
          </cell>
          <cell r="AQ395" t="e">
            <v>#VALUE!</v>
          </cell>
          <cell r="AR395">
            <v>0.54173151341156744</v>
          </cell>
          <cell r="AS395">
            <v>2.8727357260273969</v>
          </cell>
          <cell r="AT395" t="e">
            <v>#N/A</v>
          </cell>
          <cell r="AU395">
            <v>0</v>
          </cell>
          <cell r="AV395">
            <v>0</v>
          </cell>
          <cell r="AW395" t="e">
            <v>#VALUE!</v>
          </cell>
          <cell r="AX395" t="e">
            <v>#VALUE!</v>
          </cell>
          <cell r="AY395" t="e">
            <v>#VALUE!</v>
          </cell>
          <cell r="AZ395" t="e">
            <v>#VALUE!</v>
          </cell>
          <cell r="BA395" t="e">
            <v>#VALUE!</v>
          </cell>
          <cell r="BB395" t="e">
            <v>#VALUE!</v>
          </cell>
          <cell r="BC395" t="e">
            <v>#VALUE!</v>
          </cell>
          <cell r="BD395" t="e">
            <v>#VALUE!</v>
          </cell>
          <cell r="BE395" t="e">
            <v>#VALUE!</v>
          </cell>
        </row>
        <row r="398">
          <cell r="H398">
            <v>0</v>
          </cell>
          <cell r="I398">
            <v>0</v>
          </cell>
          <cell r="J398">
            <v>0</v>
          </cell>
          <cell r="K398">
            <v>0</v>
          </cell>
          <cell r="L398">
            <v>0</v>
          </cell>
          <cell r="M398">
            <v>0</v>
          </cell>
          <cell r="N398">
            <v>0</v>
          </cell>
          <cell r="O398">
            <v>0</v>
          </cell>
          <cell r="P398">
            <v>0</v>
          </cell>
          <cell r="Q398">
            <v>0</v>
          </cell>
          <cell r="R398">
            <v>0</v>
          </cell>
          <cell r="S398">
            <v>0</v>
          </cell>
          <cell r="T398">
            <v>0</v>
          </cell>
          <cell r="U398">
            <v>0.44</v>
          </cell>
          <cell r="V398">
            <v>0</v>
          </cell>
          <cell r="W398">
            <v>0</v>
          </cell>
          <cell r="X398">
            <v>0</v>
          </cell>
          <cell r="Y398">
            <v>0</v>
          </cell>
          <cell r="Z398">
            <v>0</v>
          </cell>
          <cell r="AA398">
            <v>0</v>
          </cell>
          <cell r="AB398">
            <v>0</v>
          </cell>
          <cell r="AC398">
            <v>0</v>
          </cell>
          <cell r="AD398">
            <v>0</v>
          </cell>
          <cell r="AE398">
            <v>0.78749999999999998</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row>
        <row r="399">
          <cell r="H399">
            <v>0</v>
          </cell>
          <cell r="I399">
            <v>0</v>
          </cell>
          <cell r="J399">
            <v>0</v>
          </cell>
          <cell r="K399">
            <v>0</v>
          </cell>
          <cell r="L399">
            <v>0</v>
          </cell>
          <cell r="M399">
            <v>0</v>
          </cell>
          <cell r="N399">
            <v>0</v>
          </cell>
          <cell r="O399">
            <v>0</v>
          </cell>
          <cell r="P399">
            <v>0</v>
          </cell>
          <cell r="Q399">
            <v>0</v>
          </cell>
          <cell r="R399">
            <v>0</v>
          </cell>
          <cell r="S399">
            <v>0</v>
          </cell>
          <cell r="T399">
            <v>0</v>
          </cell>
          <cell r="U399">
            <v>5.82</v>
          </cell>
          <cell r="V399">
            <v>0</v>
          </cell>
          <cell r="W399">
            <v>0</v>
          </cell>
          <cell r="X399">
            <v>0</v>
          </cell>
          <cell r="Y399">
            <v>0</v>
          </cell>
          <cell r="Z399">
            <v>0</v>
          </cell>
          <cell r="AA399">
            <v>0</v>
          </cell>
          <cell r="AB399">
            <v>0</v>
          </cell>
          <cell r="AC399">
            <v>0</v>
          </cell>
          <cell r="AD399">
            <v>0</v>
          </cell>
          <cell r="AE399">
            <v>14.8</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row>
        <row r="400">
          <cell r="H400">
            <v>0</v>
          </cell>
          <cell r="I400">
            <v>0</v>
          </cell>
          <cell r="J400">
            <v>0</v>
          </cell>
          <cell r="K400">
            <v>0</v>
          </cell>
          <cell r="L400">
            <v>0</v>
          </cell>
          <cell r="M400">
            <v>0</v>
          </cell>
          <cell r="N400">
            <v>0</v>
          </cell>
          <cell r="O400">
            <v>0</v>
          </cell>
          <cell r="P400">
            <v>0</v>
          </cell>
          <cell r="Q400">
            <v>0</v>
          </cell>
          <cell r="R400">
            <v>0</v>
          </cell>
          <cell r="S400">
            <v>0</v>
          </cell>
          <cell r="T400" t="e">
            <v>#VALUE!</v>
          </cell>
          <cell r="U400">
            <v>0.31954844778927566</v>
          </cell>
          <cell r="V400">
            <v>0</v>
          </cell>
          <cell r="W400">
            <v>0</v>
          </cell>
          <cell r="X400">
            <v>0</v>
          </cell>
          <cell r="Y400">
            <v>0</v>
          </cell>
          <cell r="Z400" t="e">
            <v>#N/A</v>
          </cell>
          <cell r="AA400">
            <v>0</v>
          </cell>
          <cell r="AB400">
            <v>0</v>
          </cell>
          <cell r="AC400">
            <v>0</v>
          </cell>
          <cell r="AD400" t="e">
            <v>#N/A</v>
          </cell>
          <cell r="AE400">
            <v>0</v>
          </cell>
          <cell r="AF400">
            <v>0</v>
          </cell>
          <cell r="AG400">
            <v>0</v>
          </cell>
          <cell r="AH400">
            <v>0</v>
          </cell>
          <cell r="AI400">
            <v>0</v>
          </cell>
          <cell r="AJ400" t="e">
            <v>#VALUE!</v>
          </cell>
          <cell r="AK400">
            <v>0</v>
          </cell>
          <cell r="AL400">
            <v>0</v>
          </cell>
          <cell r="AM400">
            <v>0</v>
          </cell>
          <cell r="AN400">
            <v>0</v>
          </cell>
          <cell r="AO400" t="e">
            <v>#N/A</v>
          </cell>
          <cell r="AP400">
            <v>0</v>
          </cell>
          <cell r="AQ400" t="e">
            <v>#VALUE!</v>
          </cell>
          <cell r="AR400">
            <v>0</v>
          </cell>
          <cell r="AS400">
            <v>0</v>
          </cell>
          <cell r="AT400" t="e">
            <v>#N/A</v>
          </cell>
          <cell r="AU400">
            <v>0</v>
          </cell>
          <cell r="AV400">
            <v>0</v>
          </cell>
          <cell r="AW400" t="e">
            <v>#VALUE!</v>
          </cell>
          <cell r="AX400" t="e">
            <v>#VALUE!</v>
          </cell>
          <cell r="AY400" t="e">
            <v>#VALUE!</v>
          </cell>
          <cell r="AZ400" t="e">
            <v>#VALUE!</v>
          </cell>
          <cell r="BA400" t="e">
            <v>#VALUE!</v>
          </cell>
          <cell r="BB400" t="e">
            <v>#VALUE!</v>
          </cell>
          <cell r="BC400" t="e">
            <v>#VALUE!</v>
          </cell>
          <cell r="BD400" t="e">
            <v>#VALUE!</v>
          </cell>
          <cell r="BE400" t="e">
            <v>#VALUE!</v>
          </cell>
        </row>
        <row r="403">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172.5</v>
          </cell>
          <cell r="X403">
            <v>0</v>
          </cell>
          <cell r="Y403">
            <v>0</v>
          </cell>
          <cell r="Z403">
            <v>0</v>
          </cell>
          <cell r="AA403">
            <v>300</v>
          </cell>
          <cell r="AB403">
            <v>300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row>
        <row r="404">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5.5E-2</v>
          </cell>
          <cell r="X404">
            <v>0</v>
          </cell>
          <cell r="Y404">
            <v>0</v>
          </cell>
          <cell r="Z404">
            <v>0</v>
          </cell>
          <cell r="AA404">
            <v>0.05</v>
          </cell>
          <cell r="AB404">
            <v>0.05</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row>
        <row r="405">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85.2</v>
          </cell>
          <cell r="X405">
            <v>0</v>
          </cell>
          <cell r="Y405">
            <v>0</v>
          </cell>
          <cell r="Z405">
            <v>0</v>
          </cell>
          <cell r="AA405">
            <v>52.968800000000002</v>
          </cell>
          <cell r="AB405">
            <v>52.97</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row>
        <row r="406">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2.0246478873239435</v>
          </cell>
          <cell r="X406">
            <v>0</v>
          </cell>
          <cell r="Y406">
            <v>0</v>
          </cell>
          <cell r="Z406">
            <v>0</v>
          </cell>
          <cell r="AA406">
            <v>5.6637114678829796</v>
          </cell>
          <cell r="AB406">
            <v>5.6635831602794031</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row>
        <row r="407">
          <cell r="H407">
            <v>0</v>
          </cell>
          <cell r="I407">
            <v>0</v>
          </cell>
          <cell r="J407">
            <v>0</v>
          </cell>
          <cell r="K407">
            <v>0</v>
          </cell>
          <cell r="L407">
            <v>0</v>
          </cell>
          <cell r="M407">
            <v>0</v>
          </cell>
          <cell r="N407">
            <v>0</v>
          </cell>
          <cell r="O407">
            <v>0</v>
          </cell>
          <cell r="P407">
            <v>0</v>
          </cell>
          <cell r="Q407">
            <v>0</v>
          </cell>
          <cell r="R407">
            <v>0</v>
          </cell>
          <cell r="S407">
            <v>0</v>
          </cell>
          <cell r="T407" t="e">
            <v>#VALUE!</v>
          </cell>
          <cell r="U407">
            <v>-2.0877838070956129E-2</v>
          </cell>
          <cell r="V407">
            <v>6.2927070608341964</v>
          </cell>
          <cell r="W407">
            <v>1.4611726903311231</v>
          </cell>
          <cell r="X407">
            <v>1.959960772048281</v>
          </cell>
          <cell r="Y407">
            <v>0.7272476510780338</v>
          </cell>
          <cell r="Z407" t="e">
            <v>#N/A</v>
          </cell>
          <cell r="AA407">
            <v>1.7739605734255479</v>
          </cell>
          <cell r="AB407">
            <v>2.6776822155884878</v>
          </cell>
          <cell r="AC407">
            <v>0.87442904431335655</v>
          </cell>
          <cell r="AD407" t="e">
            <v>#N/A</v>
          </cell>
          <cell r="AE407">
            <v>0.15154767047480602</v>
          </cell>
          <cell r="AF407">
            <v>2.1999910608532418</v>
          </cell>
          <cell r="AG407">
            <v>1.3329662723010089</v>
          </cell>
          <cell r="AH407">
            <v>0.31671156908847936</v>
          </cell>
          <cell r="AI407" t="e">
            <v>#DIV/0!</v>
          </cell>
          <cell r="AJ407" t="e">
            <v>#VALUE!</v>
          </cell>
          <cell r="AK407">
            <v>1.5082279792746116</v>
          </cell>
          <cell r="AL407">
            <v>1.3029900332225912</v>
          </cell>
          <cell r="AM407">
            <v>1.8855928403663016</v>
          </cell>
          <cell r="AN407">
            <v>-0.24936432802281777</v>
          </cell>
          <cell r="AO407" t="e">
            <v>#N/A</v>
          </cell>
          <cell r="AP407" t="e">
            <v>#DIV/0!</v>
          </cell>
          <cell r="AQ407" t="e">
            <v>#VALUE!</v>
          </cell>
          <cell r="AR407">
            <v>1.1532167423130122</v>
          </cell>
          <cell r="AS407">
            <v>2.3895382453828815</v>
          </cell>
          <cell r="AT407" t="e">
            <v>#N/A</v>
          </cell>
          <cell r="AU407" t="e">
            <v>#DIV/0!</v>
          </cell>
          <cell r="AV407">
            <v>2.9161682608695649</v>
          </cell>
          <cell r="AW407" t="e">
            <v>#VALUE!</v>
          </cell>
          <cell r="AX407" t="e">
            <v>#VALUE!</v>
          </cell>
          <cell r="AY407" t="e">
            <v>#VALUE!</v>
          </cell>
          <cell r="AZ407" t="e">
            <v>#VALUE!</v>
          </cell>
          <cell r="BA407" t="e">
            <v>#VALUE!</v>
          </cell>
          <cell r="BB407" t="e">
            <v>#VALUE!</v>
          </cell>
          <cell r="BC407" t="e">
            <v>#VALUE!</v>
          </cell>
          <cell r="BD407" t="e">
            <v>#VALUE!</v>
          </cell>
          <cell r="BE407" t="e">
            <v>#VALUE!</v>
          </cell>
        </row>
        <row r="408">
          <cell r="H408">
            <v>0</v>
          </cell>
          <cell r="I408">
            <v>0</v>
          </cell>
          <cell r="J408">
            <v>0</v>
          </cell>
          <cell r="K408">
            <v>0</v>
          </cell>
          <cell r="L408">
            <v>0</v>
          </cell>
          <cell r="M408">
            <v>0</v>
          </cell>
          <cell r="N408">
            <v>0</v>
          </cell>
          <cell r="O408">
            <v>0</v>
          </cell>
          <cell r="P408">
            <v>0</v>
          </cell>
          <cell r="Q408">
            <v>0</v>
          </cell>
          <cell r="R408">
            <v>0</v>
          </cell>
          <cell r="S408">
            <v>0</v>
          </cell>
          <cell r="T408" t="e">
            <v>#VALUE!</v>
          </cell>
          <cell r="U408">
            <v>-2.0877838070956129E-2</v>
          </cell>
          <cell r="V408">
            <v>6.2927070608341964</v>
          </cell>
          <cell r="W408">
            <v>1.4073705065383875</v>
          </cell>
          <cell r="X408">
            <v>1.959960772048281</v>
          </cell>
          <cell r="Y408">
            <v>0.7272476510780338</v>
          </cell>
          <cell r="Z408" t="e">
            <v>#N/A</v>
          </cell>
          <cell r="AA408">
            <v>1.6095195218771126</v>
          </cell>
          <cell r="AB408">
            <v>2.5878253171566397</v>
          </cell>
          <cell r="AC408">
            <v>0.87442904431335655</v>
          </cell>
          <cell r="AD408" t="e">
            <v>#N/A</v>
          </cell>
          <cell r="AE408">
            <v>0.15154767047480602</v>
          </cell>
          <cell r="AF408">
            <v>2.1999910608532418</v>
          </cell>
          <cell r="AG408">
            <v>1.3329662723010089</v>
          </cell>
          <cell r="AH408">
            <v>0.31671156908847936</v>
          </cell>
          <cell r="AI408" t="e">
            <v>#DIV/0!</v>
          </cell>
          <cell r="AJ408" t="e">
            <v>#VALUE!</v>
          </cell>
          <cell r="AK408">
            <v>1.5082279792746116</v>
          </cell>
          <cell r="AL408">
            <v>1.3029900332225912</v>
          </cell>
          <cell r="AM408">
            <v>1.8855928403663016</v>
          </cell>
          <cell r="AN408">
            <v>-0.24936432802281777</v>
          </cell>
          <cell r="AO408" t="e">
            <v>#N/A</v>
          </cell>
          <cell r="AP408" t="e">
            <v>#DIV/0!</v>
          </cell>
          <cell r="AQ408" t="e">
            <v>#VALUE!</v>
          </cell>
          <cell r="AR408">
            <v>1.1532167423130122</v>
          </cell>
          <cell r="AS408">
            <v>2.3895382453828815</v>
          </cell>
          <cell r="AT408" t="e">
            <v>#N/A</v>
          </cell>
          <cell r="AU408" t="e">
            <v>#DIV/0!</v>
          </cell>
          <cell r="AV408">
            <v>2.9161682608695649</v>
          </cell>
          <cell r="AW408" t="e">
            <v>#VALUE!</v>
          </cell>
          <cell r="AX408" t="e">
            <v>#VALUE!</v>
          </cell>
          <cell r="AY408" t="e">
            <v>#VALUE!</v>
          </cell>
          <cell r="AZ408" t="e">
            <v>#VALUE!</v>
          </cell>
          <cell r="BA408" t="e">
            <v>#VALUE!</v>
          </cell>
          <cell r="BB408" t="e">
            <v>#VALUE!</v>
          </cell>
          <cell r="BC408" t="e">
            <v>#VALUE!</v>
          </cell>
          <cell r="BD408" t="e">
            <v>#VALUE!</v>
          </cell>
          <cell r="BE408" t="e">
            <v>#VALUE!</v>
          </cell>
        </row>
        <row r="409">
          <cell r="H409" t="str">
            <v>No</v>
          </cell>
          <cell r="I409" t="str">
            <v>No</v>
          </cell>
          <cell r="J409" t="str">
            <v>No</v>
          </cell>
          <cell r="K409" t="str">
            <v>No</v>
          </cell>
          <cell r="L409" t="str">
            <v>No</v>
          </cell>
          <cell r="M409" t="str">
            <v>No</v>
          </cell>
          <cell r="N409" t="str">
            <v>No</v>
          </cell>
          <cell r="O409" t="str">
            <v>No</v>
          </cell>
          <cell r="P409" t="str">
            <v>No</v>
          </cell>
          <cell r="Q409" t="str">
            <v>No</v>
          </cell>
          <cell r="R409" t="str">
            <v>No</v>
          </cell>
          <cell r="S409" t="str">
            <v>No</v>
          </cell>
          <cell r="T409" t="e">
            <v>#VALUE!</v>
          </cell>
          <cell r="U409" t="str">
            <v>No</v>
          </cell>
          <cell r="V409" t="str">
            <v>No</v>
          </cell>
          <cell r="W409" t="str">
            <v>Yes</v>
          </cell>
          <cell r="X409" t="str">
            <v>No</v>
          </cell>
          <cell r="Y409" t="str">
            <v>No</v>
          </cell>
          <cell r="Z409" t="e">
            <v>#N/A</v>
          </cell>
          <cell r="AA409" t="str">
            <v>Yes</v>
          </cell>
          <cell r="AB409" t="str">
            <v>Yes</v>
          </cell>
          <cell r="AC409" t="str">
            <v>No</v>
          </cell>
          <cell r="AD409" t="e">
            <v>#N/A</v>
          </cell>
          <cell r="AE409" t="str">
            <v>No</v>
          </cell>
          <cell r="AF409" t="str">
            <v>No</v>
          </cell>
          <cell r="AG409" t="str">
            <v>No</v>
          </cell>
          <cell r="AH409" t="str">
            <v>No</v>
          </cell>
          <cell r="AI409" t="e">
            <v>#DIV/0!</v>
          </cell>
          <cell r="AJ409" t="e">
            <v>#VALUE!</v>
          </cell>
          <cell r="AK409" t="str">
            <v>No</v>
          </cell>
          <cell r="AL409" t="str">
            <v>No</v>
          </cell>
          <cell r="AM409" t="str">
            <v>No</v>
          </cell>
          <cell r="AN409" t="str">
            <v>No</v>
          </cell>
          <cell r="AO409" t="e">
            <v>#N/A</v>
          </cell>
          <cell r="AP409" t="e">
            <v>#DIV/0!</v>
          </cell>
          <cell r="AQ409" t="e">
            <v>#VALUE!</v>
          </cell>
          <cell r="AR409" t="str">
            <v>No</v>
          </cell>
          <cell r="AS409" t="str">
            <v>No</v>
          </cell>
          <cell r="AT409" t="e">
            <v>#N/A</v>
          </cell>
          <cell r="AU409" t="e">
            <v>#DIV/0!</v>
          </cell>
          <cell r="AV409" t="str">
            <v>No</v>
          </cell>
          <cell r="AW409" t="e">
            <v>#VALUE!</v>
          </cell>
          <cell r="AX409" t="e">
            <v>#VALUE!</v>
          </cell>
          <cell r="AY409" t="e">
            <v>#VALUE!</v>
          </cell>
          <cell r="AZ409" t="e">
            <v>#VALUE!</v>
          </cell>
          <cell r="BA409" t="e">
            <v>#VALUE!</v>
          </cell>
          <cell r="BB409" t="e">
            <v>#VALUE!</v>
          </cell>
          <cell r="BC409" t="e">
            <v>#VALUE!</v>
          </cell>
          <cell r="BD409" t="e">
            <v>#VALUE!</v>
          </cell>
          <cell r="BE409" t="e">
            <v>#VALUE!</v>
          </cell>
        </row>
        <row r="410">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4.5123287671232877</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row>
        <row r="411">
          <cell r="H411">
            <v>0</v>
          </cell>
          <cell r="I411">
            <v>0</v>
          </cell>
          <cell r="J411">
            <v>0</v>
          </cell>
          <cell r="K411">
            <v>0</v>
          </cell>
          <cell r="L411">
            <v>0</v>
          </cell>
          <cell r="M411">
            <v>0</v>
          </cell>
          <cell r="N411">
            <v>0</v>
          </cell>
          <cell r="O411">
            <v>0</v>
          </cell>
          <cell r="P411">
            <v>0</v>
          </cell>
          <cell r="Q411">
            <v>0</v>
          </cell>
          <cell r="R411">
            <v>0</v>
          </cell>
          <cell r="S411">
            <v>0</v>
          </cell>
          <cell r="T411" t="e">
            <v>#VALUE!</v>
          </cell>
          <cell r="U411">
            <v>0</v>
          </cell>
          <cell r="V411">
            <v>0</v>
          </cell>
          <cell r="W411">
            <v>2.0246478873239435</v>
          </cell>
          <cell r="X411">
            <v>0</v>
          </cell>
          <cell r="Y411">
            <v>0</v>
          </cell>
          <cell r="Z411" t="e">
            <v>#N/A</v>
          </cell>
          <cell r="AA411">
            <v>5.6637114678829796</v>
          </cell>
          <cell r="AB411">
            <v>5.6635831602794031</v>
          </cell>
          <cell r="AC411">
            <v>0</v>
          </cell>
          <cell r="AD411" t="e">
            <v>#N/A</v>
          </cell>
          <cell r="AE411">
            <v>0</v>
          </cell>
          <cell r="AF411">
            <v>0</v>
          </cell>
          <cell r="AG411">
            <v>0</v>
          </cell>
          <cell r="AH411">
            <v>0</v>
          </cell>
          <cell r="AI411" t="e">
            <v>#DIV/0!</v>
          </cell>
          <cell r="AJ411" t="e">
            <v>#VALUE!</v>
          </cell>
          <cell r="AK411">
            <v>0</v>
          </cell>
          <cell r="AL411">
            <v>0</v>
          </cell>
          <cell r="AM411">
            <v>0</v>
          </cell>
          <cell r="AN411">
            <v>0</v>
          </cell>
          <cell r="AO411" t="e">
            <v>#N/A</v>
          </cell>
          <cell r="AP411" t="e">
            <v>#DIV/0!</v>
          </cell>
          <cell r="AQ411" t="e">
            <v>#VALUE!</v>
          </cell>
          <cell r="AR411">
            <v>0</v>
          </cell>
          <cell r="AS411">
            <v>0</v>
          </cell>
          <cell r="AT411" t="e">
            <v>#N/A</v>
          </cell>
          <cell r="AU411" t="e">
            <v>#DIV/0!</v>
          </cell>
          <cell r="AV411">
            <v>0</v>
          </cell>
          <cell r="AW411" t="e">
            <v>#VALUE!</v>
          </cell>
          <cell r="AX411" t="e">
            <v>#VALUE!</v>
          </cell>
          <cell r="AY411" t="e">
            <v>#VALUE!</v>
          </cell>
          <cell r="AZ411" t="e">
            <v>#VALUE!</v>
          </cell>
          <cell r="BA411" t="e">
            <v>#VALUE!</v>
          </cell>
          <cell r="BB411" t="e">
            <v>#VALUE!</v>
          </cell>
          <cell r="BC411" t="e">
            <v>#VALUE!</v>
          </cell>
          <cell r="BD411" t="e">
            <v>#VALUE!</v>
          </cell>
          <cell r="BE411" t="e">
            <v>#VALUE!</v>
          </cell>
        </row>
        <row r="412">
          <cell r="H412">
            <v>0</v>
          </cell>
          <cell r="I412">
            <v>0</v>
          </cell>
          <cell r="J412">
            <v>0</v>
          </cell>
          <cell r="K412">
            <v>0</v>
          </cell>
          <cell r="L412">
            <v>0</v>
          </cell>
          <cell r="M412">
            <v>0</v>
          </cell>
          <cell r="N412">
            <v>0</v>
          </cell>
          <cell r="O412">
            <v>0</v>
          </cell>
          <cell r="P412">
            <v>0</v>
          </cell>
          <cell r="Q412">
            <v>0</v>
          </cell>
          <cell r="R412">
            <v>0</v>
          </cell>
          <cell r="S412">
            <v>0</v>
          </cell>
          <cell r="T412" t="e">
            <v>#VALUE!</v>
          </cell>
          <cell r="U412">
            <v>0</v>
          </cell>
          <cell r="V412">
            <v>0</v>
          </cell>
          <cell r="W412">
            <v>172.5</v>
          </cell>
          <cell r="X412">
            <v>0</v>
          </cell>
          <cell r="Y412">
            <v>0</v>
          </cell>
          <cell r="Z412" t="e">
            <v>#N/A</v>
          </cell>
          <cell r="AA412">
            <v>300</v>
          </cell>
          <cell r="AB412">
            <v>300</v>
          </cell>
          <cell r="AC412">
            <v>0</v>
          </cell>
          <cell r="AD412" t="e">
            <v>#N/A</v>
          </cell>
          <cell r="AE412">
            <v>0</v>
          </cell>
          <cell r="AF412">
            <v>0</v>
          </cell>
          <cell r="AG412">
            <v>0</v>
          </cell>
          <cell r="AH412">
            <v>0</v>
          </cell>
          <cell r="AI412" t="e">
            <v>#DIV/0!</v>
          </cell>
          <cell r="AJ412" t="e">
            <v>#VALUE!</v>
          </cell>
          <cell r="AK412">
            <v>0</v>
          </cell>
          <cell r="AL412">
            <v>0</v>
          </cell>
          <cell r="AM412">
            <v>0</v>
          </cell>
          <cell r="AN412">
            <v>0</v>
          </cell>
          <cell r="AO412" t="e">
            <v>#N/A</v>
          </cell>
          <cell r="AP412" t="e">
            <v>#DIV/0!</v>
          </cell>
          <cell r="AQ412" t="e">
            <v>#VALUE!</v>
          </cell>
          <cell r="AR412">
            <v>0</v>
          </cell>
          <cell r="AS412">
            <v>0</v>
          </cell>
          <cell r="AT412" t="e">
            <v>#N/A</v>
          </cell>
          <cell r="AU412" t="e">
            <v>#DIV/0!</v>
          </cell>
          <cell r="AV412">
            <v>0</v>
          </cell>
          <cell r="AW412" t="e">
            <v>#VALUE!</v>
          </cell>
          <cell r="AX412" t="e">
            <v>#VALUE!</v>
          </cell>
          <cell r="AY412" t="e">
            <v>#VALUE!</v>
          </cell>
          <cell r="AZ412" t="e">
            <v>#VALUE!</v>
          </cell>
          <cell r="BA412" t="e">
            <v>#VALUE!</v>
          </cell>
          <cell r="BB412" t="e">
            <v>#VALUE!</v>
          </cell>
          <cell r="BC412" t="e">
            <v>#VALUE!</v>
          </cell>
          <cell r="BD412" t="e">
            <v>#VALUE!</v>
          </cell>
          <cell r="BE412" t="e">
            <v>#VALUE!</v>
          </cell>
        </row>
        <row r="413">
          <cell r="H413">
            <v>0</v>
          </cell>
          <cell r="I413">
            <v>0</v>
          </cell>
          <cell r="J413">
            <v>1</v>
          </cell>
          <cell r="K413">
            <v>0</v>
          </cell>
          <cell r="L413">
            <v>0</v>
          </cell>
          <cell r="M413">
            <v>0</v>
          </cell>
          <cell r="N413">
            <v>0</v>
          </cell>
          <cell r="O413">
            <v>0</v>
          </cell>
          <cell r="P413">
            <v>0</v>
          </cell>
          <cell r="Q413">
            <v>0</v>
          </cell>
          <cell r="R413">
            <v>0</v>
          </cell>
          <cell r="S413">
            <v>0</v>
          </cell>
          <cell r="T413">
            <v>0</v>
          </cell>
          <cell r="U413">
            <v>0</v>
          </cell>
          <cell r="V413">
            <v>1</v>
          </cell>
          <cell r="W413">
            <v>0</v>
          </cell>
          <cell r="X413">
            <v>1</v>
          </cell>
          <cell r="Y413">
            <v>0.75068493150684934</v>
          </cell>
          <cell r="Z413">
            <v>0</v>
          </cell>
          <cell r="AA413">
            <v>0</v>
          </cell>
          <cell r="AB413">
            <v>0.50136986301369868</v>
          </cell>
          <cell r="AC413">
            <v>0.75342465753424659</v>
          </cell>
          <cell r="AD413">
            <v>0</v>
          </cell>
          <cell r="AE413">
            <v>0.25205479452054791</v>
          </cell>
          <cell r="AF413">
            <v>0.75068493150684934</v>
          </cell>
          <cell r="AG413">
            <v>0.75342465753424659</v>
          </cell>
          <cell r="AH413">
            <v>0</v>
          </cell>
          <cell r="AI413">
            <v>0</v>
          </cell>
          <cell r="AJ413">
            <v>0.49589041095890407</v>
          </cell>
          <cell r="AK413">
            <v>0.50410958904109582</v>
          </cell>
          <cell r="AL413">
            <v>0.24657534246575341</v>
          </cell>
          <cell r="AM413">
            <v>0</v>
          </cell>
          <cell r="AN413">
            <v>0.75068493150684934</v>
          </cell>
          <cell r="AO413">
            <v>0</v>
          </cell>
          <cell r="AP413">
            <v>0</v>
          </cell>
          <cell r="AQ413">
            <v>0</v>
          </cell>
          <cell r="AR413">
            <v>1</v>
          </cell>
          <cell r="AS413">
            <v>0</v>
          </cell>
          <cell r="AT413">
            <v>0</v>
          </cell>
          <cell r="AU413">
            <v>0</v>
          </cell>
          <cell r="AV413">
            <v>0.24931506849315066</v>
          </cell>
          <cell r="AW413">
            <v>0</v>
          </cell>
          <cell r="AX413">
            <v>0</v>
          </cell>
          <cell r="AY413">
            <v>0</v>
          </cell>
          <cell r="AZ413">
            <v>0</v>
          </cell>
          <cell r="BA413">
            <v>0</v>
          </cell>
          <cell r="BB413">
            <v>0</v>
          </cell>
          <cell r="BC413">
            <v>0</v>
          </cell>
          <cell r="BD413">
            <v>0</v>
          </cell>
          <cell r="BE413">
            <v>0</v>
          </cell>
        </row>
        <row r="416">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300</v>
          </cell>
          <cell r="AA416">
            <v>0</v>
          </cell>
          <cell r="AB416">
            <v>0</v>
          </cell>
          <cell r="AC416">
            <v>132</v>
          </cell>
          <cell r="AD416">
            <v>0</v>
          </cell>
          <cell r="AE416">
            <v>0</v>
          </cell>
          <cell r="AF416">
            <v>0</v>
          </cell>
          <cell r="AG416">
            <v>0</v>
          </cell>
          <cell r="AH416">
            <v>0</v>
          </cell>
          <cell r="AI416">
            <v>0</v>
          </cell>
          <cell r="AJ416">
            <v>0</v>
          </cell>
          <cell r="AK416">
            <v>0</v>
          </cell>
          <cell r="AL416">
            <v>196.1</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row>
        <row r="417">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7.8E-2</v>
          </cell>
          <cell r="AA417">
            <v>0</v>
          </cell>
          <cell r="AB417">
            <v>0</v>
          </cell>
          <cell r="AC417">
            <v>5.3749999999999999E-2</v>
          </cell>
          <cell r="AD417">
            <v>0</v>
          </cell>
          <cell r="AE417">
            <v>0</v>
          </cell>
          <cell r="AF417">
            <v>0</v>
          </cell>
          <cell r="AG417">
            <v>0</v>
          </cell>
          <cell r="AH417">
            <v>0</v>
          </cell>
          <cell r="AI417">
            <v>0</v>
          </cell>
          <cell r="AJ417">
            <v>0</v>
          </cell>
          <cell r="AK417">
            <v>0</v>
          </cell>
          <cell r="AL417">
            <v>0.05</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row>
        <row r="418">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25</v>
          </cell>
          <cell r="AA418">
            <v>0</v>
          </cell>
          <cell r="AB418">
            <v>0</v>
          </cell>
          <cell r="AC418">
            <v>20.625360943816517</v>
          </cell>
          <cell r="AD418">
            <v>0</v>
          </cell>
          <cell r="AE418">
            <v>0</v>
          </cell>
          <cell r="AF418">
            <v>0</v>
          </cell>
          <cell r="AG418">
            <v>0</v>
          </cell>
          <cell r="AH418">
            <v>0</v>
          </cell>
          <cell r="AI418">
            <v>0</v>
          </cell>
          <cell r="AJ418">
            <v>0</v>
          </cell>
          <cell r="AK418">
            <v>0</v>
          </cell>
          <cell r="AL418">
            <v>36.536741690266801</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row>
        <row r="419">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12</v>
          </cell>
          <cell r="AA419">
            <v>0</v>
          </cell>
          <cell r="AB419">
            <v>0</v>
          </cell>
          <cell r="AC419">
            <v>6.3998879999999998</v>
          </cell>
          <cell r="AD419">
            <v>0</v>
          </cell>
          <cell r="AE419">
            <v>0</v>
          </cell>
          <cell r="AF419">
            <v>0</v>
          </cell>
          <cell r="AG419">
            <v>0</v>
          </cell>
          <cell r="AH419">
            <v>0</v>
          </cell>
          <cell r="AI419">
            <v>0</v>
          </cell>
          <cell r="AJ419">
            <v>0</v>
          </cell>
          <cell r="AK419">
            <v>0</v>
          </cell>
          <cell r="AL419">
            <v>5.3672000000000004</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row>
        <row r="420">
          <cell r="H420">
            <v>0</v>
          </cell>
          <cell r="I420">
            <v>0</v>
          </cell>
          <cell r="J420">
            <v>0</v>
          </cell>
          <cell r="K420">
            <v>0</v>
          </cell>
          <cell r="L420">
            <v>0</v>
          </cell>
          <cell r="M420">
            <v>0</v>
          </cell>
          <cell r="N420">
            <v>0</v>
          </cell>
          <cell r="O420">
            <v>0</v>
          </cell>
          <cell r="P420">
            <v>0</v>
          </cell>
          <cell r="Q420">
            <v>0</v>
          </cell>
          <cell r="R420">
            <v>0</v>
          </cell>
          <cell r="S420">
            <v>0</v>
          </cell>
          <cell r="T420" t="e">
            <v>#VALUE!</v>
          </cell>
          <cell r="U420">
            <v>-2.0877838070956129E-2</v>
          </cell>
          <cell r="V420">
            <v>6.2927070608341964</v>
          </cell>
          <cell r="W420">
            <v>1.4611726903311231</v>
          </cell>
          <cell r="X420">
            <v>1.959960772048281</v>
          </cell>
          <cell r="Y420">
            <v>0.7272476510780338</v>
          </cell>
          <cell r="Z420" t="e">
            <v>#N/A</v>
          </cell>
          <cell r="AA420">
            <v>1.7739605734255479</v>
          </cell>
          <cell r="AB420">
            <v>2.6776822155884878</v>
          </cell>
          <cell r="AC420">
            <v>0.87442904431335655</v>
          </cell>
          <cell r="AD420" t="e">
            <v>#N/A</v>
          </cell>
          <cell r="AE420">
            <v>0.15154767047480602</v>
          </cell>
          <cell r="AF420">
            <v>2.1999910608532418</v>
          </cell>
          <cell r="AG420">
            <v>1.3329662723010089</v>
          </cell>
          <cell r="AH420">
            <v>0.31671156908847936</v>
          </cell>
          <cell r="AI420" t="e">
            <v>#DIV/0!</v>
          </cell>
          <cell r="AJ420" t="e">
            <v>#VALUE!</v>
          </cell>
          <cell r="AK420">
            <v>1.5082279792746116</v>
          </cell>
          <cell r="AL420">
            <v>1.3029900332225912</v>
          </cell>
          <cell r="AM420">
            <v>1.8855928403663016</v>
          </cell>
          <cell r="AN420">
            <v>-0.24936432802281777</v>
          </cell>
          <cell r="AO420" t="e">
            <v>#N/A</v>
          </cell>
          <cell r="AP420" t="e">
            <v>#DIV/0!</v>
          </cell>
          <cell r="AQ420" t="e">
            <v>#VALUE!</v>
          </cell>
          <cell r="AR420">
            <v>1.1532167423130122</v>
          </cell>
          <cell r="AS420">
            <v>2.3895382453828815</v>
          </cell>
          <cell r="AT420" t="e">
            <v>#N/A</v>
          </cell>
          <cell r="AU420" t="e">
            <v>#DIV/0!</v>
          </cell>
          <cell r="AV420">
            <v>2.9161682608695649</v>
          </cell>
          <cell r="AW420" t="e">
            <v>#VALUE!</v>
          </cell>
          <cell r="AX420" t="e">
            <v>#VALUE!</v>
          </cell>
          <cell r="AY420" t="e">
            <v>#VALUE!</v>
          </cell>
          <cell r="AZ420" t="e">
            <v>#VALUE!</v>
          </cell>
          <cell r="BA420" t="e">
            <v>#VALUE!</v>
          </cell>
          <cell r="BB420" t="e">
            <v>#VALUE!</v>
          </cell>
          <cell r="BC420" t="e">
            <v>#VALUE!</v>
          </cell>
          <cell r="BD420" t="e">
            <v>#VALUE!</v>
          </cell>
          <cell r="BE420" t="e">
            <v>#VALUE!</v>
          </cell>
        </row>
        <row r="421">
          <cell r="H421">
            <v>0</v>
          </cell>
          <cell r="I421">
            <v>0</v>
          </cell>
          <cell r="J421">
            <v>0</v>
          </cell>
          <cell r="K421">
            <v>0</v>
          </cell>
          <cell r="L421">
            <v>0</v>
          </cell>
          <cell r="M421">
            <v>0</v>
          </cell>
          <cell r="N421">
            <v>0</v>
          </cell>
          <cell r="O421">
            <v>0</v>
          </cell>
          <cell r="P421">
            <v>0</v>
          </cell>
          <cell r="Q421">
            <v>0</v>
          </cell>
          <cell r="R421">
            <v>0</v>
          </cell>
          <cell r="S421">
            <v>0</v>
          </cell>
          <cell r="T421" t="e">
            <v>#VALUE!</v>
          </cell>
          <cell r="U421">
            <v>-2.0877838070956129E-2</v>
          </cell>
          <cell r="V421">
            <v>6.2927070608341964</v>
          </cell>
          <cell r="W421">
            <v>1.4611726903311231</v>
          </cell>
          <cell r="X421">
            <v>1.959960772048281</v>
          </cell>
          <cell r="Y421">
            <v>0.7272476510780338</v>
          </cell>
          <cell r="Z421" t="e">
            <v>#N/A</v>
          </cell>
          <cell r="AA421">
            <v>1.7739605734255479</v>
          </cell>
          <cell r="AB421">
            <v>2.6776822155884878</v>
          </cell>
          <cell r="AC421">
            <v>0.82407766119617842</v>
          </cell>
          <cell r="AD421" t="e">
            <v>#N/A</v>
          </cell>
          <cell r="AE421">
            <v>0.15154767047480602</v>
          </cell>
          <cell r="AF421">
            <v>2.1999910608532418</v>
          </cell>
          <cell r="AG421">
            <v>1.3329662723010089</v>
          </cell>
          <cell r="AH421">
            <v>0.31671156908847936</v>
          </cell>
          <cell r="AI421" t="e">
            <v>#DIV/0!</v>
          </cell>
          <cell r="AJ421" t="e">
            <v>#VALUE!</v>
          </cell>
          <cell r="AK421">
            <v>1.5082279792746116</v>
          </cell>
          <cell r="AL421">
            <v>1.2848980006336381</v>
          </cell>
          <cell r="AM421">
            <v>1.8855928403663016</v>
          </cell>
          <cell r="AN421">
            <v>-0.24936432802281777</v>
          </cell>
          <cell r="AO421" t="e">
            <v>#N/A</v>
          </cell>
          <cell r="AP421" t="e">
            <v>#DIV/0!</v>
          </cell>
          <cell r="AQ421" t="e">
            <v>#VALUE!</v>
          </cell>
          <cell r="AR421">
            <v>1.1532167423130122</v>
          </cell>
          <cell r="AS421">
            <v>2.3895382453828815</v>
          </cell>
          <cell r="AT421" t="e">
            <v>#N/A</v>
          </cell>
          <cell r="AU421" t="e">
            <v>#DIV/0!</v>
          </cell>
          <cell r="AV421">
            <v>2.9161682608695649</v>
          </cell>
          <cell r="AW421" t="e">
            <v>#VALUE!</v>
          </cell>
          <cell r="AX421" t="e">
            <v>#VALUE!</v>
          </cell>
          <cell r="AY421" t="e">
            <v>#VALUE!</v>
          </cell>
          <cell r="AZ421" t="e">
            <v>#VALUE!</v>
          </cell>
          <cell r="BA421" t="e">
            <v>#VALUE!</v>
          </cell>
          <cell r="BB421" t="e">
            <v>#VALUE!</v>
          </cell>
          <cell r="BC421" t="e">
            <v>#VALUE!</v>
          </cell>
          <cell r="BD421" t="e">
            <v>#VALUE!</v>
          </cell>
          <cell r="BE421" t="e">
            <v>#VALUE!</v>
          </cell>
        </row>
        <row r="422">
          <cell r="H422" t="str">
            <v>No</v>
          </cell>
          <cell r="I422" t="str">
            <v>No</v>
          </cell>
          <cell r="J422" t="str">
            <v>No</v>
          </cell>
          <cell r="K422" t="str">
            <v>No</v>
          </cell>
          <cell r="L422" t="str">
            <v>No</v>
          </cell>
          <cell r="M422" t="str">
            <v>No</v>
          </cell>
          <cell r="N422" t="str">
            <v>No</v>
          </cell>
          <cell r="O422" t="str">
            <v>No</v>
          </cell>
          <cell r="P422" t="str">
            <v>No</v>
          </cell>
          <cell r="Q422" t="str">
            <v>No</v>
          </cell>
          <cell r="R422" t="str">
            <v>No</v>
          </cell>
          <cell r="S422" t="str">
            <v>No</v>
          </cell>
          <cell r="T422" t="e">
            <v>#VALUE!</v>
          </cell>
          <cell r="U422" t="str">
            <v>No</v>
          </cell>
          <cell r="V422" t="str">
            <v>No</v>
          </cell>
          <cell r="W422" t="str">
            <v>No</v>
          </cell>
          <cell r="X422" t="str">
            <v>No</v>
          </cell>
          <cell r="Y422" t="str">
            <v>No</v>
          </cell>
          <cell r="Z422" t="e">
            <v>#N/A</v>
          </cell>
          <cell r="AA422" t="str">
            <v>No</v>
          </cell>
          <cell r="AB422" t="str">
            <v>No</v>
          </cell>
          <cell r="AC422" t="str">
            <v>Yes</v>
          </cell>
          <cell r="AD422" t="e">
            <v>#N/A</v>
          </cell>
          <cell r="AE422" t="str">
            <v>No</v>
          </cell>
          <cell r="AF422" t="str">
            <v>No</v>
          </cell>
          <cell r="AG422" t="str">
            <v>No</v>
          </cell>
          <cell r="AH422" t="str">
            <v>No</v>
          </cell>
          <cell r="AI422" t="e">
            <v>#DIV/0!</v>
          </cell>
          <cell r="AJ422" t="e">
            <v>#VALUE!</v>
          </cell>
          <cell r="AK422" t="str">
            <v>No</v>
          </cell>
          <cell r="AL422" t="str">
            <v>Yes</v>
          </cell>
          <cell r="AM422" t="str">
            <v>No</v>
          </cell>
          <cell r="AN422" t="str">
            <v>No</v>
          </cell>
          <cell r="AO422" t="e">
            <v>#N/A</v>
          </cell>
          <cell r="AP422" t="e">
            <v>#DIV/0!</v>
          </cell>
          <cell r="AQ422" t="e">
            <v>#VALUE!</v>
          </cell>
          <cell r="AR422" t="str">
            <v>No</v>
          </cell>
          <cell r="AS422" t="str">
            <v>No</v>
          </cell>
          <cell r="AT422" t="e">
            <v>#N/A</v>
          </cell>
          <cell r="AU422" t="e">
            <v>#DIV/0!</v>
          </cell>
          <cell r="AV422" t="str">
            <v>No</v>
          </cell>
          <cell r="AW422" t="e">
            <v>#VALUE!</v>
          </cell>
          <cell r="AX422" t="e">
            <v>#VALUE!</v>
          </cell>
          <cell r="AY422" t="e">
            <v>#VALUE!</v>
          </cell>
          <cell r="AZ422" t="e">
            <v>#VALUE!</v>
          </cell>
          <cell r="BA422" t="e">
            <v>#VALUE!</v>
          </cell>
          <cell r="BB422" t="e">
            <v>#VALUE!</v>
          </cell>
          <cell r="BC422" t="e">
            <v>#VALUE!</v>
          </cell>
          <cell r="BD422" t="e">
            <v>#VALUE!</v>
          </cell>
          <cell r="BE422" t="e">
            <v>#VALUE!</v>
          </cell>
        </row>
        <row r="423">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3.2073287671232875</v>
          </cell>
          <cell r="AD423">
            <v>0</v>
          </cell>
          <cell r="AE423">
            <v>0</v>
          </cell>
          <cell r="AF423">
            <v>0</v>
          </cell>
          <cell r="AG423">
            <v>0</v>
          </cell>
          <cell r="AH423">
            <v>0</v>
          </cell>
          <cell r="AI423">
            <v>0</v>
          </cell>
          <cell r="AJ423">
            <v>0</v>
          </cell>
          <cell r="AK423">
            <v>0</v>
          </cell>
          <cell r="AL423">
            <v>1.4506027397260273</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row>
        <row r="424">
          <cell r="H424">
            <v>0</v>
          </cell>
          <cell r="I424">
            <v>0</v>
          </cell>
          <cell r="J424">
            <v>0</v>
          </cell>
          <cell r="K424">
            <v>0</v>
          </cell>
          <cell r="L424">
            <v>0</v>
          </cell>
          <cell r="M424">
            <v>0</v>
          </cell>
          <cell r="N424">
            <v>0</v>
          </cell>
          <cell r="O424">
            <v>0</v>
          </cell>
          <cell r="P424">
            <v>0</v>
          </cell>
          <cell r="Q424">
            <v>0</v>
          </cell>
          <cell r="R424">
            <v>0</v>
          </cell>
          <cell r="S424">
            <v>0</v>
          </cell>
          <cell r="T424" t="e">
            <v>#VALUE!</v>
          </cell>
          <cell r="U424">
            <v>0</v>
          </cell>
          <cell r="V424">
            <v>0</v>
          </cell>
          <cell r="W424">
            <v>0</v>
          </cell>
          <cell r="X424">
            <v>0</v>
          </cell>
          <cell r="Y424">
            <v>0</v>
          </cell>
          <cell r="Z424" t="e">
            <v>#N/A</v>
          </cell>
          <cell r="AA424">
            <v>0</v>
          </cell>
          <cell r="AB424">
            <v>0</v>
          </cell>
          <cell r="AC424">
            <v>6.3998879999999998</v>
          </cell>
          <cell r="AD424" t="e">
            <v>#N/A</v>
          </cell>
          <cell r="AE424">
            <v>0</v>
          </cell>
          <cell r="AF424">
            <v>0</v>
          </cell>
          <cell r="AG424">
            <v>0</v>
          </cell>
          <cell r="AH424">
            <v>0</v>
          </cell>
          <cell r="AI424" t="e">
            <v>#DIV/0!</v>
          </cell>
          <cell r="AJ424" t="e">
            <v>#VALUE!</v>
          </cell>
          <cell r="AK424">
            <v>0</v>
          </cell>
          <cell r="AL424">
            <v>5.3672000000000004</v>
          </cell>
          <cell r="AM424">
            <v>0</v>
          </cell>
          <cell r="AN424">
            <v>0</v>
          </cell>
          <cell r="AO424" t="e">
            <v>#N/A</v>
          </cell>
          <cell r="AP424" t="e">
            <v>#DIV/0!</v>
          </cell>
          <cell r="AQ424" t="e">
            <v>#VALUE!</v>
          </cell>
          <cell r="AR424">
            <v>0</v>
          </cell>
          <cell r="AS424">
            <v>0</v>
          </cell>
          <cell r="AT424" t="e">
            <v>#N/A</v>
          </cell>
          <cell r="AU424" t="e">
            <v>#DIV/0!</v>
          </cell>
          <cell r="AV424">
            <v>0</v>
          </cell>
          <cell r="AW424" t="e">
            <v>#VALUE!</v>
          </cell>
          <cell r="AX424" t="e">
            <v>#VALUE!</v>
          </cell>
          <cell r="AY424" t="e">
            <v>#VALUE!</v>
          </cell>
          <cell r="AZ424" t="e">
            <v>#VALUE!</v>
          </cell>
          <cell r="BA424" t="e">
            <v>#VALUE!</v>
          </cell>
          <cell r="BB424" t="e">
            <v>#VALUE!</v>
          </cell>
          <cell r="BC424" t="e">
            <v>#VALUE!</v>
          </cell>
          <cell r="BD424" t="e">
            <v>#VALUE!</v>
          </cell>
          <cell r="BE424" t="e">
            <v>#VALUE!</v>
          </cell>
        </row>
        <row r="425">
          <cell r="H425">
            <v>0</v>
          </cell>
          <cell r="I425">
            <v>0</v>
          </cell>
          <cell r="J425">
            <v>0</v>
          </cell>
          <cell r="K425">
            <v>0</v>
          </cell>
          <cell r="L425">
            <v>0</v>
          </cell>
          <cell r="M425">
            <v>0</v>
          </cell>
          <cell r="N425">
            <v>0</v>
          </cell>
          <cell r="O425">
            <v>0</v>
          </cell>
          <cell r="P425">
            <v>0</v>
          </cell>
          <cell r="Q425">
            <v>0</v>
          </cell>
          <cell r="R425">
            <v>0</v>
          </cell>
          <cell r="S425">
            <v>0</v>
          </cell>
          <cell r="T425" t="e">
            <v>#VALUE!</v>
          </cell>
          <cell r="U425">
            <v>0</v>
          </cell>
          <cell r="V425">
            <v>0</v>
          </cell>
          <cell r="W425">
            <v>0</v>
          </cell>
          <cell r="X425">
            <v>0</v>
          </cell>
          <cell r="Y425">
            <v>0</v>
          </cell>
          <cell r="Z425" t="e">
            <v>#N/A</v>
          </cell>
          <cell r="AA425">
            <v>0</v>
          </cell>
          <cell r="AB425">
            <v>0</v>
          </cell>
          <cell r="AC425">
            <v>132</v>
          </cell>
          <cell r="AD425" t="e">
            <v>#N/A</v>
          </cell>
          <cell r="AE425">
            <v>0</v>
          </cell>
          <cell r="AF425">
            <v>0</v>
          </cell>
          <cell r="AG425">
            <v>0</v>
          </cell>
          <cell r="AH425">
            <v>0</v>
          </cell>
          <cell r="AI425" t="e">
            <v>#DIV/0!</v>
          </cell>
          <cell r="AJ425" t="e">
            <v>#VALUE!</v>
          </cell>
          <cell r="AK425">
            <v>0</v>
          </cell>
          <cell r="AL425">
            <v>196.1</v>
          </cell>
          <cell r="AM425">
            <v>0</v>
          </cell>
          <cell r="AN425">
            <v>0</v>
          </cell>
          <cell r="AO425" t="e">
            <v>#N/A</v>
          </cell>
          <cell r="AP425" t="e">
            <v>#DIV/0!</v>
          </cell>
          <cell r="AQ425" t="e">
            <v>#VALUE!</v>
          </cell>
          <cell r="AR425">
            <v>0</v>
          </cell>
          <cell r="AS425">
            <v>0</v>
          </cell>
          <cell r="AT425" t="e">
            <v>#N/A</v>
          </cell>
          <cell r="AU425" t="e">
            <v>#DIV/0!</v>
          </cell>
          <cell r="AV425">
            <v>0</v>
          </cell>
          <cell r="AW425" t="e">
            <v>#VALUE!</v>
          </cell>
          <cell r="AX425" t="e">
            <v>#VALUE!</v>
          </cell>
          <cell r="AY425" t="e">
            <v>#VALUE!</v>
          </cell>
          <cell r="AZ425" t="e">
            <v>#VALUE!</v>
          </cell>
          <cell r="BA425" t="e">
            <v>#VALUE!</v>
          </cell>
          <cell r="BB425" t="e">
            <v>#VALUE!</v>
          </cell>
          <cell r="BC425" t="e">
            <v>#VALUE!</v>
          </cell>
          <cell r="BD425" t="e">
            <v>#VALUE!</v>
          </cell>
          <cell r="BE425" t="e">
            <v>#VALUE!</v>
          </cell>
        </row>
        <row r="426">
          <cell r="H426">
            <v>0</v>
          </cell>
          <cell r="I426">
            <v>0</v>
          </cell>
          <cell r="J426">
            <v>1</v>
          </cell>
          <cell r="K426">
            <v>0</v>
          </cell>
          <cell r="L426">
            <v>0</v>
          </cell>
          <cell r="M426">
            <v>0</v>
          </cell>
          <cell r="N426">
            <v>0</v>
          </cell>
          <cell r="O426">
            <v>0</v>
          </cell>
          <cell r="P426">
            <v>0</v>
          </cell>
          <cell r="Q426">
            <v>0</v>
          </cell>
          <cell r="R426">
            <v>0</v>
          </cell>
          <cell r="S426">
            <v>0</v>
          </cell>
          <cell r="T426">
            <v>0</v>
          </cell>
          <cell r="U426">
            <v>0</v>
          </cell>
          <cell r="V426">
            <v>1</v>
          </cell>
          <cell r="W426">
            <v>0</v>
          </cell>
          <cell r="X426">
            <v>1</v>
          </cell>
          <cell r="Y426">
            <v>0.75068493150684934</v>
          </cell>
          <cell r="Z426">
            <v>0</v>
          </cell>
          <cell r="AA426">
            <v>0</v>
          </cell>
          <cell r="AB426">
            <v>0.50136986301369868</v>
          </cell>
          <cell r="AC426">
            <v>0.75342465753424659</v>
          </cell>
          <cell r="AD426">
            <v>0</v>
          </cell>
          <cell r="AE426">
            <v>0.25205479452054791</v>
          </cell>
          <cell r="AF426">
            <v>0.75068493150684934</v>
          </cell>
          <cell r="AG426">
            <v>0.75342465753424659</v>
          </cell>
          <cell r="AH426">
            <v>0</v>
          </cell>
          <cell r="AI426">
            <v>0</v>
          </cell>
          <cell r="AJ426">
            <v>0.49589041095890407</v>
          </cell>
          <cell r="AK426">
            <v>0.50410958904109582</v>
          </cell>
          <cell r="AL426">
            <v>0.24657534246575341</v>
          </cell>
          <cell r="AM426">
            <v>0</v>
          </cell>
          <cell r="AN426">
            <v>0.75068493150684934</v>
          </cell>
          <cell r="AO426">
            <v>0</v>
          </cell>
          <cell r="AP426">
            <v>0</v>
          </cell>
          <cell r="AQ426">
            <v>0</v>
          </cell>
          <cell r="AR426">
            <v>1</v>
          </cell>
          <cell r="AS426">
            <v>0</v>
          </cell>
          <cell r="AT426">
            <v>0</v>
          </cell>
          <cell r="AU426">
            <v>0</v>
          </cell>
          <cell r="AV426">
            <v>0.24931506849315066</v>
          </cell>
          <cell r="AW426">
            <v>0</v>
          </cell>
          <cell r="AX426">
            <v>0</v>
          </cell>
          <cell r="AY426">
            <v>0</v>
          </cell>
          <cell r="AZ426">
            <v>0</v>
          </cell>
          <cell r="BA426">
            <v>0</v>
          </cell>
          <cell r="BB426">
            <v>0</v>
          </cell>
          <cell r="BC426">
            <v>0</v>
          </cell>
          <cell r="BD426">
            <v>0</v>
          </cell>
          <cell r="BE426">
            <v>0</v>
          </cell>
        </row>
        <row r="427">
          <cell r="H427">
            <v>59.207999999999998</v>
          </cell>
          <cell r="I427">
            <v>145.916</v>
          </cell>
          <cell r="J427">
            <v>42.494525000000003</v>
          </cell>
          <cell r="K427">
            <v>26.085000000000001</v>
          </cell>
          <cell r="L427">
            <v>60.100999999999999</v>
          </cell>
          <cell r="M427">
            <v>213.28299999999999</v>
          </cell>
          <cell r="N427">
            <v>45.409689999999998</v>
          </cell>
          <cell r="O427">
            <v>15.414</v>
          </cell>
          <cell r="P427">
            <v>125.556</v>
          </cell>
          <cell r="Q427">
            <v>186.74</v>
          </cell>
          <cell r="R427">
            <v>35.048999999999999</v>
          </cell>
          <cell r="S427">
            <v>136.77799999999999</v>
          </cell>
          <cell r="T427">
            <v>57.9</v>
          </cell>
          <cell r="U427">
            <v>16.077313</v>
          </cell>
          <cell r="V427">
            <v>28.199946000000001</v>
          </cell>
          <cell r="W427">
            <v>52.961227999999998</v>
          </cell>
          <cell r="X427">
            <v>47.744526999999998</v>
          </cell>
          <cell r="Y427">
            <v>44.61</v>
          </cell>
          <cell r="Z427">
            <v>135.58958899999999</v>
          </cell>
          <cell r="AA427">
            <v>53.001061999999997</v>
          </cell>
          <cell r="AB427">
            <v>112.89100000000001</v>
          </cell>
          <cell r="AC427">
            <v>40.850999999999999</v>
          </cell>
          <cell r="AD427">
            <v>0</v>
          </cell>
          <cell r="AE427">
            <v>71.217195000000004</v>
          </cell>
          <cell r="AF427">
            <v>44.747</v>
          </cell>
          <cell r="AG427">
            <v>24.778272999999999</v>
          </cell>
          <cell r="AH427">
            <v>26.098680000000002</v>
          </cell>
          <cell r="AI427">
            <v>0</v>
          </cell>
          <cell r="AJ427">
            <v>31.284690000000001</v>
          </cell>
          <cell r="AK427">
            <v>57.9</v>
          </cell>
          <cell r="AL427">
            <v>301</v>
          </cell>
          <cell r="AM427">
            <v>73.771000000000001</v>
          </cell>
          <cell r="AN427">
            <v>12.315314000000001</v>
          </cell>
          <cell r="AO427">
            <v>0</v>
          </cell>
          <cell r="AP427">
            <v>0</v>
          </cell>
          <cell r="AQ427">
            <v>0</v>
          </cell>
          <cell r="AR427">
            <v>68.506</v>
          </cell>
          <cell r="AS427">
            <v>12.884701959999999</v>
          </cell>
          <cell r="AT427">
            <v>0</v>
          </cell>
          <cell r="AU427">
            <v>0</v>
          </cell>
          <cell r="AV427">
            <v>460</v>
          </cell>
          <cell r="AW427">
            <v>0</v>
          </cell>
          <cell r="AX427">
            <v>0</v>
          </cell>
          <cell r="AY427">
            <v>0</v>
          </cell>
          <cell r="AZ427">
            <v>0</v>
          </cell>
          <cell r="BA427">
            <v>0</v>
          </cell>
          <cell r="BB427">
            <v>0</v>
          </cell>
          <cell r="BC427">
            <v>0</v>
          </cell>
          <cell r="BD427">
            <v>0</v>
          </cell>
          <cell r="BE427">
            <v>0</v>
          </cell>
        </row>
        <row r="428">
          <cell r="H428">
            <v>59.207999999999998</v>
          </cell>
          <cell r="I428">
            <v>145.916</v>
          </cell>
          <cell r="J428">
            <v>42.494525000000003</v>
          </cell>
          <cell r="K428">
            <v>26.085000000000001</v>
          </cell>
          <cell r="L428">
            <v>60.100999999999999</v>
          </cell>
          <cell r="M428">
            <v>213.28299999999999</v>
          </cell>
          <cell r="N428">
            <v>45.409689999999998</v>
          </cell>
          <cell r="O428">
            <v>15.414</v>
          </cell>
          <cell r="P428">
            <v>125.556</v>
          </cell>
          <cell r="Q428">
            <v>186.74</v>
          </cell>
          <cell r="R428">
            <v>35.048999999999999</v>
          </cell>
          <cell r="S428">
            <v>136.77799999999999</v>
          </cell>
          <cell r="T428" t="e">
            <v>#VALUE!</v>
          </cell>
          <cell r="U428">
            <v>16.76418788240828</v>
          </cell>
          <cell r="V428">
            <v>28.199946000000001</v>
          </cell>
          <cell r="W428">
            <v>52.961227999999998</v>
          </cell>
          <cell r="X428">
            <v>47.744526999999998</v>
          </cell>
          <cell r="Y428">
            <v>45.028677578342901</v>
          </cell>
          <cell r="Z428" t="e">
            <v>#N/A</v>
          </cell>
          <cell r="AA428">
            <v>55.435392123796419</v>
          </cell>
          <cell r="AB428">
            <v>112.89100000000001</v>
          </cell>
          <cell r="AC428">
            <v>41.045068474576269</v>
          </cell>
          <cell r="AD428" t="e">
            <v>#N/A</v>
          </cell>
          <cell r="AE428">
            <v>71.217195000000004</v>
          </cell>
          <cell r="AF428">
            <v>44.747</v>
          </cell>
          <cell r="AG428">
            <v>28.247526424657533</v>
          </cell>
          <cell r="AH428">
            <v>27.428742262247841</v>
          </cell>
          <cell r="AI428">
            <v>0</v>
          </cell>
          <cell r="AJ428" t="e">
            <v>#VALUE!</v>
          </cell>
          <cell r="AK428">
            <v>57.9</v>
          </cell>
          <cell r="AL428">
            <v>301</v>
          </cell>
          <cell r="AM428">
            <v>75.042711751340619</v>
          </cell>
          <cell r="AN428">
            <v>12.315314000000001</v>
          </cell>
          <cell r="AO428" t="e">
            <v>#N/A</v>
          </cell>
          <cell r="AP428">
            <v>0</v>
          </cell>
          <cell r="AQ428" t="e">
            <v>#VALUE!</v>
          </cell>
          <cell r="AR428">
            <v>69.047731513411563</v>
          </cell>
          <cell r="AS428">
            <v>15.757437686027396</v>
          </cell>
          <cell r="AT428" t="e">
            <v>#N/A</v>
          </cell>
          <cell r="AU428">
            <v>0</v>
          </cell>
          <cell r="AV428">
            <v>460</v>
          </cell>
          <cell r="AW428" t="e">
            <v>#VALUE!</v>
          </cell>
          <cell r="AX428" t="e">
            <v>#VALUE!</v>
          </cell>
          <cell r="AY428" t="e">
            <v>#VALUE!</v>
          </cell>
          <cell r="AZ428" t="e">
            <v>#VALUE!</v>
          </cell>
          <cell r="BA428" t="e">
            <v>#VALUE!</v>
          </cell>
          <cell r="BB428" t="e">
            <v>#VALUE!</v>
          </cell>
          <cell r="BC428" t="e">
            <v>#VALUE!</v>
          </cell>
          <cell r="BD428" t="e">
            <v>#VALUE!</v>
          </cell>
          <cell r="BE428" t="e">
            <v>#VALUE!</v>
          </cell>
        </row>
        <row r="429">
          <cell r="H429">
            <v>59.207999999999998</v>
          </cell>
          <cell r="I429">
            <v>145.916</v>
          </cell>
          <cell r="J429">
            <v>42.494525000000003</v>
          </cell>
          <cell r="K429">
            <v>26.085000000000001</v>
          </cell>
          <cell r="L429">
            <v>60.100999999999999</v>
          </cell>
          <cell r="M429">
            <v>213.28299999999999</v>
          </cell>
          <cell r="N429">
            <v>45.409689999999998</v>
          </cell>
          <cell r="O429">
            <v>15.414</v>
          </cell>
          <cell r="P429">
            <v>125.556</v>
          </cell>
          <cell r="Q429">
            <v>186.74</v>
          </cell>
          <cell r="R429">
            <v>35.048999999999999</v>
          </cell>
          <cell r="S429">
            <v>136.77799999999999</v>
          </cell>
          <cell r="T429">
            <v>57.9</v>
          </cell>
          <cell r="U429">
            <v>16.077313</v>
          </cell>
          <cell r="V429">
            <v>28.199946000000001</v>
          </cell>
          <cell r="W429">
            <v>52.961227999999998</v>
          </cell>
          <cell r="X429">
            <v>47.744526999999998</v>
          </cell>
          <cell r="Y429">
            <v>44.61</v>
          </cell>
          <cell r="Z429">
            <v>135.58958899999999</v>
          </cell>
          <cell r="AA429">
            <v>53.001061999999997</v>
          </cell>
          <cell r="AB429">
            <v>112.89100000000001</v>
          </cell>
          <cell r="AC429">
            <v>40.850999999999999</v>
          </cell>
          <cell r="AD429">
            <v>0</v>
          </cell>
          <cell r="AE429">
            <v>71.217195000000004</v>
          </cell>
          <cell r="AF429">
            <v>44.747</v>
          </cell>
          <cell r="AG429">
            <v>24.778272999999999</v>
          </cell>
          <cell r="AH429">
            <v>26.098680000000002</v>
          </cell>
          <cell r="AI429">
            <v>0</v>
          </cell>
          <cell r="AJ429">
            <v>31.284690000000001</v>
          </cell>
          <cell r="AK429">
            <v>57.9</v>
          </cell>
          <cell r="AL429">
            <v>301</v>
          </cell>
          <cell r="AM429">
            <v>73.771000000000001</v>
          </cell>
          <cell r="AN429">
            <v>12.315314000000001</v>
          </cell>
          <cell r="AO429">
            <v>0</v>
          </cell>
          <cell r="AP429">
            <v>0</v>
          </cell>
          <cell r="AQ429">
            <v>0</v>
          </cell>
          <cell r="AR429">
            <v>68.506</v>
          </cell>
          <cell r="AS429">
            <v>12.884701959999999</v>
          </cell>
          <cell r="AT429">
            <v>0</v>
          </cell>
          <cell r="AU429">
            <v>0</v>
          </cell>
          <cell r="AV429">
            <v>460</v>
          </cell>
          <cell r="AW429">
            <v>0</v>
          </cell>
          <cell r="AX429">
            <v>0</v>
          </cell>
          <cell r="AY429">
            <v>0</v>
          </cell>
          <cell r="AZ429">
            <v>0</v>
          </cell>
          <cell r="BA429">
            <v>0</v>
          </cell>
          <cell r="BB429">
            <v>0</v>
          </cell>
          <cell r="BC429">
            <v>0</v>
          </cell>
          <cell r="BD429">
            <v>0</v>
          </cell>
          <cell r="BE429">
            <v>0</v>
          </cell>
        </row>
        <row r="431">
          <cell r="H431">
            <v>2043.2680799999998</v>
          </cell>
          <cell r="I431">
            <v>825.88455999999996</v>
          </cell>
          <cell r="J431">
            <v>1236.16573225</v>
          </cell>
          <cell r="K431">
            <v>1154.26125</v>
          </cell>
          <cell r="L431">
            <v>1084.82305</v>
          </cell>
          <cell r="M431">
            <v>4052.377</v>
          </cell>
          <cell r="N431">
            <v>1362.7447969</v>
          </cell>
          <cell r="O431">
            <v>189.12977999999998</v>
          </cell>
          <cell r="P431">
            <v>693.06911999999988</v>
          </cell>
          <cell r="Q431">
            <v>3236.2041999999997</v>
          </cell>
          <cell r="R431">
            <v>1173.4405199999999</v>
          </cell>
          <cell r="S431">
            <v>3285.4075599999996</v>
          </cell>
          <cell r="T431" t="e">
            <v>#VALUE!</v>
          </cell>
          <cell r="U431">
            <v>341.80367438000002</v>
          </cell>
          <cell r="V431">
            <v>1467.8071892999999</v>
          </cell>
          <cell r="W431">
            <v>1827.6919782799998</v>
          </cell>
          <cell r="X431">
            <v>1653.8704152799999</v>
          </cell>
          <cell r="Y431">
            <v>1087.5917999999999</v>
          </cell>
          <cell r="Z431" t="e">
            <v>#N/A</v>
          </cell>
          <cell r="AA431">
            <v>3853.1772074</v>
          </cell>
          <cell r="AB431">
            <v>8207.1757000000016</v>
          </cell>
          <cell r="AC431">
            <v>602.55224999999996</v>
          </cell>
          <cell r="AD431" t="e">
            <v>#N/A</v>
          </cell>
          <cell r="AE431">
            <v>558.34280880000006</v>
          </cell>
          <cell r="AF431">
            <v>2382.7777500000002</v>
          </cell>
          <cell r="AG431">
            <v>832.0544073399999</v>
          </cell>
          <cell r="AH431">
            <v>1358.4362940000001</v>
          </cell>
          <cell r="AI431">
            <v>0</v>
          </cell>
          <cell r="AJ431" t="e">
            <v>#VALUE!</v>
          </cell>
          <cell r="AK431">
            <v>1673.31</v>
          </cell>
          <cell r="AL431">
            <v>9574.81</v>
          </cell>
          <cell r="AM431">
            <v>3714.36985</v>
          </cell>
          <cell r="AN431">
            <v>61.453416860000004</v>
          </cell>
          <cell r="AO431" t="e">
            <v>#N/A</v>
          </cell>
          <cell r="AP431">
            <v>0</v>
          </cell>
          <cell r="AQ431" t="e">
            <v>#VALUE!</v>
          </cell>
          <cell r="AR431">
            <v>3269.1063199999999</v>
          </cell>
          <cell r="AS431">
            <v>432.66829181679998</v>
          </cell>
          <cell r="AT431" t="e">
            <v>#N/A</v>
          </cell>
          <cell r="AU431">
            <v>0</v>
          </cell>
          <cell r="AV431">
            <v>29757.399999999998</v>
          </cell>
          <cell r="AW431" t="e">
            <v>#VALUE!</v>
          </cell>
          <cell r="AX431" t="e">
            <v>#VALUE!</v>
          </cell>
          <cell r="AY431" t="e">
            <v>#VALUE!</v>
          </cell>
          <cell r="AZ431" t="e">
            <v>#VALUE!</v>
          </cell>
          <cell r="BA431" t="e">
            <v>#VALUE!</v>
          </cell>
          <cell r="BB431" t="e">
            <v>#VALUE!</v>
          </cell>
          <cell r="BC431" t="e">
            <v>#VALUE!</v>
          </cell>
          <cell r="BD431" t="e">
            <v>#VALUE!</v>
          </cell>
          <cell r="BE431" t="e">
            <v>#VALUE!</v>
          </cell>
        </row>
        <row r="432">
          <cell r="H432">
            <v>2043.2680799999998</v>
          </cell>
          <cell r="I432">
            <v>825.88455999999996</v>
          </cell>
          <cell r="J432">
            <v>1236.16573225</v>
          </cell>
          <cell r="K432">
            <v>1154.26125</v>
          </cell>
          <cell r="L432">
            <v>1084.82305</v>
          </cell>
          <cell r="M432">
            <v>4052.377</v>
          </cell>
          <cell r="N432">
            <v>1362.7447969</v>
          </cell>
          <cell r="O432">
            <v>189.12977999999998</v>
          </cell>
          <cell r="P432">
            <v>549.72611999999992</v>
          </cell>
          <cell r="Q432">
            <v>3236.2041999999997</v>
          </cell>
          <cell r="R432">
            <v>1173.4405199999999</v>
          </cell>
          <cell r="S432">
            <v>3285.4075599999996</v>
          </cell>
          <cell r="T432" t="e">
            <v>#VALUE!</v>
          </cell>
          <cell r="U432">
            <v>324.06467438000004</v>
          </cell>
          <cell r="V432">
            <v>1649.5821892999998</v>
          </cell>
          <cell r="W432">
            <v>1275.9429782799998</v>
          </cell>
          <cell r="X432">
            <v>1961.02941528</v>
          </cell>
          <cell r="Y432">
            <v>996.24379999999996</v>
          </cell>
          <cell r="Z432" t="e">
            <v>#N/A</v>
          </cell>
          <cell r="AA432">
            <v>4099.8132074000005</v>
          </cell>
          <cell r="AB432">
            <v>8982.2497000000003</v>
          </cell>
          <cell r="AC432">
            <v>843.87924999999996</v>
          </cell>
          <cell r="AD432" t="e">
            <v>#N/A</v>
          </cell>
          <cell r="AE432">
            <v>643.13680880000004</v>
          </cell>
          <cell r="AF432">
            <v>2546.1067500000004</v>
          </cell>
          <cell r="AG432">
            <v>1024.3234073399999</v>
          </cell>
          <cell r="AH432">
            <v>1358.4362940000001</v>
          </cell>
          <cell r="AI432" t="e">
            <v>#DIV/0!</v>
          </cell>
          <cell r="AJ432" t="e">
            <v>#VALUE!</v>
          </cell>
          <cell r="AK432">
            <v>2585.61</v>
          </cell>
          <cell r="AL432">
            <v>10516.11</v>
          </cell>
          <cell r="AM432">
            <v>4128.9500200000002</v>
          </cell>
          <cell r="AN432">
            <v>68.246416860000011</v>
          </cell>
          <cell r="AO432" t="e">
            <v>#N/A</v>
          </cell>
          <cell r="AP432" t="e">
            <v>#DIV/0!</v>
          </cell>
          <cell r="AQ432" t="e">
            <v>#VALUE!</v>
          </cell>
          <cell r="AR432">
            <v>3136.66932</v>
          </cell>
          <cell r="AS432">
            <v>624.93729181679998</v>
          </cell>
          <cell r="AT432" t="e">
            <v>#N/A</v>
          </cell>
          <cell r="AU432" t="e">
            <v>#DIV/0!</v>
          </cell>
          <cell r="AV432">
            <v>31751.616999999995</v>
          </cell>
          <cell r="AW432" t="e">
            <v>#VALUE!</v>
          </cell>
          <cell r="AX432" t="e">
            <v>#VALUE!</v>
          </cell>
          <cell r="AY432" t="e">
            <v>#VALUE!</v>
          </cell>
          <cell r="AZ432" t="e">
            <v>#VALUE!</v>
          </cell>
          <cell r="BA432" t="e">
            <v>#VALUE!</v>
          </cell>
          <cell r="BB432" t="e">
            <v>#VALUE!</v>
          </cell>
          <cell r="BC432" t="e">
            <v>#VALUE!</v>
          </cell>
          <cell r="BD432" t="e">
            <v>#VALUE!</v>
          </cell>
          <cell r="BE432" t="e">
            <v>#VALUE!</v>
          </cell>
        </row>
        <row r="438">
          <cell r="H438" t="str">
            <v xml:space="preserve">NA </v>
          </cell>
          <cell r="I438" t="str">
            <v xml:space="preserve">NA </v>
          </cell>
          <cell r="J438" t="str">
            <v xml:space="preserve">NA </v>
          </cell>
          <cell r="K438" t="str">
            <v xml:space="preserve">NA </v>
          </cell>
          <cell r="L438" t="str">
            <v xml:space="preserve">NA </v>
          </cell>
          <cell r="M438" t="str">
            <v xml:space="preserve">NA </v>
          </cell>
          <cell r="N438" t="str">
            <v xml:space="preserve">NA </v>
          </cell>
          <cell r="O438" t="str">
            <v xml:space="preserve">NA </v>
          </cell>
          <cell r="P438" t="str">
            <v xml:space="preserve">NA </v>
          </cell>
          <cell r="Q438" t="str">
            <v xml:space="preserve">NA </v>
          </cell>
          <cell r="R438" t="str">
            <v xml:space="preserve">NA </v>
          </cell>
          <cell r="S438" t="str">
            <v xml:space="preserve">NA </v>
          </cell>
          <cell r="T438" t="str">
            <v xml:space="preserve">NA </v>
          </cell>
          <cell r="U438">
            <v>4.0672809174657356</v>
          </cell>
          <cell r="V438">
            <v>1.9198869066628801</v>
          </cell>
          <cell r="W438">
            <v>2.0653545224220755</v>
          </cell>
          <cell r="X438">
            <v>3.0781380373985812</v>
          </cell>
          <cell r="Y438">
            <v>1.1029778650201332</v>
          </cell>
          <cell r="Z438" t="str">
            <v xml:space="preserve">NA </v>
          </cell>
          <cell r="AA438">
            <v>0.30746914124605967</v>
          </cell>
          <cell r="AB438">
            <v>0.23855536301210298</v>
          </cell>
          <cell r="AC438">
            <v>0.21878202640330252</v>
          </cell>
          <cell r="AD438" t="str">
            <v xml:space="preserve">NA </v>
          </cell>
          <cell r="AE438">
            <v>0.36168628550154597</v>
          </cell>
          <cell r="AF438">
            <v>0.97498153318416947</v>
          </cell>
          <cell r="AG438">
            <v>1.2664949780782553</v>
          </cell>
          <cell r="AH438">
            <v>10.645718739224472</v>
          </cell>
          <cell r="AI438" t="str">
            <v xml:space="preserve">NA </v>
          </cell>
          <cell r="AJ438" t="str">
            <v xml:space="preserve">NA </v>
          </cell>
          <cell r="AK438">
            <v>0.84232799061767027</v>
          </cell>
          <cell r="AL438">
            <v>0.29631859833414115</v>
          </cell>
          <cell r="AM438">
            <v>3.500750792532433</v>
          </cell>
          <cell r="AN438">
            <v>0.20774595782763944</v>
          </cell>
          <cell r="AO438" t="str">
            <v xml:space="preserve">NA </v>
          </cell>
          <cell r="AP438" t="str">
            <v xml:space="preserve">NA </v>
          </cell>
          <cell r="AQ438" t="str">
            <v xml:space="preserve">NA </v>
          </cell>
          <cell r="AR438">
            <v>2.2573842815658698</v>
          </cell>
          <cell r="AS438">
            <v>0.77268559522148017</v>
          </cell>
          <cell r="AT438" t="str">
            <v xml:space="preserve">NA </v>
          </cell>
          <cell r="AU438" t="str">
            <v xml:space="preserve">NA </v>
          </cell>
          <cell r="AV438">
            <v>0.72316420222959643</v>
          </cell>
          <cell r="AW438" t="str">
            <v xml:space="preserve">NA </v>
          </cell>
          <cell r="AX438" t="str">
            <v xml:space="preserve">NA </v>
          </cell>
          <cell r="AY438" t="str">
            <v xml:space="preserve">NA </v>
          </cell>
          <cell r="AZ438" t="str">
            <v xml:space="preserve">NA </v>
          </cell>
          <cell r="BA438" t="str">
            <v xml:space="preserve">NA </v>
          </cell>
          <cell r="BB438" t="str">
            <v xml:space="preserve">NA </v>
          </cell>
          <cell r="BC438" t="str">
            <v xml:space="preserve">NA </v>
          </cell>
          <cell r="BD438" t="str">
            <v xml:space="preserve">NA </v>
          </cell>
          <cell r="BE438" t="str">
            <v xml:space="preserve">NA </v>
          </cell>
        </row>
        <row r="439">
          <cell r="H439" t="str">
            <v xml:space="preserve">NA </v>
          </cell>
          <cell r="I439" t="str">
            <v xml:space="preserve">NA </v>
          </cell>
          <cell r="J439" t="str">
            <v xml:space="preserve">NA </v>
          </cell>
          <cell r="K439" t="str">
            <v xml:space="preserve">NA </v>
          </cell>
          <cell r="L439" t="str">
            <v xml:space="preserve">NA </v>
          </cell>
          <cell r="M439" t="str">
            <v xml:space="preserve">NA </v>
          </cell>
          <cell r="N439" t="str">
            <v xml:space="preserve">NA </v>
          </cell>
          <cell r="O439" t="str">
            <v xml:space="preserve">NA </v>
          </cell>
          <cell r="P439" t="str">
            <v xml:space="preserve">NA </v>
          </cell>
          <cell r="Q439" t="str">
            <v xml:space="preserve">NA </v>
          </cell>
          <cell r="R439" t="str">
            <v xml:space="preserve">NA </v>
          </cell>
          <cell r="S439" t="str">
            <v xml:space="preserve">NA </v>
          </cell>
          <cell r="T439" t="str">
            <v xml:space="preserve">NA </v>
          </cell>
          <cell r="U439">
            <v>380.35759903755888</v>
          </cell>
          <cell r="V439">
            <v>7.1204576777975364</v>
          </cell>
          <cell r="W439">
            <v>11.046555219387152</v>
          </cell>
          <cell r="X439">
            <v>15.882638821414108</v>
          </cell>
          <cell r="Y439">
            <v>20.971346174086936</v>
          </cell>
          <cell r="Z439" t="str">
            <v xml:space="preserve">NA </v>
          </cell>
          <cell r="AA439">
            <v>17.429325995961314</v>
          </cell>
          <cell r="AB439">
            <v>13.19043316342789</v>
          </cell>
          <cell r="AC439">
            <v>9.2015052719957247</v>
          </cell>
          <cell r="AD439" t="str">
            <v xml:space="preserve">NA </v>
          </cell>
          <cell r="AE439">
            <v>38.091495427623791</v>
          </cell>
          <cell r="AF439">
            <v>15.830354644764579</v>
          </cell>
          <cell r="AG439">
            <v>13.795973054358365</v>
          </cell>
          <cell r="AH439">
            <v>82.907311199267625</v>
          </cell>
          <cell r="AI439" t="str">
            <v xml:space="preserve">NA </v>
          </cell>
          <cell r="AJ439" t="str">
            <v xml:space="preserve">NA </v>
          </cell>
          <cell r="AK439">
            <v>11.380325704225353</v>
          </cell>
          <cell r="AL439">
            <v>14.626022253129348</v>
          </cell>
          <cell r="AM439">
            <v>18.821424592592592</v>
          </cell>
          <cell r="AN439">
            <v>-19.690252989036356</v>
          </cell>
          <cell r="AO439" t="str">
            <v xml:space="preserve">NA </v>
          </cell>
          <cell r="AP439" t="str">
            <v xml:space="preserve">NA </v>
          </cell>
          <cell r="AQ439" t="str">
            <v xml:space="preserve">NA </v>
          </cell>
          <cell r="AR439">
            <v>23.015467756526228</v>
          </cell>
          <cell r="AS439">
            <v>8.4168905804439174</v>
          </cell>
          <cell r="AT439" t="str">
            <v xml:space="preserve">NA </v>
          </cell>
          <cell r="AU439" t="str">
            <v xml:space="preserve">NA </v>
          </cell>
          <cell r="AV439">
            <v>16.486236121762435</v>
          </cell>
          <cell r="AW439" t="str">
            <v xml:space="preserve">NA </v>
          </cell>
          <cell r="AX439" t="str">
            <v xml:space="preserve">NA </v>
          </cell>
          <cell r="AY439" t="str">
            <v xml:space="preserve">NA </v>
          </cell>
          <cell r="AZ439" t="str">
            <v xml:space="preserve">NA </v>
          </cell>
          <cell r="BA439" t="str">
            <v xml:space="preserve">NA </v>
          </cell>
          <cell r="BB439" t="str">
            <v xml:space="preserve">NA </v>
          </cell>
          <cell r="BC439" t="str">
            <v xml:space="preserve">NA </v>
          </cell>
          <cell r="BD439" t="str">
            <v xml:space="preserve">NA </v>
          </cell>
          <cell r="BE439" t="str">
            <v xml:space="preserve">NA </v>
          </cell>
        </row>
        <row r="440">
          <cell r="H440" t="str">
            <v xml:space="preserve">NA </v>
          </cell>
          <cell r="I440" t="str">
            <v xml:space="preserve">NA </v>
          </cell>
          <cell r="J440" t="str">
            <v xml:space="preserve">NA </v>
          </cell>
          <cell r="K440" t="str">
            <v xml:space="preserve">NA </v>
          </cell>
          <cell r="L440" t="str">
            <v xml:space="preserve">NA </v>
          </cell>
          <cell r="M440" t="str">
            <v xml:space="preserve">NA </v>
          </cell>
          <cell r="N440" t="str">
            <v xml:space="preserve">NA </v>
          </cell>
          <cell r="O440" t="str">
            <v xml:space="preserve">NA </v>
          </cell>
          <cell r="P440" t="str">
            <v xml:space="preserve">NA </v>
          </cell>
          <cell r="Q440" t="str">
            <v xml:space="preserve">NA </v>
          </cell>
          <cell r="R440" t="str">
            <v xml:space="preserve">NA </v>
          </cell>
          <cell r="S440" t="str">
            <v xml:space="preserve">NA </v>
          </cell>
          <cell r="T440" t="str">
            <v xml:space="preserve">NA </v>
          </cell>
          <cell r="U440">
            <v>44.624714180666494</v>
          </cell>
          <cell r="V440">
            <v>6.3022490947296026</v>
          </cell>
          <cell r="W440">
            <v>9.2891303898531135</v>
          </cell>
          <cell r="X440">
            <v>12.56868716731293</v>
          </cell>
          <cell r="Y440">
            <v>19.478049543472732</v>
          </cell>
          <cell r="Z440" t="str">
            <v xml:space="preserve">NA </v>
          </cell>
          <cell r="AA440">
            <v>16.227565189890953</v>
          </cell>
          <cell r="AB440">
            <v>12.060742046670633</v>
          </cell>
          <cell r="AC440">
            <v>7.409664234473917</v>
          </cell>
          <cell r="AD440" t="str">
            <v xml:space="preserve">NA </v>
          </cell>
          <cell r="AE440">
            <v>16.719617553163832</v>
          </cell>
          <cell r="AF440">
            <v>13.590906058001806</v>
          </cell>
          <cell r="AG440">
            <v>8.8145687675547286</v>
          </cell>
          <cell r="AH440">
            <v>81.01361486164123</v>
          </cell>
          <cell r="AI440" t="str">
            <v xml:space="preserve">NA </v>
          </cell>
          <cell r="AJ440" t="str">
            <v xml:space="preserve">NA </v>
          </cell>
          <cell r="AK440">
            <v>8.4002923976608201</v>
          </cell>
          <cell r="AL440">
            <v>11.177838010204082</v>
          </cell>
          <cell r="AM440">
            <v>14.201129569248973</v>
          </cell>
          <cell r="AN440">
            <v>109.89761169082135</v>
          </cell>
          <cell r="AO440" t="str">
            <v xml:space="preserve">NA </v>
          </cell>
          <cell r="AP440" t="str">
            <v xml:space="preserve">NA </v>
          </cell>
          <cell r="AQ440" t="str">
            <v xml:space="preserve">NA </v>
          </cell>
          <cell r="AR440">
            <v>21.298080332987801</v>
          </cell>
          <cell r="AS440">
            <v>5.3777475889508457</v>
          </cell>
          <cell r="AT440" t="str">
            <v xml:space="preserve">NA </v>
          </cell>
          <cell r="AU440" t="str">
            <v xml:space="preserve">NA </v>
          </cell>
          <cell r="AV440">
            <v>14.043814026025952</v>
          </cell>
          <cell r="AW440" t="str">
            <v xml:space="preserve">NA </v>
          </cell>
          <cell r="AX440" t="str">
            <v xml:space="preserve">NA </v>
          </cell>
          <cell r="AY440" t="str">
            <v xml:space="preserve">NA </v>
          </cell>
          <cell r="AZ440" t="str">
            <v xml:space="preserve">NA </v>
          </cell>
          <cell r="BA440" t="str">
            <v xml:space="preserve">NA </v>
          </cell>
          <cell r="BB440" t="str">
            <v xml:space="preserve">NA </v>
          </cell>
          <cell r="BC440" t="str">
            <v xml:space="preserve">NA </v>
          </cell>
          <cell r="BD440" t="str">
            <v xml:space="preserve">NA </v>
          </cell>
          <cell r="BE440" t="str">
            <v xml:space="preserve">NA </v>
          </cell>
        </row>
        <row r="441">
          <cell r="H441" t="str">
            <v xml:space="preserve">NA </v>
          </cell>
          <cell r="I441" t="str">
            <v xml:space="preserve">NA </v>
          </cell>
          <cell r="J441">
            <v>2472.3314645</v>
          </cell>
          <cell r="K441" t="str">
            <v xml:space="preserve">NA </v>
          </cell>
          <cell r="L441" t="str">
            <v xml:space="preserve">NA </v>
          </cell>
          <cell r="M441">
            <v>8104.7539999999999</v>
          </cell>
          <cell r="N441" t="str">
            <v xml:space="preserve">NA </v>
          </cell>
          <cell r="O441" t="str">
            <v xml:space="preserve">NA </v>
          </cell>
          <cell r="P441" t="str">
            <v xml:space="preserve">NA </v>
          </cell>
          <cell r="Q441" t="str">
            <v xml:space="preserve">NA </v>
          </cell>
          <cell r="R441">
            <v>6.0576396463831701</v>
          </cell>
          <cell r="S441" t="str">
            <v xml:space="preserve">NA </v>
          </cell>
          <cell r="T441" t="str">
            <v xml:space="preserve">NA </v>
          </cell>
          <cell r="U441">
            <v>4.5547326649706958</v>
          </cell>
          <cell r="V441">
            <v>3.835310039664825</v>
          </cell>
          <cell r="W441" t="str">
            <v xml:space="preserve">NA </v>
          </cell>
          <cell r="X441">
            <v>3.2780471344346918</v>
          </cell>
          <cell r="Y441">
            <v>1.23738548290938</v>
          </cell>
          <cell r="Z441" t="str">
            <v xml:space="preserve">NA </v>
          </cell>
          <cell r="AA441" t="str">
            <v xml:space="preserve">NA </v>
          </cell>
          <cell r="AB441">
            <v>0.24924085419086975</v>
          </cell>
          <cell r="AC441">
            <v>0.22120067554496808</v>
          </cell>
          <cell r="AD441" t="str">
            <v xml:space="preserve">NA </v>
          </cell>
          <cell r="AE441">
            <v>0.47765404319064442</v>
          </cell>
          <cell r="AF441">
            <v>0.99525602141782488</v>
          </cell>
          <cell r="AG441">
            <v>1.322188728466358</v>
          </cell>
          <cell r="AH441">
            <v>3.1583902823503154</v>
          </cell>
          <cell r="AI441" t="str">
            <v xml:space="preserve">NA </v>
          </cell>
          <cell r="AJ441" t="str">
            <v xml:space="preserve">NA </v>
          </cell>
          <cell r="AK441">
            <v>0.89778125000000009</v>
          </cell>
          <cell r="AL441">
            <v>0.44824939046222573</v>
          </cell>
          <cell r="AM441">
            <v>3.500750792532433</v>
          </cell>
          <cell r="AN441">
            <v>0.4566123064982856</v>
          </cell>
          <cell r="AO441" t="str">
            <v xml:space="preserve">NA </v>
          </cell>
          <cell r="AP441" t="str">
            <v xml:space="preserve">NA </v>
          </cell>
          <cell r="AQ441" t="str">
            <v xml:space="preserve">NA </v>
          </cell>
          <cell r="AR441">
            <v>3.600941050234042</v>
          </cell>
          <cell r="AS441">
            <v>0.80666422080912026</v>
          </cell>
          <cell r="AT441" t="str">
            <v xml:space="preserve">NA </v>
          </cell>
          <cell r="AU441" t="str">
            <v xml:space="preserve">NA </v>
          </cell>
          <cell r="AV441">
            <v>1.605833557127085</v>
          </cell>
          <cell r="AW441" t="str">
            <v xml:space="preserve">NA </v>
          </cell>
          <cell r="AX441" t="str">
            <v xml:space="preserve">NA </v>
          </cell>
          <cell r="AY441" t="str">
            <v xml:space="preserve">NA </v>
          </cell>
          <cell r="AZ441" t="str">
            <v xml:space="preserve">NA </v>
          </cell>
          <cell r="BA441" t="str">
            <v xml:space="preserve">NA </v>
          </cell>
          <cell r="BB441" t="str">
            <v xml:space="preserve">NA </v>
          </cell>
          <cell r="BC441" t="str">
            <v xml:space="preserve">NA </v>
          </cell>
          <cell r="BD441" t="str">
            <v xml:space="preserve">NA </v>
          </cell>
          <cell r="BE441" t="str">
            <v xml:space="preserve">NA </v>
          </cell>
        </row>
        <row r="442">
          <cell r="H442">
            <v>3.1343947868185542</v>
          </cell>
          <cell r="I442">
            <v>2.7735281119238078</v>
          </cell>
          <cell r="J442">
            <v>16.659017468734838</v>
          </cell>
          <cell r="K442">
            <v>1.333173076923077</v>
          </cell>
          <cell r="L442">
            <v>3.7851070993674174</v>
          </cell>
          <cell r="M442">
            <v>4.6941085846007713</v>
          </cell>
          <cell r="N442">
            <v>1.1558283972282064</v>
          </cell>
          <cell r="O442">
            <v>1.813324832214765</v>
          </cell>
          <cell r="P442">
            <v>0.42344604150298093</v>
          </cell>
          <cell r="Q442">
            <v>1.5742589872063044</v>
          </cell>
          <cell r="R442">
            <v>1.4800517382187395</v>
          </cell>
          <cell r="S442">
            <v>3.6413050769123343</v>
          </cell>
          <cell r="T442" t="str">
            <v xml:space="preserve">NA </v>
          </cell>
          <cell r="U442">
            <v>3.0833936667935307</v>
          </cell>
          <cell r="V442">
            <v>1.4088516994200893</v>
          </cell>
          <cell r="W442">
            <v>1.9573099871449915</v>
          </cell>
          <cell r="X442">
            <v>2.7744199982739715</v>
          </cell>
          <cell r="Y442">
            <v>0.84301631209694683</v>
          </cell>
          <cell r="Z442" t="str">
            <v xml:space="preserve">NA </v>
          </cell>
          <cell r="AA442">
            <v>9.8123827798239124E-2</v>
          </cell>
          <cell r="AB442">
            <v>0.21497875103498429</v>
          </cell>
          <cell r="AC442">
            <v>0.21055486150668568</v>
          </cell>
          <cell r="AD442" t="str">
            <v xml:space="preserve">NA </v>
          </cell>
          <cell r="AE442">
            <v>0.34332756106981177</v>
          </cell>
          <cell r="AF442">
            <v>0.90750882164242963</v>
          </cell>
          <cell r="AG442">
            <v>1.0995313518033489</v>
          </cell>
          <cell r="AH442">
            <v>1.1601939532142767</v>
          </cell>
          <cell r="AI442" t="str">
            <v xml:space="preserve">NA </v>
          </cell>
          <cell r="AJ442" t="str">
            <v xml:space="preserve">NA </v>
          </cell>
          <cell r="AK442">
            <v>0.80721104915801378</v>
          </cell>
          <cell r="AL442">
            <v>0.26756786257597787</v>
          </cell>
          <cell r="AM442">
            <v>3.3825830663990497</v>
          </cell>
          <cell r="AN442">
            <v>0.18620920060899745</v>
          </cell>
          <cell r="AO442" t="str">
            <v xml:space="preserve">NA </v>
          </cell>
          <cell r="AP442" t="str">
            <v xml:space="preserve">NA </v>
          </cell>
          <cell r="AQ442" t="str">
            <v xml:space="preserve">NA </v>
          </cell>
          <cell r="AR442">
            <v>2.05007761530642</v>
          </cell>
          <cell r="AS442">
            <v>0.67082148112580509</v>
          </cell>
          <cell r="AT442" t="str">
            <v xml:space="preserve">NA </v>
          </cell>
          <cell r="AU442" t="str">
            <v xml:space="preserve">NA </v>
          </cell>
          <cell r="AV442">
            <v>0.70029338041417755</v>
          </cell>
          <cell r="AW442" t="str">
            <v xml:space="preserve">NA </v>
          </cell>
          <cell r="AX442" t="str">
            <v xml:space="preserve">NA </v>
          </cell>
          <cell r="AY442" t="str">
            <v xml:space="preserve">NA </v>
          </cell>
          <cell r="AZ442" t="str">
            <v xml:space="preserve">NA </v>
          </cell>
          <cell r="BA442" t="str">
            <v xml:space="preserve">NA </v>
          </cell>
          <cell r="BB442" t="str">
            <v xml:space="preserve">NA </v>
          </cell>
          <cell r="BC442" t="str">
            <v xml:space="preserve">NA </v>
          </cell>
          <cell r="BD442" t="str">
            <v xml:space="preserve">NA </v>
          </cell>
          <cell r="BE442" t="str">
            <v xml:space="preserve">NA </v>
          </cell>
        </row>
        <row r="443">
          <cell r="H443">
            <v>2.7616097139682894</v>
          </cell>
          <cell r="I443">
            <v>2.3841933025404156</v>
          </cell>
          <cell r="J443">
            <v>7.7646650351121824</v>
          </cell>
          <cell r="K443">
            <v>1.2318689967982925</v>
          </cell>
          <cell r="L443">
            <v>3.1328458099655183</v>
          </cell>
          <cell r="M443">
            <v>2.2405348696414205</v>
          </cell>
          <cell r="N443">
            <v>1.0977041337951587</v>
          </cell>
          <cell r="O443">
            <v>1.5420283734203015</v>
          </cell>
          <cell r="P443">
            <v>0.39355826490360174</v>
          </cell>
          <cell r="Q443">
            <v>1.4761146334120907</v>
          </cell>
          <cell r="R443">
            <v>1.3306144408592069</v>
          </cell>
          <cell r="S443">
            <v>3.2977179410740289</v>
          </cell>
          <cell r="T443" t="str">
            <v xml:space="preserve">NA </v>
          </cell>
          <cell r="U443">
            <v>2.4568966973464748</v>
          </cell>
          <cell r="V443">
            <v>0.99069572520628946</v>
          </cell>
          <cell r="W443">
            <v>1.7245199285292401</v>
          </cell>
          <cell r="X443">
            <v>2.4873723230770399</v>
          </cell>
          <cell r="Y443">
            <v>0.68130600934446495</v>
          </cell>
          <cell r="Z443" t="str">
            <v xml:space="preserve">NA </v>
          </cell>
          <cell r="AA443">
            <v>8.6263735454101167E-2</v>
          </cell>
          <cell r="AB443">
            <v>0.18899456455843397</v>
          </cell>
          <cell r="AC443">
            <v>0.20248323395678622</v>
          </cell>
          <cell r="AD443" t="str">
            <v xml:space="preserve">NA </v>
          </cell>
          <cell r="AE443">
            <v>0.26062876935731583</v>
          </cell>
          <cell r="AF443">
            <v>0.8487022500000001</v>
          </cell>
          <cell r="AG443">
            <v>0.95494654112711497</v>
          </cell>
          <cell r="AH443">
            <v>0.81584114945006969</v>
          </cell>
          <cell r="AI443" t="str">
            <v xml:space="preserve">NA </v>
          </cell>
          <cell r="AJ443" t="str">
            <v xml:space="preserve">NA </v>
          </cell>
          <cell r="AK443">
            <v>0.76108575574763826</v>
          </cell>
          <cell r="AL443">
            <v>0.22773570309387392</v>
          </cell>
          <cell r="AM443">
            <v>3.1526884993051629</v>
          </cell>
          <cell r="AN443">
            <v>0.11883211009059297</v>
          </cell>
          <cell r="AO443" t="str">
            <v xml:space="preserve">NA </v>
          </cell>
          <cell r="AP443" t="str">
            <v xml:space="preserve">NA </v>
          </cell>
          <cell r="AQ443" t="str">
            <v xml:space="preserve">NA </v>
          </cell>
          <cell r="AR443">
            <v>1.7781891322690033</v>
          </cell>
          <cell r="AS443">
            <v>0.58261062957796106</v>
          </cell>
          <cell r="AT443" t="str">
            <v xml:space="preserve">NA </v>
          </cell>
          <cell r="AU443" t="str">
            <v xml:space="preserve">NA </v>
          </cell>
          <cell r="AV443">
            <v>0.58066204903829877</v>
          </cell>
          <cell r="AW443" t="str">
            <v xml:space="preserve">NA </v>
          </cell>
          <cell r="AX443" t="str">
            <v xml:space="preserve">NA </v>
          </cell>
          <cell r="AY443" t="str">
            <v xml:space="preserve">NA </v>
          </cell>
          <cell r="AZ443" t="str">
            <v xml:space="preserve">NA </v>
          </cell>
          <cell r="BA443" t="str">
            <v xml:space="preserve">NA </v>
          </cell>
          <cell r="BB443" t="str">
            <v xml:space="preserve">NA </v>
          </cell>
          <cell r="BC443" t="str">
            <v xml:space="preserve">NA </v>
          </cell>
          <cell r="BD443" t="str">
            <v xml:space="preserve">NA </v>
          </cell>
          <cell r="BE443" t="str">
            <v xml:space="preserve">NA </v>
          </cell>
        </row>
        <row r="444">
          <cell r="H444">
            <v>2.325370254267674</v>
          </cell>
          <cell r="I444">
            <v>1.9758003827751196</v>
          </cell>
          <cell r="J444">
            <v>6.6204426010673769</v>
          </cell>
          <cell r="K444">
            <v>1.0439567769477054</v>
          </cell>
          <cell r="L444">
            <v>2.6590950983780552</v>
          </cell>
          <cell r="M444">
            <v>1.9804697034774217</v>
          </cell>
          <cell r="N444">
            <v>1.0301971552010887</v>
          </cell>
          <cell r="O444">
            <v>1.2598271024675665</v>
          </cell>
          <cell r="P444">
            <v>0.34000714030548751</v>
          </cell>
          <cell r="Q444">
            <v>1.2670511874781893</v>
          </cell>
          <cell r="R444">
            <v>1.3306144408592069</v>
          </cell>
          <cell r="S444">
            <v>2.7894755042074344</v>
          </cell>
          <cell r="T444" t="str">
            <v xml:space="preserve">NA </v>
          </cell>
          <cell r="U444">
            <v>1.9853710685628081</v>
          </cell>
          <cell r="V444">
            <v>0.78676074367053062</v>
          </cell>
          <cell r="W444">
            <v>1.452105025706669</v>
          </cell>
          <cell r="X444">
            <v>2.1504040140719631</v>
          </cell>
          <cell r="Y444">
            <v>0.5417078868923153</v>
          </cell>
          <cell r="Z444" t="str">
            <v xml:space="preserve">NA </v>
          </cell>
          <cell r="AA444" t="str">
            <v xml:space="preserve">NA </v>
          </cell>
          <cell r="AB444" t="str">
            <v xml:space="preserve">NA </v>
          </cell>
          <cell r="AC444">
            <v>0.17918870261662501</v>
          </cell>
          <cell r="AD444" t="str">
            <v xml:space="preserve">NA </v>
          </cell>
          <cell r="AE444">
            <v>0.26062876935731583</v>
          </cell>
          <cell r="AF444">
            <v>0.73800195652173928</v>
          </cell>
          <cell r="AG444">
            <v>0.78512418081650492</v>
          </cell>
          <cell r="AH444">
            <v>0.64790002937047342</v>
          </cell>
          <cell r="AI444" t="str">
            <v xml:space="preserve">NA </v>
          </cell>
          <cell r="AJ444" t="str">
            <v xml:space="preserve">NA </v>
          </cell>
          <cell r="AK444">
            <v>0.65707135953348716</v>
          </cell>
          <cell r="AL444">
            <v>0.2020964209503727</v>
          </cell>
          <cell r="AM444">
            <v>2.8290456741790768</v>
          </cell>
          <cell r="AN444">
            <v>0.11883211009059297</v>
          </cell>
          <cell r="AO444" t="str">
            <v xml:space="preserve">NA </v>
          </cell>
          <cell r="AP444" t="str">
            <v xml:space="preserve">NA </v>
          </cell>
          <cell r="AQ444" t="str">
            <v xml:space="preserve">NA </v>
          </cell>
          <cell r="AR444">
            <v>1.5285118158535038</v>
          </cell>
          <cell r="AS444">
            <v>0.47900240859817567</v>
          </cell>
          <cell r="AT444" t="str">
            <v xml:space="preserve">NA </v>
          </cell>
          <cell r="AU444" t="str">
            <v xml:space="preserve">NA </v>
          </cell>
          <cell r="AV444">
            <v>0.50993572406863974</v>
          </cell>
          <cell r="AW444" t="str">
            <v xml:space="preserve">NA </v>
          </cell>
          <cell r="AX444" t="str">
            <v xml:space="preserve">NA </v>
          </cell>
          <cell r="AY444" t="str">
            <v xml:space="preserve">NA </v>
          </cell>
          <cell r="AZ444" t="str">
            <v xml:space="preserve">NA </v>
          </cell>
          <cell r="BA444" t="str">
            <v xml:space="preserve">NA </v>
          </cell>
          <cell r="BB444" t="str">
            <v xml:space="preserve">NA </v>
          </cell>
          <cell r="BC444" t="str">
            <v xml:space="preserve">NA </v>
          </cell>
          <cell r="BD444" t="str">
            <v xml:space="preserve">NA </v>
          </cell>
          <cell r="BE444" t="str">
            <v xml:space="preserve">NA </v>
          </cell>
        </row>
        <row r="453">
          <cell r="H453" t="str">
            <v>NA</v>
          </cell>
          <cell r="I453" t="str">
            <v>NA</v>
          </cell>
          <cell r="J453" t="str">
            <v>NA</v>
          </cell>
          <cell r="K453" t="str">
            <v>NA</v>
          </cell>
          <cell r="L453" t="str">
            <v>NA</v>
          </cell>
          <cell r="M453" t="str">
            <v>NA</v>
          </cell>
          <cell r="N453" t="str">
            <v>NA</v>
          </cell>
          <cell r="O453" t="str">
            <v>NA</v>
          </cell>
          <cell r="P453" t="str">
            <v>NA</v>
          </cell>
          <cell r="Q453" t="str">
            <v>NA</v>
          </cell>
          <cell r="R453" t="str">
            <v>NA</v>
          </cell>
          <cell r="S453" t="str">
            <v>NA</v>
          </cell>
          <cell r="T453" t="str">
            <v>NA</v>
          </cell>
          <cell r="U453">
            <v>-1979.8164170195391</v>
          </cell>
          <cell r="V453">
            <v>40.291767243951924</v>
          </cell>
          <cell r="W453">
            <v>23.993849493768213</v>
          </cell>
          <cell r="X453">
            <v>17.585320079918652</v>
          </cell>
          <cell r="Y453">
            <v>33.174915801349037</v>
          </cell>
          <cell r="Z453" t="str">
            <v>NA</v>
          </cell>
          <cell r="AA453">
            <v>75.247732829504116</v>
          </cell>
          <cell r="AB453">
            <v>26.349617831207272</v>
          </cell>
          <cell r="AC453">
            <v>16.703121415305308</v>
          </cell>
          <cell r="AD453" t="str">
            <v>NA</v>
          </cell>
          <cell r="AE453">
            <v>52.216996413843695</v>
          </cell>
          <cell r="AF453">
            <v>23.646249770215494</v>
          </cell>
          <cell r="AG453">
            <v>24.009089690505899</v>
          </cell>
          <cell r="AH453" t="str">
            <v>NA</v>
          </cell>
          <cell r="AI453" t="str">
            <v>NA</v>
          </cell>
          <cell r="AJ453" t="str">
            <v>NA</v>
          </cell>
          <cell r="AK453">
            <v>18.933171398463799</v>
          </cell>
          <cell r="AL453">
            <v>24.160690875182929</v>
          </cell>
          <cell r="AM453">
            <v>24.801378091872788</v>
          </cell>
          <cell r="AN453">
            <v>-19.550976779420537</v>
          </cell>
          <cell r="AO453" t="str">
            <v>NA</v>
          </cell>
          <cell r="AP453" t="str">
            <v>NA</v>
          </cell>
          <cell r="AQ453" t="str">
            <v>NA</v>
          </cell>
          <cell r="AR453">
            <v>40.819726474688231</v>
          </cell>
          <cell r="AS453" t="str">
            <v>NA</v>
          </cell>
          <cell r="AT453" t="str">
            <v>NA</v>
          </cell>
          <cell r="AU453" t="str">
            <v>NA</v>
          </cell>
          <cell r="AV453">
            <v>22.897173451607394</v>
          </cell>
          <cell r="AW453" t="str">
            <v>NA</v>
          </cell>
          <cell r="AX453" t="str">
            <v>NA</v>
          </cell>
          <cell r="AY453" t="str">
            <v>NA</v>
          </cell>
          <cell r="AZ453" t="str">
            <v>NA</v>
          </cell>
          <cell r="BA453" t="str">
            <v>NA</v>
          </cell>
          <cell r="BB453" t="str">
            <v>NA</v>
          </cell>
          <cell r="BC453" t="str">
            <v>NA</v>
          </cell>
          <cell r="BD453" t="str">
            <v>NA</v>
          </cell>
          <cell r="BE453" t="str">
            <v>NA</v>
          </cell>
        </row>
        <row r="454">
          <cell r="H454" t="e">
            <v>#DIV/0!</v>
          </cell>
          <cell r="I454" t="e">
            <v>#DIV/0!</v>
          </cell>
          <cell r="J454" t="e">
            <v>#DIV/0!</v>
          </cell>
          <cell r="K454" t="e">
            <v>#DIV/0!</v>
          </cell>
          <cell r="L454" t="e">
            <v>#DIV/0!</v>
          </cell>
          <cell r="M454" t="e">
            <v>#DIV/0!</v>
          </cell>
          <cell r="N454" t="e">
            <v>#DIV/0!</v>
          </cell>
          <cell r="O454" t="e">
            <v>#DIV/0!</v>
          </cell>
          <cell r="P454" t="e">
            <v>#DIV/0!</v>
          </cell>
          <cell r="Q454" t="e">
            <v>#DIV/0!</v>
          </cell>
          <cell r="R454" t="e">
            <v>#DIV/0!</v>
          </cell>
          <cell r="S454" t="e">
            <v>#DIV/0!</v>
          </cell>
          <cell r="T454" t="e">
            <v>#VALUE!</v>
          </cell>
          <cell r="U454">
            <v>3.7327851911148002</v>
          </cell>
          <cell r="V454">
            <v>3.1160062101160375</v>
          </cell>
          <cell r="W454">
            <v>1.0730879483187019</v>
          </cell>
          <cell r="X454">
            <v>4.4056452492554561</v>
          </cell>
          <cell r="Y454">
            <v>4.0101020231331086</v>
          </cell>
          <cell r="Z454" t="e">
            <v>#N/A</v>
          </cell>
          <cell r="AA454">
            <v>9.5630134824098771</v>
          </cell>
          <cell r="AB454">
            <v>2.6911190382349108</v>
          </cell>
          <cell r="AC454">
            <v>2.4448376809124435</v>
          </cell>
          <cell r="AD454" t="e">
            <v>#N/A</v>
          </cell>
          <cell r="AE454">
            <v>1.7191521864165678</v>
          </cell>
          <cell r="AF454">
            <v>3.3682408029119699</v>
          </cell>
          <cell r="AG454">
            <v>3.3893341018851935</v>
          </cell>
          <cell r="AH454" t="e">
            <v>#DIV/0!</v>
          </cell>
          <cell r="AI454" t="e">
            <v>#DIV/0!</v>
          </cell>
          <cell r="AJ454" t="e">
            <v>#VALUE!</v>
          </cell>
          <cell r="AK454">
            <v>36.857048458149777</v>
          </cell>
          <cell r="AL454">
            <v>2.5309428775342973</v>
          </cell>
          <cell r="AM454">
            <v>4.6108029417767327</v>
          </cell>
          <cell r="AN454">
            <v>0.81389864061982664</v>
          </cell>
          <cell r="AO454" t="e">
            <v>#N/A</v>
          </cell>
          <cell r="AP454" t="e">
            <v>#DIV/0!</v>
          </cell>
          <cell r="AQ454" t="e">
            <v>#VALUE!</v>
          </cell>
          <cell r="AR454">
            <v>6.0173175306424085</v>
          </cell>
          <cell r="AS454">
            <v>1.7624537329803007</v>
          </cell>
          <cell r="AT454" t="e">
            <v>#N/A</v>
          </cell>
          <cell r="AU454">
            <v>0</v>
          </cell>
          <cell r="AV454">
            <v>4.7926236108874214</v>
          </cell>
          <cell r="AW454" t="e">
            <v>#VALUE!</v>
          </cell>
          <cell r="AX454" t="e">
            <v>#VALUE!</v>
          </cell>
          <cell r="AY454" t="e">
            <v>#VALUE!</v>
          </cell>
          <cell r="AZ454" t="e">
            <v>#VALUE!</v>
          </cell>
          <cell r="BA454" t="e">
            <v>#VALUE!</v>
          </cell>
          <cell r="BB454" t="e">
            <v>#VALUE!</v>
          </cell>
          <cell r="BC454" t="e">
            <v>#VALUE!</v>
          </cell>
          <cell r="BD454" t="e">
            <v>#VALUE!</v>
          </cell>
          <cell r="BE454" t="e">
            <v>#VALUE!</v>
          </cell>
        </row>
        <row r="455">
          <cell r="H455" t="e">
            <v>#DIV/0!</v>
          </cell>
          <cell r="I455" t="e">
            <v>#DIV/0!</v>
          </cell>
          <cell r="J455" t="e">
            <v>#DIV/0!</v>
          </cell>
          <cell r="K455" t="e">
            <v>#DIV/0!</v>
          </cell>
          <cell r="L455" t="e">
            <v>#DIV/0!</v>
          </cell>
          <cell r="M455" t="e">
            <v>#DIV/0!</v>
          </cell>
          <cell r="N455" t="e">
            <v>#DIV/0!</v>
          </cell>
          <cell r="O455" t="e">
            <v>#DIV/0!</v>
          </cell>
          <cell r="P455" t="e">
            <v>#DIV/0!</v>
          </cell>
          <cell r="Q455" t="e">
            <v>#DIV/0!</v>
          </cell>
          <cell r="R455" t="e">
            <v>#DIV/0!</v>
          </cell>
          <cell r="S455" t="e">
            <v>#DIV/0!</v>
          </cell>
          <cell r="T455" t="e">
            <v>#VALUE!</v>
          </cell>
          <cell r="U455">
            <v>4.2254845950723823</v>
          </cell>
          <cell r="V455">
            <v>3.1160062101160375</v>
          </cell>
          <cell r="W455">
            <v>2.880545911756593</v>
          </cell>
          <cell r="X455">
            <v>4.7641926315728824</v>
          </cell>
          <cell r="Y455">
            <v>5.795852917665866</v>
          </cell>
          <cell r="Z455" t="e">
            <v>#N/A</v>
          </cell>
          <cell r="AA455">
            <v>6.2438155483788389</v>
          </cell>
          <cell r="AB455">
            <v>6.7073734579378161</v>
          </cell>
          <cell r="AC455">
            <v>3.3450037471896077</v>
          </cell>
          <cell r="AD455" t="e">
            <v>#N/A</v>
          </cell>
          <cell r="AE455">
            <v>2.2545095164260105</v>
          </cell>
          <cell r="AF455">
            <v>5.7510704312377667</v>
          </cell>
          <cell r="AG455">
            <v>8.1309307678927407</v>
          </cell>
          <cell r="AH455" t="e">
            <v>#DIV/0!</v>
          </cell>
          <cell r="AI455" t="e">
            <v>#DIV/0!</v>
          </cell>
          <cell r="AJ455" t="e">
            <v>#VALUE!</v>
          </cell>
          <cell r="AK455">
            <v>36.857048458149777</v>
          </cell>
          <cell r="AL455">
            <v>3.1863988818263507</v>
          </cell>
          <cell r="AM455">
            <v>5.4786007530659226</v>
          </cell>
          <cell r="AN455">
            <v>1.3574265961300587</v>
          </cell>
          <cell r="AO455" t="e">
            <v>#N/A</v>
          </cell>
          <cell r="AP455" t="e">
            <v>#DIV/0!</v>
          </cell>
          <cell r="AQ455" t="e">
            <v>#VALUE!</v>
          </cell>
          <cell r="AR455">
            <v>7.9295083088550973</v>
          </cell>
          <cell r="AS455">
            <v>4.2280839993042258</v>
          </cell>
          <cell r="AT455" t="e">
            <v>#N/A</v>
          </cell>
          <cell r="AU455" t="e">
            <v>#DIV/0!</v>
          </cell>
          <cell r="AV455">
            <v>6.1540096896896221</v>
          </cell>
          <cell r="AW455" t="e">
            <v>#VALUE!</v>
          </cell>
          <cell r="AX455" t="e">
            <v>#VALUE!</v>
          </cell>
          <cell r="AY455" t="e">
            <v>#VALUE!</v>
          </cell>
          <cell r="AZ455" t="e">
            <v>#VALUE!</v>
          </cell>
          <cell r="BA455" t="e">
            <v>#VALUE!</v>
          </cell>
          <cell r="BB455" t="e">
            <v>#VALUE!</v>
          </cell>
          <cell r="BC455" t="e">
            <v>#VALUE!</v>
          </cell>
          <cell r="BD455" t="e">
            <v>#VALUE!</v>
          </cell>
          <cell r="BE455" t="e">
            <v>#VALUE!</v>
          </cell>
        </row>
        <row r="456">
          <cell r="H456">
            <v>18.163157894736841</v>
          </cell>
          <cell r="I456">
            <v>24.608695652173914</v>
          </cell>
          <cell r="J456">
            <v>27.704761904761902</v>
          </cell>
          <cell r="K456">
            <v>15.974729241877258</v>
          </cell>
          <cell r="L456">
            <v>180.49999999999997</v>
          </cell>
          <cell r="M456">
            <v>22.891566265060245</v>
          </cell>
          <cell r="N456">
            <v>13.893518518518517</v>
          </cell>
          <cell r="O456">
            <v>24.058823529411764</v>
          </cell>
          <cell r="P456">
            <v>16.727272727272723</v>
          </cell>
          <cell r="Q456">
            <v>18.242105263157892</v>
          </cell>
          <cell r="R456">
            <v>21.882352941176471</v>
          </cell>
          <cell r="S456">
            <v>17.925373134328357</v>
          </cell>
          <cell r="T456" t="e">
            <v>#VALUE!</v>
          </cell>
          <cell r="U456">
            <v>66.4375</v>
          </cell>
          <cell r="V456">
            <v>33.798701298701296</v>
          </cell>
          <cell r="W456">
            <v>18.356382978723406</v>
          </cell>
          <cell r="X456">
            <v>19.460674157303369</v>
          </cell>
          <cell r="Y456">
            <v>24.138613861386137</v>
          </cell>
          <cell r="Z456" t="str">
            <v>NA</v>
          </cell>
          <cell r="AA456">
            <v>21.319648093841643</v>
          </cell>
          <cell r="AB456">
            <v>21.319648093841643</v>
          </cell>
          <cell r="AC456">
            <v>11.5234375</v>
          </cell>
          <cell r="AD456" t="str">
            <v>NA</v>
          </cell>
          <cell r="AE456">
            <v>29.866666666666667</v>
          </cell>
          <cell r="AF456">
            <v>20.80078125</v>
          </cell>
          <cell r="AG456">
            <v>18.450549450549449</v>
          </cell>
          <cell r="AH456">
            <v>33.258785942492011</v>
          </cell>
          <cell r="AI456" t="e">
            <v>#DIV/0!</v>
          </cell>
          <cell r="AJ456" t="e">
            <v>#VALUE!</v>
          </cell>
          <cell r="AK456">
            <v>16.420454545454547</v>
          </cell>
          <cell r="AL456">
            <v>17.845722300140249</v>
          </cell>
          <cell r="AM456">
            <v>22.083333333333332</v>
          </cell>
          <cell r="AN456">
            <v>14.8955223880597</v>
          </cell>
          <cell r="AO456" t="str">
            <v>NA</v>
          </cell>
          <cell r="AP456" t="e">
            <v>#DIV/0!</v>
          </cell>
          <cell r="AQ456" t="e">
            <v>#VALUE!</v>
          </cell>
          <cell r="AR456">
            <v>29.94979079497908</v>
          </cell>
          <cell r="AS456">
            <v>18.450549450549453</v>
          </cell>
          <cell r="AT456" t="str">
            <v>NA</v>
          </cell>
          <cell r="AU456" t="e">
            <v>#DIV/0!</v>
          </cell>
          <cell r="AV456">
            <v>22.230240549828174</v>
          </cell>
          <cell r="AW456" t="e">
            <v>#VALUE!</v>
          </cell>
          <cell r="AX456" t="e">
            <v>#VALUE!</v>
          </cell>
          <cell r="AY456" t="e">
            <v>#VALUE!</v>
          </cell>
          <cell r="AZ456" t="e">
            <v>#VALUE!</v>
          </cell>
          <cell r="BA456" t="e">
            <v>#VALUE!</v>
          </cell>
          <cell r="BB456" t="e">
            <v>#VALUE!</v>
          </cell>
          <cell r="BC456" t="e">
            <v>#VALUE!</v>
          </cell>
          <cell r="BD456" t="e">
            <v>#VALUE!</v>
          </cell>
          <cell r="BE456" t="e">
            <v>#VALUE!</v>
          </cell>
        </row>
        <row r="457">
          <cell r="H457">
            <v>16.126168224299064</v>
          </cell>
          <cell r="I457">
            <v>16.647058823529409</v>
          </cell>
          <cell r="J457">
            <v>24.445378151260503</v>
          </cell>
          <cell r="K457">
            <v>14.182692307692307</v>
          </cell>
          <cell r="L457">
            <v>40.111111111111114</v>
          </cell>
          <cell r="M457">
            <v>18.627450980392158</v>
          </cell>
          <cell r="N457">
            <v>12.556485355648535</v>
          </cell>
          <cell r="O457">
            <v>16.80821917808219</v>
          </cell>
          <cell r="P457">
            <v>7.8857142857142852</v>
          </cell>
          <cell r="Q457">
            <v>15.61261261261261</v>
          </cell>
          <cell r="R457">
            <v>18.800151108741435</v>
          </cell>
          <cell r="S457">
            <v>15.496774193548386</v>
          </cell>
          <cell r="T457" t="e">
            <v>#VALUE!</v>
          </cell>
          <cell r="U457">
            <v>32.707692307692312</v>
          </cell>
          <cell r="V457">
            <v>22.828947368421051</v>
          </cell>
          <cell r="W457">
            <v>16.126168224299064</v>
          </cell>
          <cell r="X457">
            <v>16.815533980582526</v>
          </cell>
          <cell r="Y457">
            <v>19.196850393700785</v>
          </cell>
          <cell r="Z457" t="str">
            <v>NA</v>
          </cell>
          <cell r="AA457">
            <v>17.818627450980394</v>
          </cell>
          <cell r="AB457">
            <v>17.818627450980397</v>
          </cell>
          <cell r="AC457">
            <v>10.387323943661972</v>
          </cell>
          <cell r="AD457" t="str">
            <v>NA</v>
          </cell>
          <cell r="AE457">
            <v>21.189189189189189</v>
          </cell>
          <cell r="AF457">
            <v>17.989864864864867</v>
          </cell>
          <cell r="AG457">
            <v>15.403669724770641</v>
          </cell>
          <cell r="AH457">
            <v>23.498871331828447</v>
          </cell>
          <cell r="AI457" t="e">
            <v>#DIV/0!</v>
          </cell>
          <cell r="AJ457" t="e">
            <v>#VALUE!</v>
          </cell>
          <cell r="AK457">
            <v>14.236453201970443</v>
          </cell>
          <cell r="AL457">
            <v>14.642117376294591</v>
          </cell>
          <cell r="AM457">
            <v>19.822834645669289</v>
          </cell>
          <cell r="AN457">
            <v>9.9481658692184993</v>
          </cell>
          <cell r="AO457" t="str">
            <v>NA</v>
          </cell>
          <cell r="AP457" t="e">
            <v>#DIV/0!</v>
          </cell>
          <cell r="AQ457" t="e">
            <v>#VALUE!</v>
          </cell>
          <cell r="AR457">
            <v>24.984293193717274</v>
          </cell>
          <cell r="AS457">
            <v>15.403669724770642</v>
          </cell>
          <cell r="AT457" t="str">
            <v>NA</v>
          </cell>
          <cell r="AU457" t="e">
            <v>#DIV/0!</v>
          </cell>
          <cell r="AV457">
            <v>18.482857142857142</v>
          </cell>
          <cell r="AW457" t="e">
            <v>#VALUE!</v>
          </cell>
          <cell r="AX457" t="e">
            <v>#VALUE!</v>
          </cell>
          <cell r="AY457" t="e">
            <v>#VALUE!</v>
          </cell>
          <cell r="AZ457" t="e">
            <v>#VALUE!</v>
          </cell>
          <cell r="BA457" t="e">
            <v>#VALUE!</v>
          </cell>
          <cell r="BB457" t="e">
            <v>#VALUE!</v>
          </cell>
          <cell r="BC457" t="e">
            <v>#VALUE!</v>
          </cell>
          <cell r="BD457" t="e">
            <v>#VALUE!</v>
          </cell>
          <cell r="BE457" t="e">
            <v>#VALUE!</v>
          </cell>
        </row>
        <row r="458">
          <cell r="H458">
            <v>13.273076923076923</v>
          </cell>
          <cell r="I458">
            <v>12.304347826086957</v>
          </cell>
          <cell r="J458">
            <v>21.188145855146356</v>
          </cell>
          <cell r="K458">
            <v>12.019230769230768</v>
          </cell>
          <cell r="L458">
            <v>25.785714285714288</v>
          </cell>
          <cell r="M458">
            <v>15.200000000000001</v>
          </cell>
          <cell r="N458">
            <v>11.324528301886794</v>
          </cell>
          <cell r="O458">
            <v>14.11902789284728</v>
          </cell>
          <cell r="P458">
            <v>6.81271212588707</v>
          </cell>
          <cell r="Q458">
            <v>13.401384216834856</v>
          </cell>
          <cell r="R458">
            <v>18.800151108741435</v>
          </cell>
          <cell r="S458">
            <v>13.725714285714286</v>
          </cell>
          <cell r="T458" t="e">
            <v>#VALUE!</v>
          </cell>
          <cell r="U458">
            <v>26.430458430458433</v>
          </cell>
          <cell r="V458">
            <v>18.494803688585165</v>
          </cell>
          <cell r="W458">
            <v>13.273076923076923</v>
          </cell>
          <cell r="X458">
            <v>14.554621848739496</v>
          </cell>
          <cell r="Y458">
            <v>15.263457417270242</v>
          </cell>
          <cell r="Z458" t="str">
            <v>NA</v>
          </cell>
          <cell r="AA458" t="str">
            <v>NA</v>
          </cell>
          <cell r="AB458" t="str">
            <v>NA</v>
          </cell>
          <cell r="AC458">
            <v>9.1923220740371434</v>
          </cell>
          <cell r="AD458" t="str">
            <v>NA</v>
          </cell>
          <cell r="AE458">
            <v>17.5</v>
          </cell>
          <cell r="AF458">
            <v>15.643360752056408</v>
          </cell>
          <cell r="AG458">
            <v>12.664367117298891</v>
          </cell>
          <cell r="AH458">
            <v>18.494803688585169</v>
          </cell>
          <cell r="AI458" t="e">
            <v>#DIV/0!</v>
          </cell>
          <cell r="AJ458" t="e">
            <v>#VALUE!</v>
          </cell>
          <cell r="AK458">
            <v>12.844444444444443</v>
          </cell>
          <cell r="AL458">
            <v>12.523622047244094</v>
          </cell>
          <cell r="AM458">
            <v>17.787899000062176</v>
          </cell>
          <cell r="AN458">
            <v>9.9481658692184993</v>
          </cell>
          <cell r="AO458" t="str">
            <v>NA</v>
          </cell>
          <cell r="AP458" t="e">
            <v>#DIV/0!</v>
          </cell>
          <cell r="AQ458" t="e">
            <v>#VALUE!</v>
          </cell>
          <cell r="AR458">
            <v>21.008859645672867</v>
          </cell>
          <cell r="AS458">
            <v>12.664367117298893</v>
          </cell>
          <cell r="AT458" t="str">
            <v>NA</v>
          </cell>
          <cell r="AU458" t="e">
            <v>#DIV/0!</v>
          </cell>
          <cell r="AV458">
            <v>15.409058210939023</v>
          </cell>
          <cell r="AW458" t="e">
            <v>#VALUE!</v>
          </cell>
          <cell r="AX458" t="e">
            <v>#VALUE!</v>
          </cell>
          <cell r="AY458" t="e">
            <v>#VALUE!</v>
          </cell>
          <cell r="AZ458" t="e">
            <v>#VALUE!</v>
          </cell>
          <cell r="BA458" t="e">
            <v>#VALUE!</v>
          </cell>
          <cell r="BB458" t="e">
            <v>#VALUE!</v>
          </cell>
          <cell r="BC458" t="e">
            <v>#VALUE!</v>
          </cell>
          <cell r="BD458" t="e">
            <v>#VALUE!</v>
          </cell>
          <cell r="BE458" t="e">
            <v>#VALUE!</v>
          </cell>
        </row>
        <row r="460">
          <cell r="H460">
            <v>0.94859813084112132</v>
          </cell>
          <cell r="I460">
            <v>0.83235294117647041</v>
          </cell>
          <cell r="J460">
            <v>1.2865988500663426</v>
          </cell>
          <cell r="K460">
            <v>0.78792735042735051</v>
          </cell>
          <cell r="L460">
            <v>1.035125448028674</v>
          </cell>
          <cell r="M460">
            <v>1.0957324106113033</v>
          </cell>
          <cell r="N460">
            <v>0.96588348889604103</v>
          </cell>
          <cell r="O460">
            <v>0.84041095890410944</v>
          </cell>
          <cell r="P460">
            <v>0.50068027210884347</v>
          </cell>
          <cell r="Q460">
            <v>0.94621894621894598</v>
          </cell>
          <cell r="R460">
            <v>1.134589686707389</v>
          </cell>
          <cell r="S460">
            <v>0.91157495256166965</v>
          </cell>
          <cell r="T460" t="e">
            <v>#VALUE!</v>
          </cell>
          <cell r="U460">
            <v>1.3771659919028343</v>
          </cell>
          <cell r="V460">
            <v>0.76096491228070196</v>
          </cell>
          <cell r="W460">
            <v>0.85960384990933181</v>
          </cell>
          <cell r="X460">
            <v>1.0731036362847814</v>
          </cell>
          <cell r="Y460">
            <v>0.74493016661625089</v>
          </cell>
          <cell r="Z460" t="e">
            <v>#N/A</v>
          </cell>
          <cell r="AA460">
            <v>0.92228920553728744</v>
          </cell>
          <cell r="AB460">
            <v>0.92228920553728744</v>
          </cell>
          <cell r="AC460">
            <v>0.79902491874322867</v>
          </cell>
          <cell r="AD460" t="e">
            <v>#N/A</v>
          </cell>
          <cell r="AE460">
            <v>1.3243243243243241</v>
          </cell>
          <cell r="AF460">
            <v>1.1993243243243246</v>
          </cell>
          <cell r="AG460">
            <v>0.71214376906013133</v>
          </cell>
          <cell r="AH460">
            <v>0.8716198565218265</v>
          </cell>
          <cell r="AI460">
            <v>1.7208333333333332</v>
          </cell>
          <cell r="AJ460" t="e">
            <v>#VALUE!</v>
          </cell>
          <cell r="AK460">
            <v>0.88977832512315269</v>
          </cell>
          <cell r="AL460">
            <v>0.7804966618493917</v>
          </cell>
          <cell r="AM460">
            <v>1.7327652662298332</v>
          </cell>
          <cell r="AN460">
            <v>0.49740829346092502</v>
          </cell>
          <cell r="AO460" t="e">
            <v>#N/A</v>
          </cell>
          <cell r="AP460">
            <v>1.3382053130003897</v>
          </cell>
          <cell r="AQ460" t="e">
            <v>#VALUE!</v>
          </cell>
          <cell r="AR460">
            <v>1.3382053130003897</v>
          </cell>
          <cell r="AS460">
            <v>0.71214376906013133</v>
          </cell>
          <cell r="AT460" t="e">
            <v>#N/A</v>
          </cell>
          <cell r="AU460">
            <v>0.93347763347763335</v>
          </cell>
          <cell r="AV460">
            <v>0.93347763347763335</v>
          </cell>
          <cell r="AW460" t="e">
            <v>#VALUE!</v>
          </cell>
          <cell r="AX460" t="e">
            <v>#VALUE!</v>
          </cell>
          <cell r="AY460" t="e">
            <v>#VALUE!</v>
          </cell>
          <cell r="AZ460" t="e">
            <v>#VALUE!</v>
          </cell>
          <cell r="BA460" t="e">
            <v>#VALUE!</v>
          </cell>
          <cell r="BB460" t="e">
            <v>#VALUE!</v>
          </cell>
          <cell r="BC460" t="e">
            <v>#VALUE!</v>
          </cell>
          <cell r="BD460" t="e">
            <v>#VALUE!</v>
          </cell>
          <cell r="BE460" t="e">
            <v>#VALUE!</v>
          </cell>
        </row>
        <row r="461">
          <cell r="H461">
            <v>1.0684210526315787</v>
          </cell>
          <cell r="I461">
            <v>1.2304347826086957</v>
          </cell>
          <cell r="J461">
            <v>1.4581453634085213</v>
          </cell>
          <cell r="K461">
            <v>0.88748495788206982</v>
          </cell>
          <cell r="L461">
            <v>4.6580645161290324</v>
          </cell>
          <cell r="M461">
            <v>1.3465627214741318</v>
          </cell>
          <cell r="N461">
            <v>1.0687321937321936</v>
          </cell>
          <cell r="O461">
            <v>1.2029411764705882</v>
          </cell>
          <cell r="P461">
            <v>1.0620490620490619</v>
          </cell>
          <cell r="Q461">
            <v>1.1055821371610843</v>
          </cell>
          <cell r="R461">
            <v>1.32060066030033</v>
          </cell>
          <cell r="S461">
            <v>1.054433713784021</v>
          </cell>
          <cell r="T461" t="e">
            <v>#VALUE!</v>
          </cell>
          <cell r="U461">
            <v>2.7973684210526319</v>
          </cell>
          <cell r="V461">
            <v>1.1266233766233766</v>
          </cell>
          <cell r="W461">
            <v>0.97848523340743077</v>
          </cell>
          <cell r="X461">
            <v>1.2419064554756458</v>
          </cell>
          <cell r="Y461">
            <v>0.93669436792340466</v>
          </cell>
          <cell r="Z461" t="e">
            <v>#N/A</v>
          </cell>
          <cell r="AA461">
            <v>1.10350145413259</v>
          </cell>
          <cell r="AB461">
            <v>1.10350145413259</v>
          </cell>
          <cell r="AC461">
            <v>0.88641826923076916</v>
          </cell>
          <cell r="AD461" t="e">
            <v>#N/A</v>
          </cell>
          <cell r="AE461">
            <v>1.8666666666666665</v>
          </cell>
          <cell r="AF461">
            <v>1.38671875</v>
          </cell>
          <cell r="AG461">
            <v>0.85300737173136609</v>
          </cell>
          <cell r="AH461">
            <v>1.2336344934158758</v>
          </cell>
          <cell r="AI461">
            <v>3.4416666666666664</v>
          </cell>
          <cell r="AJ461" t="e">
            <v>#VALUE!</v>
          </cell>
          <cell r="AK461">
            <v>1.0262784090909089</v>
          </cell>
          <cell r="AL461">
            <v>0.95126451493284914</v>
          </cell>
          <cell r="AM461">
            <v>1.9303613053613053</v>
          </cell>
          <cell r="AN461">
            <v>0.74477611940298505</v>
          </cell>
          <cell r="AO461" t="e">
            <v>#N/A</v>
          </cell>
          <cell r="AP461">
            <v>1.6041666199774547</v>
          </cell>
          <cell r="AQ461" t="e">
            <v>#VALUE!</v>
          </cell>
          <cell r="AR461">
            <v>1.6041666199774547</v>
          </cell>
          <cell r="AS461">
            <v>0.85300737173136609</v>
          </cell>
          <cell r="AT461" t="e">
            <v>#N/A</v>
          </cell>
          <cell r="AU461">
            <v>1.1227394217084938</v>
          </cell>
          <cell r="AV461">
            <v>1.1227394217084938</v>
          </cell>
          <cell r="AW461" t="e">
            <v>#VALUE!</v>
          </cell>
          <cell r="AX461" t="e">
            <v>#VALUE!</v>
          </cell>
          <cell r="AY461" t="e">
            <v>#VALUE!</v>
          </cell>
          <cell r="AZ461" t="e">
            <v>#VALUE!</v>
          </cell>
          <cell r="BA461" t="e">
            <v>#VALUE!</v>
          </cell>
          <cell r="BB461" t="e">
            <v>#VALUE!</v>
          </cell>
          <cell r="BC461" t="e">
            <v>#VALUE!</v>
          </cell>
          <cell r="BD461" t="e">
            <v>#VALUE!</v>
          </cell>
          <cell r="BE461" t="e">
            <v>#VALUE!</v>
          </cell>
        </row>
        <row r="464">
          <cell r="H464" t="e">
            <v>#NAME?</v>
          </cell>
          <cell r="I464" t="e">
            <v>#NAME?</v>
          </cell>
          <cell r="J464" t="e">
            <v>#NAME?</v>
          </cell>
          <cell r="K464" t="e">
            <v>#NAME?</v>
          </cell>
          <cell r="L464" t="e">
            <v>#NAME?</v>
          </cell>
          <cell r="M464" t="e">
            <v>#NAME?</v>
          </cell>
          <cell r="N464" t="e">
            <v>#NAME?</v>
          </cell>
          <cell r="O464" t="e">
            <v>#NAME?</v>
          </cell>
          <cell r="P464" t="e">
            <v>#NAME?</v>
          </cell>
          <cell r="Q464" t="e">
            <v>#NAME?</v>
          </cell>
          <cell r="R464" t="e">
            <v>#NAME?</v>
          </cell>
          <cell r="S464" t="e">
            <v>#NAME?</v>
          </cell>
          <cell r="T464" t="e">
            <v>#NAME?</v>
          </cell>
          <cell r="U464" t="e">
            <v>#NAME?</v>
          </cell>
          <cell r="V464" t="e">
            <v>#NAME?</v>
          </cell>
          <cell r="W464" t="e">
            <v>#NAME?</v>
          </cell>
          <cell r="X464" t="e">
            <v>#NAME?</v>
          </cell>
          <cell r="Y464" t="e">
            <v>#NAME?</v>
          </cell>
          <cell r="Z464" t="e">
            <v>#NAME?</v>
          </cell>
          <cell r="AA464" t="e">
            <v>#NAME?</v>
          </cell>
          <cell r="AB464" t="e">
            <v>#NAME?</v>
          </cell>
          <cell r="AC464" t="e">
            <v>#NAME?</v>
          </cell>
          <cell r="AD464" t="e">
            <v>#NAME?</v>
          </cell>
          <cell r="AE464" t="e">
            <v>#NAME?</v>
          </cell>
          <cell r="AF464" t="e">
            <v>#NAME?</v>
          </cell>
          <cell r="AG464" t="e">
            <v>#NAME?</v>
          </cell>
          <cell r="AH464" t="e">
            <v>#NAME?</v>
          </cell>
          <cell r="AI464" t="e">
            <v>#NAME?</v>
          </cell>
          <cell r="AJ464" t="e">
            <v>#NAME?</v>
          </cell>
          <cell r="AK464" t="e">
            <v>#NAME?</v>
          </cell>
          <cell r="AL464" t="e">
            <v>#NAME?</v>
          </cell>
          <cell r="AM464" t="e">
            <v>#NAME?</v>
          </cell>
          <cell r="AN464" t="e">
            <v>#NAME?</v>
          </cell>
          <cell r="AO464" t="e">
            <v>#NAME?</v>
          </cell>
          <cell r="AP464" t="e">
            <v>#NAME?</v>
          </cell>
          <cell r="AQ464" t="e">
            <v>#NAME?</v>
          </cell>
          <cell r="AR464" t="e">
            <v>#NAME?</v>
          </cell>
          <cell r="AS464" t="e">
            <v>#NAME?</v>
          </cell>
          <cell r="AT464" t="e">
            <v>#NAME?</v>
          </cell>
          <cell r="AU464" t="e">
            <v>#NAME?</v>
          </cell>
          <cell r="AV464" t="e">
            <v>#NAME?</v>
          </cell>
          <cell r="AW464" t="e">
            <v>#NAME?</v>
          </cell>
          <cell r="AX464" t="e">
            <v>#NAME?</v>
          </cell>
          <cell r="AY464" t="e">
            <v>#NAME?</v>
          </cell>
          <cell r="AZ464" t="e">
            <v>#NAME?</v>
          </cell>
          <cell r="BA464" t="e">
            <v>#NAME?</v>
          </cell>
          <cell r="BB464" t="e">
            <v>#NAME?</v>
          </cell>
          <cell r="BC464" t="e">
            <v>#NAME?</v>
          </cell>
          <cell r="BD464" t="e">
            <v>#NAME?</v>
          </cell>
          <cell r="BE464" t="e">
            <v>#NAME?</v>
          </cell>
        </row>
        <row r="465">
          <cell r="H465" t="e">
            <v>#NAME?</v>
          </cell>
          <cell r="I465" t="e">
            <v>#NAME?</v>
          </cell>
          <cell r="J465" t="e">
            <v>#NAME?</v>
          </cell>
          <cell r="K465" t="e">
            <v>#NAME?</v>
          </cell>
          <cell r="L465" t="e">
            <v>#NAME?</v>
          </cell>
          <cell r="M465" t="e">
            <v>#NAME?</v>
          </cell>
          <cell r="N465" t="e">
            <v>#NAME?</v>
          </cell>
          <cell r="O465" t="e">
            <v>#NAME?</v>
          </cell>
          <cell r="P465" t="e">
            <v>#NAME?</v>
          </cell>
          <cell r="Q465" t="e">
            <v>#NAME?</v>
          </cell>
          <cell r="R465" t="e">
            <v>#NAME?</v>
          </cell>
          <cell r="S465" t="e">
            <v>#NAME?</v>
          </cell>
          <cell r="T465" t="e">
            <v>#NAME?</v>
          </cell>
          <cell r="U465" t="e">
            <v>#NAME?</v>
          </cell>
          <cell r="V465" t="e">
            <v>#NAME?</v>
          </cell>
          <cell r="W465" t="e">
            <v>#NAME?</v>
          </cell>
          <cell r="X465" t="e">
            <v>#NAME?</v>
          </cell>
          <cell r="Y465" t="e">
            <v>#NAME?</v>
          </cell>
          <cell r="Z465" t="e">
            <v>#NAME?</v>
          </cell>
          <cell r="AA465" t="e">
            <v>#NAME?</v>
          </cell>
          <cell r="AB465" t="e">
            <v>#NAME?</v>
          </cell>
          <cell r="AC465" t="e">
            <v>#NAME?</v>
          </cell>
          <cell r="AD465" t="e">
            <v>#NAME?</v>
          </cell>
          <cell r="AE465" t="e">
            <v>#NAME?</v>
          </cell>
          <cell r="AF465" t="e">
            <v>#NAME?</v>
          </cell>
          <cell r="AG465" t="e">
            <v>#NAME?</v>
          </cell>
          <cell r="AH465" t="e">
            <v>#NAME?</v>
          </cell>
          <cell r="AI465" t="e">
            <v>#NAME?</v>
          </cell>
          <cell r="AJ465" t="e">
            <v>#NAME?</v>
          </cell>
          <cell r="AK465" t="e">
            <v>#NAME?</v>
          </cell>
          <cell r="AL465" t="e">
            <v>#NAME?</v>
          </cell>
          <cell r="AM465" t="e">
            <v>#NAME?</v>
          </cell>
          <cell r="AN465" t="e">
            <v>#NAME?</v>
          </cell>
          <cell r="AO465" t="e">
            <v>#NAME?</v>
          </cell>
          <cell r="AP465" t="e">
            <v>#NAME?</v>
          </cell>
          <cell r="AQ465" t="e">
            <v>#NAME?</v>
          </cell>
          <cell r="AR465" t="e">
            <v>#NAME?</v>
          </cell>
          <cell r="AS465" t="e">
            <v>#NAME?</v>
          </cell>
          <cell r="AT465" t="e">
            <v>#NAME?</v>
          </cell>
          <cell r="AU465" t="e">
            <v>#NAME?</v>
          </cell>
          <cell r="AV465" t="e">
            <v>#NAME?</v>
          </cell>
          <cell r="AW465" t="e">
            <v>#NAME?</v>
          </cell>
          <cell r="AX465" t="e">
            <v>#NAME?</v>
          </cell>
          <cell r="AY465" t="e">
            <v>#NAME?</v>
          </cell>
          <cell r="AZ465" t="e">
            <v>#NAME?</v>
          </cell>
          <cell r="BA465" t="e">
            <v>#NAME?</v>
          </cell>
          <cell r="BB465" t="e">
            <v>#NAME?</v>
          </cell>
          <cell r="BC465" t="e">
            <v>#NAME?</v>
          </cell>
          <cell r="BD465" t="e">
            <v>#NAME?</v>
          </cell>
          <cell r="BE465" t="e">
            <v>#NAME?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Financials"/>
      <sheetName val="Changes"/>
      <sheetName val="DNA Call Sheet"/>
      <sheetName val="Valuation"/>
      <sheetName val="DCF"/>
    </sheetNames>
    <sheetDataSet>
      <sheetData sheetId="0" refreshError="1"/>
      <sheetData sheetId="1" refreshError="1">
        <row r="97">
          <cell r="AF97">
            <v>2005</v>
          </cell>
          <cell r="AG97" t="str">
            <v>1QA</v>
          </cell>
          <cell r="AH97" t="str">
            <v>2QA</v>
          </cell>
          <cell r="AI97" t="str">
            <v>3QE</v>
          </cell>
          <cell r="AJ97" t="str">
            <v>4QE</v>
          </cell>
          <cell r="AK97">
            <v>2006</v>
          </cell>
          <cell r="AL97">
            <v>2007</v>
          </cell>
          <cell r="AM97">
            <v>2008</v>
          </cell>
          <cell r="AN97">
            <v>2009</v>
          </cell>
          <cell r="AO97">
            <v>2010</v>
          </cell>
        </row>
        <row r="101">
          <cell r="AF101">
            <v>1989.5480000000002</v>
          </cell>
          <cell r="AG101">
            <v>541.16</v>
          </cell>
          <cell r="AH101">
            <v>560.0291749999999</v>
          </cell>
          <cell r="AI101">
            <v>599.31723399999987</v>
          </cell>
          <cell r="AJ101">
            <v>653.20446364999998</v>
          </cell>
          <cell r="AK101">
            <v>2353.7108726500001</v>
          </cell>
          <cell r="AL101">
            <v>2765.75</v>
          </cell>
          <cell r="AM101">
            <v>3043.7367707810545</v>
          </cell>
          <cell r="AN101">
            <v>3350.1371789953596</v>
          </cell>
          <cell r="AO101">
            <v>3678.0851107767521</v>
          </cell>
        </row>
        <row r="102">
          <cell r="AF102">
            <v>1831.498</v>
          </cell>
          <cell r="AG102">
            <v>496.50999999999993</v>
          </cell>
          <cell r="AH102">
            <v>517.61167499999988</v>
          </cell>
          <cell r="AI102">
            <v>559.02060899999992</v>
          </cell>
          <cell r="AJ102">
            <v>614.92266989999996</v>
          </cell>
          <cell r="AK102">
            <v>2188.0649538999996</v>
          </cell>
          <cell r="AL102">
            <v>2517.35</v>
          </cell>
          <cell r="AM102">
            <v>2769.085</v>
          </cell>
          <cell r="AN102">
            <v>3045.9935000000005</v>
          </cell>
          <cell r="AO102">
            <v>3350.5928500000009</v>
          </cell>
        </row>
        <row r="103">
          <cell r="AF103">
            <v>158.05000000000001</v>
          </cell>
          <cell r="AG103">
            <v>44.65</v>
          </cell>
          <cell r="AH103">
            <v>42.417499999999997</v>
          </cell>
          <cell r="AI103">
            <v>40.296624999999992</v>
          </cell>
          <cell r="AJ103">
            <v>38.281793749999991</v>
          </cell>
          <cell r="AK103">
            <v>165.64591874999996</v>
          </cell>
          <cell r="AL103">
            <v>248.39999999999998</v>
          </cell>
          <cell r="AM103">
            <v>274.65177078105449</v>
          </cell>
          <cell r="AN103">
            <v>304.14367899535893</v>
          </cell>
          <cell r="AO103">
            <v>327.49226077675121</v>
          </cell>
        </row>
        <row r="104">
          <cell r="AF104">
            <v>1183.0290000000002</v>
          </cell>
          <cell r="AG104">
            <v>397.95699999999999</v>
          </cell>
          <cell r="AH104">
            <v>436.10630000000009</v>
          </cell>
          <cell r="AI104">
            <v>495.27879800000017</v>
          </cell>
          <cell r="AJ104">
            <v>591.64543760000015</v>
          </cell>
          <cell r="AK104">
            <v>1920.9875356000005</v>
          </cell>
          <cell r="AL104">
            <v>2804.3</v>
          </cell>
          <cell r="AM104">
            <v>3645.5900000000006</v>
          </cell>
          <cell r="AN104">
            <v>4387.0905000000002</v>
          </cell>
          <cell r="AO104">
            <v>5060.6322</v>
          </cell>
        </row>
        <row r="105">
          <cell r="AF105">
            <v>1132.8400000000001</v>
          </cell>
          <cell r="AG105">
            <v>384.23700000000002</v>
          </cell>
          <cell r="AH105">
            <v>422.66070000000008</v>
          </cell>
          <cell r="AI105">
            <v>481.83319800000015</v>
          </cell>
          <cell r="AJ105">
            <v>578.19983760000014</v>
          </cell>
          <cell r="AK105">
            <v>1866.9307356000004</v>
          </cell>
          <cell r="AL105">
            <v>2613.8000000000002</v>
          </cell>
          <cell r="AM105">
            <v>3397.9400000000005</v>
          </cell>
          <cell r="AN105">
            <v>4077.5280000000002</v>
          </cell>
          <cell r="AO105">
            <v>4689.1571999999996</v>
          </cell>
        </row>
        <row r="106">
          <cell r="AF106">
            <v>50.189</v>
          </cell>
          <cell r="AG106">
            <v>13.719999999999999</v>
          </cell>
          <cell r="AH106">
            <v>13.445599999999999</v>
          </cell>
          <cell r="AI106">
            <v>13.445599999999999</v>
          </cell>
          <cell r="AJ106">
            <v>13.445599999999999</v>
          </cell>
          <cell r="AK106">
            <v>54.056799999999996</v>
          </cell>
          <cell r="AL106">
            <v>190.5</v>
          </cell>
          <cell r="AM106">
            <v>247.65</v>
          </cell>
          <cell r="AN106">
            <v>309.5625</v>
          </cell>
          <cell r="AO106">
            <v>371.47499999999997</v>
          </cell>
        </row>
        <row r="107">
          <cell r="AF107">
            <v>747.25700000000006</v>
          </cell>
          <cell r="AG107">
            <v>260.10399999999998</v>
          </cell>
          <cell r="AH107">
            <v>278.31128000000001</v>
          </cell>
          <cell r="AI107">
            <v>303.35929520000002</v>
          </cell>
          <cell r="AJ107">
            <v>333.69522472000006</v>
          </cell>
          <cell r="AK107">
            <v>1175.46979992</v>
          </cell>
          <cell r="AL107">
            <v>1270</v>
          </cell>
          <cell r="AM107">
            <v>1460.5</v>
          </cell>
          <cell r="AN107">
            <v>1606.5500000000002</v>
          </cell>
          <cell r="AO107">
            <v>1735.0740000000003</v>
          </cell>
        </row>
        <row r="108">
          <cell r="AF108">
            <v>320.53300000000002</v>
          </cell>
          <cell r="AG108">
            <v>103.00320000000001</v>
          </cell>
          <cell r="AH108">
            <v>114.33355200000001</v>
          </cell>
          <cell r="AI108">
            <v>128.05357824000004</v>
          </cell>
          <cell r="AJ108">
            <v>143.42000762880005</v>
          </cell>
          <cell r="AK108">
            <v>488.81033786880005</v>
          </cell>
          <cell r="AL108">
            <v>630.49310000000003</v>
          </cell>
          <cell r="AM108">
            <v>722.61387366545443</v>
          </cell>
          <cell r="AN108">
            <v>790.81055799263174</v>
          </cell>
          <cell r="AO108">
            <v>831.1418964502559</v>
          </cell>
        </row>
        <row r="109">
          <cell r="AF109">
            <v>79.215999999999994</v>
          </cell>
          <cell r="AG109">
            <v>22.44</v>
          </cell>
          <cell r="AH109">
            <v>24.684000000000005</v>
          </cell>
          <cell r="AI109">
            <v>27.646080000000008</v>
          </cell>
          <cell r="AJ109">
            <v>31.516531200000014</v>
          </cell>
          <cell r="AK109">
            <v>106.28661120000004</v>
          </cell>
          <cell r="AL109">
            <v>164.86580000000001</v>
          </cell>
          <cell r="AM109">
            <v>192.4533438666667</v>
          </cell>
          <cell r="AN109">
            <v>219.53152934870673</v>
          </cell>
          <cell r="AO109">
            <v>230.63982473375128</v>
          </cell>
        </row>
        <row r="110">
          <cell r="AF110">
            <v>798.80899999999997</v>
          </cell>
          <cell r="AG110">
            <v>211.20120000000003</v>
          </cell>
          <cell r="AH110">
            <v>221.76126000000005</v>
          </cell>
          <cell r="AI110">
            <v>232.84932300000006</v>
          </cell>
          <cell r="AJ110">
            <v>244.49178915000007</v>
          </cell>
          <cell r="AK110">
            <v>910.30357215000015</v>
          </cell>
          <cell r="AL110">
            <v>997.69999999999993</v>
          </cell>
          <cell r="AM110">
            <v>1097.47</v>
          </cell>
          <cell r="AN110">
            <v>1207.2170000000001</v>
          </cell>
          <cell r="AO110">
            <v>1327.9387000000002</v>
          </cell>
        </row>
        <row r="111">
          <cell r="AF111">
            <v>274.87099999999998</v>
          </cell>
          <cell r="AG111">
            <v>89.77300000000001</v>
          </cell>
          <cell r="AH111">
            <v>97.852570000000014</v>
          </cell>
          <cell r="AI111">
            <v>108.61635270000002</v>
          </cell>
          <cell r="AJ111">
            <v>122.73647855100002</v>
          </cell>
          <cell r="AK111">
            <v>418.97840125100004</v>
          </cell>
          <cell r="AL111">
            <v>584.42472162226807</v>
          </cell>
          <cell r="AM111">
            <v>722.80236351771703</v>
          </cell>
          <cell r="AN111">
            <v>846.53699011847323</v>
          </cell>
          <cell r="AO111">
            <v>947.44419934059522</v>
          </cell>
        </row>
        <row r="112">
          <cell r="AF112">
            <v>0</v>
          </cell>
          <cell r="AG112">
            <v>0</v>
          </cell>
          <cell r="AH112">
            <v>0</v>
          </cell>
          <cell r="AI112">
            <v>0</v>
          </cell>
          <cell r="AJ112">
            <v>40</v>
          </cell>
          <cell r="AK112">
            <v>40</v>
          </cell>
          <cell r="AL112">
            <v>287</v>
          </cell>
          <cell r="AM112">
            <v>387.45000000000005</v>
          </cell>
          <cell r="AN112">
            <v>542.43000000000006</v>
          </cell>
          <cell r="AO112">
            <v>705.15900000000011</v>
          </cell>
        </row>
        <row r="113">
          <cell r="AF113">
            <v>0</v>
          </cell>
          <cell r="AG113">
            <v>0</v>
          </cell>
          <cell r="AH113">
            <v>0</v>
          </cell>
          <cell r="AI113">
            <v>0</v>
          </cell>
          <cell r="AJ113">
            <v>0</v>
          </cell>
          <cell r="AK113">
            <v>0</v>
          </cell>
          <cell r="AL113">
            <v>0</v>
          </cell>
          <cell r="AM113">
            <v>0</v>
          </cell>
          <cell r="AN113">
            <v>0</v>
          </cell>
          <cell r="AO113">
            <v>0</v>
          </cell>
        </row>
        <row r="114">
          <cell r="AF114">
            <v>95.475999999999999</v>
          </cell>
          <cell r="AG114">
            <v>20.5</v>
          </cell>
          <cell r="AH114">
            <v>9</v>
          </cell>
          <cell r="AI114">
            <v>31.957775000000012</v>
          </cell>
          <cell r="AJ114">
            <v>20.5</v>
          </cell>
          <cell r="AK114">
            <v>81.957775000000012</v>
          </cell>
          <cell r="AL114">
            <v>50</v>
          </cell>
          <cell r="AM114">
            <v>50</v>
          </cell>
          <cell r="AN114">
            <v>50</v>
          </cell>
          <cell r="AO114">
            <v>50</v>
          </cell>
        </row>
        <row r="115">
          <cell r="AF115">
            <v>5488.7389999999996</v>
          </cell>
          <cell r="AG115">
            <v>1646.1384</v>
          </cell>
          <cell r="AH115">
            <v>1742.078137</v>
          </cell>
          <cell r="AI115">
            <v>1927.0784361400001</v>
          </cell>
          <cell r="AJ115">
            <v>2181.2099324998003</v>
          </cell>
          <cell r="AK115">
            <v>7496.5049056398002</v>
          </cell>
          <cell r="AL115">
            <v>9554.5336216222677</v>
          </cell>
          <cell r="AM115">
            <v>11322.616351830893</v>
          </cell>
          <cell r="AN115">
            <v>13000.303756455174</v>
          </cell>
          <cell r="AO115">
            <v>14566.114931301354</v>
          </cell>
        </row>
        <row r="116">
          <cell r="AF116">
            <v>210.1</v>
          </cell>
          <cell r="AG116">
            <v>56.1</v>
          </cell>
          <cell r="AH116">
            <v>61.710000000000008</v>
          </cell>
          <cell r="AI116">
            <v>67.881000000000014</v>
          </cell>
          <cell r="AJ116">
            <v>74.669100000000029</v>
          </cell>
          <cell r="AK116">
            <v>260.36010000000005</v>
          </cell>
          <cell r="AL116">
            <v>411.52</v>
          </cell>
          <cell r="AM116">
            <v>421.39648</v>
          </cell>
          <cell r="AN116">
            <v>467.32869632000001</v>
          </cell>
          <cell r="AO116">
            <v>497.47139723264002</v>
          </cell>
        </row>
        <row r="117">
          <cell r="AF117">
            <v>935</v>
          </cell>
          <cell r="AG117">
            <v>286.20000000000005</v>
          </cell>
          <cell r="AH117">
            <v>243.27000000000004</v>
          </cell>
          <cell r="AI117">
            <v>267.59700000000004</v>
          </cell>
          <cell r="AJ117">
            <v>315.76446000000004</v>
          </cell>
          <cell r="AK117">
            <v>1112.8314600000001</v>
          </cell>
          <cell r="AL117">
            <v>1435.2</v>
          </cell>
          <cell r="AM117">
            <v>1650.48</v>
          </cell>
          <cell r="AN117">
            <v>1815.5280000000002</v>
          </cell>
          <cell r="AO117">
            <v>1997.0808000000004</v>
          </cell>
        </row>
        <row r="118">
          <cell r="AF118">
            <v>6633.8389999999999</v>
          </cell>
          <cell r="AG118">
            <v>1988.4384</v>
          </cell>
          <cell r="AH118">
            <v>2047.058137</v>
          </cell>
          <cell r="AI118">
            <v>2262.5564361400002</v>
          </cell>
          <cell r="AJ118">
            <v>2571.6434924998002</v>
          </cell>
          <cell r="AK118">
            <v>8869.6964656397995</v>
          </cell>
          <cell r="AL118">
            <v>11401.253621622269</v>
          </cell>
          <cell r="AM118">
            <v>13394.492831830892</v>
          </cell>
          <cell r="AN118">
            <v>15283.160452775175</v>
          </cell>
          <cell r="AO118">
            <v>17060.667128533994</v>
          </cell>
        </row>
        <row r="119">
          <cell r="AF119">
            <v>995.51400000000001</v>
          </cell>
          <cell r="AG119">
            <v>271.61283600000002</v>
          </cell>
          <cell r="AH119">
            <v>278.73250192</v>
          </cell>
          <cell r="AI119">
            <v>308.33254978240001</v>
          </cell>
          <cell r="AJ119">
            <v>338.08753953746907</v>
          </cell>
          <cell r="AK119">
            <v>1196.765427239869</v>
          </cell>
          <cell r="AL119">
            <v>1528.7253794595629</v>
          </cell>
          <cell r="AM119">
            <v>1811.618616292943</v>
          </cell>
          <cell r="AN119">
            <v>2047.54784164169</v>
          </cell>
          <cell r="AO119">
            <v>2257.7478143517096</v>
          </cell>
        </row>
        <row r="120">
          <cell r="AF120">
            <v>1261.76</v>
          </cell>
          <cell r="AG120">
            <v>377.80329599999999</v>
          </cell>
          <cell r="AH120">
            <v>383.8234006875</v>
          </cell>
          <cell r="AI120">
            <v>418.57294068590005</v>
          </cell>
          <cell r="AJ120">
            <v>462.89582864996402</v>
          </cell>
          <cell r="AK120">
            <v>1643.095466023364</v>
          </cell>
          <cell r="AL120">
            <v>2177.6394417298529</v>
          </cell>
          <cell r="AM120">
            <v>2491.3756667205457</v>
          </cell>
          <cell r="AN120">
            <v>2789.176782631469</v>
          </cell>
          <cell r="AO120">
            <v>2934.4347461078469</v>
          </cell>
        </row>
        <row r="121">
          <cell r="AF121">
            <v>1450.4569999999999</v>
          </cell>
          <cell r="AG121">
            <v>437.45644800000002</v>
          </cell>
          <cell r="AH121">
            <v>440.11749945499997</v>
          </cell>
          <cell r="AI121">
            <v>486.44963377010004</v>
          </cell>
          <cell r="AJ121">
            <v>552.90335088745701</v>
          </cell>
          <cell r="AK121">
            <v>1916.9269321125571</v>
          </cell>
          <cell r="AL121">
            <v>2508.2757967568987</v>
          </cell>
          <cell r="AM121">
            <v>2879.815958843642</v>
          </cell>
          <cell r="AN121">
            <v>3285.879497346662</v>
          </cell>
          <cell r="AO121">
            <v>3497.4367613494687</v>
          </cell>
        </row>
        <row r="122">
          <cell r="AF122">
            <v>823.11700000000008</v>
          </cell>
          <cell r="AG122">
            <v>230</v>
          </cell>
          <cell r="AH122">
            <v>245</v>
          </cell>
          <cell r="AI122">
            <v>260</v>
          </cell>
          <cell r="AJ122">
            <v>280</v>
          </cell>
          <cell r="AK122">
            <v>1015</v>
          </cell>
          <cell r="AL122">
            <v>1169.0107535682141</v>
          </cell>
          <cell r="AM122">
            <v>1322.0210110219352</v>
          </cell>
          <cell r="AN122">
            <v>1470.6857710768622</v>
          </cell>
          <cell r="AO122">
            <v>1607.9456311573808</v>
          </cell>
        </row>
        <row r="123">
          <cell r="AF123" t="str">
            <v>------</v>
          </cell>
          <cell r="AG123" t="str">
            <v>------</v>
          </cell>
          <cell r="AH123" t="str">
            <v>------</v>
          </cell>
          <cell r="AI123" t="str">
            <v>------</v>
          </cell>
          <cell r="AJ123" t="str">
            <v>------</v>
          </cell>
          <cell r="AK123" t="str">
            <v>------</v>
          </cell>
          <cell r="AL123" t="str">
            <v>------</v>
          </cell>
          <cell r="AM123" t="str">
            <v>------</v>
          </cell>
          <cell r="AN123" t="str">
            <v>------</v>
          </cell>
          <cell r="AO123" t="str">
            <v>------</v>
          </cell>
        </row>
        <row r="124">
          <cell r="AF124">
            <v>4530.848</v>
          </cell>
          <cell r="AG124">
            <v>1316.8725800000002</v>
          </cell>
          <cell r="AH124">
            <v>1347.6734020624999</v>
          </cell>
          <cell r="AI124">
            <v>1473.3551242384001</v>
          </cell>
          <cell r="AJ124">
            <v>1633.8867190748902</v>
          </cell>
          <cell r="AK124">
            <v>5771.7878253757899</v>
          </cell>
          <cell r="AL124">
            <v>7383.6513715145284</v>
          </cell>
          <cell r="AM124">
            <v>8504.8312528790666</v>
          </cell>
          <cell r="AN124">
            <v>9593.2898926966827</v>
          </cell>
          <cell r="AO124">
            <v>10297.564952966406</v>
          </cell>
        </row>
        <row r="125">
          <cell r="AF125">
            <v>0</v>
          </cell>
          <cell r="AG125">
            <v>0</v>
          </cell>
          <cell r="AH125">
            <v>0</v>
          </cell>
          <cell r="AI125">
            <v>0</v>
          </cell>
          <cell r="AJ125">
            <v>0</v>
          </cell>
          <cell r="AK125">
            <v>0</v>
          </cell>
          <cell r="AL125">
            <v>0</v>
          </cell>
          <cell r="AM125">
            <v>0</v>
          </cell>
          <cell r="AN125">
            <v>0</v>
          </cell>
          <cell r="AO125">
            <v>0</v>
          </cell>
        </row>
        <row r="126">
          <cell r="AF126">
            <v>2102.991</v>
          </cell>
          <cell r="AG126">
            <v>671.5658199999998</v>
          </cell>
          <cell r="AH126">
            <v>699.38473493750007</v>
          </cell>
          <cell r="AI126">
            <v>789.20131190160009</v>
          </cell>
          <cell r="AJ126">
            <v>937.75677342491008</v>
          </cell>
          <cell r="AK126">
            <v>3097.9086402640096</v>
          </cell>
          <cell r="AL126">
            <v>4017.6022501077405</v>
          </cell>
          <cell r="AM126">
            <v>4889.6615789518255</v>
          </cell>
          <cell r="AN126">
            <v>5689.8705600784924</v>
          </cell>
          <cell r="AO126">
            <v>6763.1021755675883</v>
          </cell>
        </row>
        <row r="128">
          <cell r="AF128">
            <v>0</v>
          </cell>
          <cell r="AG128">
            <v>0</v>
          </cell>
          <cell r="AH128">
            <v>0</v>
          </cell>
          <cell r="AI128">
            <v>0</v>
          </cell>
          <cell r="AJ128">
            <v>0</v>
          </cell>
          <cell r="AK128">
            <v>0</v>
          </cell>
          <cell r="AL128">
            <v>0</v>
          </cell>
          <cell r="AM128">
            <v>0</v>
          </cell>
          <cell r="AN128">
            <v>0</v>
          </cell>
          <cell r="AO128">
            <v>0</v>
          </cell>
        </row>
        <row r="129">
          <cell r="AF129">
            <v>0</v>
          </cell>
          <cell r="AG129">
            <v>0</v>
          </cell>
          <cell r="AH129">
            <v>0</v>
          </cell>
          <cell r="AI129">
            <v>0</v>
          </cell>
          <cell r="AJ129">
            <v>0</v>
          </cell>
          <cell r="AK129">
            <v>0</v>
          </cell>
          <cell r="AL129">
            <v>0</v>
          </cell>
          <cell r="AM129">
            <v>0</v>
          </cell>
          <cell r="AN129">
            <v>0</v>
          </cell>
          <cell r="AO129">
            <v>0</v>
          </cell>
        </row>
        <row r="130">
          <cell r="AF130">
            <v>90.600999999999999</v>
          </cell>
          <cell r="AG130">
            <v>16</v>
          </cell>
          <cell r="AH130">
            <v>31.501999999999999</v>
          </cell>
          <cell r="AI130">
            <v>45</v>
          </cell>
          <cell r="AJ130">
            <v>48</v>
          </cell>
          <cell r="AK130">
            <v>140.50200000000001</v>
          </cell>
          <cell r="AL130">
            <v>255</v>
          </cell>
          <cell r="AM130">
            <v>345</v>
          </cell>
          <cell r="AN130">
            <v>504</v>
          </cell>
          <cell r="AO130">
            <v>670</v>
          </cell>
        </row>
        <row r="131">
          <cell r="AF131">
            <v>2193.5920000000001</v>
          </cell>
          <cell r="AG131">
            <v>687.5658199999998</v>
          </cell>
          <cell r="AH131">
            <v>730.88673493750002</v>
          </cell>
          <cell r="AI131">
            <v>834.20131190160009</v>
          </cell>
          <cell r="AJ131">
            <v>985.75677342491008</v>
          </cell>
          <cell r="AK131">
            <v>3238.4106402640095</v>
          </cell>
          <cell r="AL131">
            <v>4272.6022501077405</v>
          </cell>
          <cell r="AM131">
            <v>5234.6615789518255</v>
          </cell>
          <cell r="AN131">
            <v>6193.8705600784924</v>
          </cell>
          <cell r="AO131">
            <v>7433.1021755675883</v>
          </cell>
        </row>
        <row r="132">
          <cell r="AF132">
            <v>0.36746350278447404</v>
          </cell>
          <cell r="AG132">
            <v>0.37</v>
          </cell>
          <cell r="AH132">
            <v>0.37</v>
          </cell>
          <cell r="AI132">
            <v>0.37</v>
          </cell>
          <cell r="AJ132">
            <v>0.37</v>
          </cell>
          <cell r="AK132">
            <v>0.37</v>
          </cell>
          <cell r="AL132">
            <v>0.36499999999999999</v>
          </cell>
          <cell r="AM132">
            <v>0.36499999999999999</v>
          </cell>
          <cell r="AN132">
            <v>0.36499999999999999</v>
          </cell>
          <cell r="AO132">
            <v>0.36499999999999999</v>
          </cell>
        </row>
        <row r="133">
          <cell r="AF133">
            <v>806.06500000000005</v>
          </cell>
          <cell r="AG133">
            <v>254.39935339999991</v>
          </cell>
          <cell r="AH133">
            <v>270.42809192687503</v>
          </cell>
          <cell r="AI133">
            <v>308.65448540359205</v>
          </cell>
          <cell r="AJ133">
            <v>364.73000616721674</v>
          </cell>
          <cell r="AK133">
            <v>1198.2119368976835</v>
          </cell>
          <cell r="AL133">
            <v>1559.4998212893252</v>
          </cell>
          <cell r="AM133">
            <v>1910.6514763174162</v>
          </cell>
          <cell r="AN133">
            <v>2260.7627544286497</v>
          </cell>
          <cell r="AO133">
            <v>2713.0822940821695</v>
          </cell>
        </row>
        <row r="134">
          <cell r="AF134">
            <v>1387.527</v>
          </cell>
          <cell r="AG134">
            <v>433.16646659999992</v>
          </cell>
          <cell r="AH134">
            <v>460.458643010625</v>
          </cell>
          <cell r="AI134">
            <v>525.54682649800804</v>
          </cell>
          <cell r="AJ134">
            <v>621.02676725769334</v>
          </cell>
          <cell r="AK134">
            <v>2040.1987033663261</v>
          </cell>
          <cell r="AL134">
            <v>2713.1024288184153</v>
          </cell>
          <cell r="AM134">
            <v>3324.0101026344091</v>
          </cell>
          <cell r="AN134">
            <v>3933.1078056498427</v>
          </cell>
          <cell r="AO134">
            <v>4720.0198814854193</v>
          </cell>
        </row>
        <row r="137">
          <cell r="AF137">
            <v>1387.527</v>
          </cell>
          <cell r="AG137">
            <v>433.16646659999992</v>
          </cell>
          <cell r="AH137">
            <v>460.458643010625</v>
          </cell>
          <cell r="AI137">
            <v>525.54682649800804</v>
          </cell>
          <cell r="AJ137">
            <v>621.02676725769334</v>
          </cell>
          <cell r="AK137">
            <v>2040.1987033663261</v>
          </cell>
          <cell r="AL137">
            <v>2713.1024288184153</v>
          </cell>
          <cell r="AM137">
            <v>3324.0101026344091</v>
          </cell>
          <cell r="AN137">
            <v>3933.1078056498427</v>
          </cell>
          <cell r="AO137">
            <v>4720.0198814854193</v>
          </cell>
        </row>
        <row r="138">
          <cell r="AF138">
            <v>1054.952</v>
          </cell>
          <cell r="AG138">
            <v>1046.8320000000001</v>
          </cell>
          <cell r="AH138">
            <v>1057.5640000000001</v>
          </cell>
          <cell r="AI138">
            <v>1060.539</v>
          </cell>
          <cell r="AJ138">
            <v>1060.539</v>
          </cell>
          <cell r="AK138">
            <v>1061</v>
          </cell>
          <cell r="AL138">
            <v>1055</v>
          </cell>
          <cell r="AM138">
            <v>1050</v>
          </cell>
          <cell r="AN138">
            <v>1045</v>
          </cell>
          <cell r="AO138">
            <v>1025</v>
          </cell>
        </row>
        <row r="139">
          <cell r="AF139">
            <v>1080.9490000000001</v>
          </cell>
          <cell r="AG139">
            <v>1081</v>
          </cell>
          <cell r="AH139">
            <v>1082</v>
          </cell>
          <cell r="AI139">
            <v>1083</v>
          </cell>
          <cell r="AJ139">
            <v>1084</v>
          </cell>
          <cell r="AK139">
            <v>1082</v>
          </cell>
          <cell r="AL139">
            <v>1070</v>
          </cell>
          <cell r="AM139">
            <v>1065</v>
          </cell>
          <cell r="AN139">
            <v>1055</v>
          </cell>
          <cell r="AO139">
            <v>1045</v>
          </cell>
        </row>
        <row r="140">
          <cell r="AF140">
            <v>1.2836193011881225</v>
          </cell>
          <cell r="AG140">
            <v>0.38590792469935237</v>
          </cell>
          <cell r="AH140">
            <v>0.42556251664567929</v>
          </cell>
          <cell r="AI140">
            <v>0.48526946121699727</v>
          </cell>
          <cell r="AJ140">
            <v>0.57290292182444036</v>
          </cell>
          <cell r="AK140">
            <v>1.8855810567156432</v>
          </cell>
          <cell r="AL140">
            <v>2.5356097465592669</v>
          </cell>
          <cell r="AM140">
            <v>3.1211362466050789</v>
          </cell>
          <cell r="AN140">
            <v>3.7280642707581446</v>
          </cell>
          <cell r="AO140">
            <v>4.5167654368281527</v>
          </cell>
        </row>
      </sheetData>
      <sheetData sheetId="2" refreshError="1"/>
      <sheetData sheetId="3" refreshError="1"/>
      <sheetData sheetId="4" refreshError="1"/>
      <sheetData sheetId="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 sheet"/>
      <sheetName val="DCF Valuation"/>
      <sheetName val="FCFF"/>
      <sheetName val="Quarterly"/>
      <sheetName val="Cashflow"/>
      <sheetName val="Balance Sheet"/>
      <sheetName val="MS Est vs Rpt"/>
      <sheetName val="Annual"/>
      <sheetName val="NY UPLOAD"/>
      <sheetName val="Bal Sheet"/>
      <sheetName val="calc"/>
      <sheetName val="Cash Flow"/>
      <sheetName val="Pipeline"/>
      <sheetName val="Milestones"/>
      <sheetName val="Charts"/>
      <sheetName val="MainCode"/>
      <sheetName val="mStartup"/>
      <sheetName val="NY UPLOAD shadow"/>
      <sheetName val="MS Week2"/>
    </sheetNames>
    <sheetDataSet>
      <sheetData sheetId="0"/>
      <sheetData sheetId="1"/>
      <sheetData sheetId="2"/>
      <sheetData sheetId="3" refreshError="1">
        <row r="40">
          <cell r="CH40">
            <v>0.44418472286113037</v>
          </cell>
        </row>
      </sheetData>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sheetData sheetId="18"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Data"/>
      <sheetName val="Control"/>
      <sheetName val="Profile"/>
      <sheetName val="Stock"/>
      <sheetName val="Disclosures"/>
      <sheetName val="Retail - May 010504-ML"/>
    </sheetNames>
    <sheetDataSet>
      <sheetData sheetId="0" refreshError="1"/>
      <sheetData sheetId="1" refreshError="1"/>
      <sheetData sheetId="2" refreshError="1">
        <row r="26">
          <cell r="A26" t="b">
            <v>1</v>
          </cell>
        </row>
      </sheetData>
      <sheetData sheetId="3" refreshError="1"/>
      <sheetData sheetId="4" refreshError="1"/>
      <sheetData sheetId="5" refreshError="1"/>
      <sheetData sheetId="6"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urity_Large"/>
      <sheetName val="Comparison"/>
      <sheetName val="Historical Financial Statements"/>
      <sheetName val="Calculations"/>
      <sheetName val="Ratio Analysis"/>
      <sheetName val="Charts"/>
      <sheetName val="#REF"/>
      <sheetName val="Data_Download"/>
      <sheetName val="IS"/>
      <sheetName val="Security_Comparable_Large"/>
      <sheetName val="Invested capital_VDF"/>
      <sheetName val="Forecasts_VDF"/>
      <sheetName val="Summary Page_VDF"/>
      <sheetName val="NOPAT_VDF"/>
      <sheetName val="DCF_VDF"/>
      <sheetName val="PV of Op Leases_VDF"/>
      <sheetName val="Income Statement_VDF"/>
      <sheetName val="WACC_VDF"/>
      <sheetName val="Charts_VDF"/>
    </sheetNames>
    <sheetDataSet>
      <sheetData sheetId="0"/>
      <sheetData sheetId="1" refreshError="1">
        <row r="5">
          <cell r="E5">
            <v>0.35523561630796929</v>
          </cell>
        </row>
        <row r="6">
          <cell r="E6">
            <v>-0.78947368421052633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Title Page"/>
      <sheetName val="__FDSCACHE__"/>
      <sheetName val="Drivers"/>
      <sheetName val="Valuations"/>
      <sheetName val="Five Year Sales &amp; Earnings"/>
      <sheetName val="Qtr Income"/>
      <sheetName val=" Qtr Margin"/>
      <sheetName val="Qtr Sales"/>
      <sheetName val="ROIC"/>
      <sheetName val="BS2"/>
      <sheetName val="CF2"/>
      <sheetName val="ICOS JV"/>
      <sheetName val="Q-Preview"/>
      <sheetName val="US Feed"/>
      <sheetName val="MainCode"/>
      <sheetName val="Module1"/>
    </sheetNames>
    <sheetDataSet>
      <sheetData sheetId="0" refreshError="1"/>
      <sheetData sheetId="1" refreshError="1"/>
      <sheetData sheetId="2" refreshError="1"/>
      <sheetData sheetId="3" refreshError="1"/>
      <sheetData sheetId="4" refreshError="1"/>
      <sheetData sheetId="5" refreshError="1"/>
      <sheetData sheetId="6" refreshError="1">
        <row r="1">
          <cell r="A1" t="str">
            <v>Eli Lilly</v>
          </cell>
        </row>
        <row r="2">
          <cell r="A2" t="str">
            <v>Estimated Sales and Earnings (2000-2007E)</v>
          </cell>
        </row>
        <row r="3">
          <cell r="A3" t="str">
            <v xml:space="preserve">($ Millions) </v>
          </cell>
          <cell r="B3" t="str">
            <v>1995</v>
          </cell>
          <cell r="C3" t="str">
            <v>1996</v>
          </cell>
          <cell r="D3">
            <v>1997</v>
          </cell>
          <cell r="E3" t="str">
            <v>1998</v>
          </cell>
          <cell r="F3" t="str">
            <v>1999</v>
          </cell>
          <cell r="G3">
            <v>2000</v>
          </cell>
          <cell r="H3">
            <v>2001</v>
          </cell>
          <cell r="I3" t="str">
            <v>2002A</v>
          </cell>
          <cell r="J3" t="str">
            <v>2003E</v>
          </cell>
          <cell r="K3" t="str">
            <v>2004E</v>
          </cell>
          <cell r="L3" t="str">
            <v>2005E</v>
          </cell>
          <cell r="M3" t="str">
            <v>2006E</v>
          </cell>
          <cell r="N3" t="str">
            <v>2007E</v>
          </cell>
          <cell r="P3" t="str">
            <v>Comments</v>
          </cell>
        </row>
        <row r="4">
          <cell r="A4" t="str">
            <v>Prozac</v>
          </cell>
          <cell r="B4">
            <v>2066</v>
          </cell>
          <cell r="C4">
            <v>2355.9</v>
          </cell>
          <cell r="D4">
            <v>2559.1999999999998</v>
          </cell>
          <cell r="E4">
            <v>2811.5</v>
          </cell>
          <cell r="F4">
            <v>2601.8000000000002</v>
          </cell>
          <cell r="G4">
            <v>2585.25</v>
          </cell>
          <cell r="H4">
            <v>1989.8999999999999</v>
          </cell>
          <cell r="I4">
            <v>733.8</v>
          </cell>
          <cell r="J4">
            <v>496.68299999999999</v>
          </cell>
          <cell r="K4">
            <v>434.59294999999997</v>
          </cell>
          <cell r="L4">
            <v>391.13365499999998</v>
          </cell>
          <cell r="M4">
            <v>352.02028949999999</v>
          </cell>
          <cell r="N4">
            <v>316.81826054999999</v>
          </cell>
          <cell r="P4" t="str">
            <v>Facing generic competition</v>
          </cell>
        </row>
        <row r="5">
          <cell r="A5" t="str">
            <v>Zyprexa</v>
          </cell>
          <cell r="B5" t="str">
            <v>-</v>
          </cell>
          <cell r="C5">
            <v>86.899999999999991</v>
          </cell>
          <cell r="D5">
            <v>730.19999999999993</v>
          </cell>
          <cell r="E5">
            <v>1443.2</v>
          </cell>
          <cell r="F5">
            <v>1868.1</v>
          </cell>
          <cell r="G5">
            <v>2366.1999999999998</v>
          </cell>
          <cell r="H5">
            <v>3086.6</v>
          </cell>
          <cell r="I5">
            <v>3689</v>
          </cell>
          <cell r="J5">
            <v>4204.3580000000002</v>
          </cell>
          <cell r="K5">
            <v>4653.54108</v>
          </cell>
          <cell r="L5">
            <v>5086.9857071999995</v>
          </cell>
          <cell r="M5">
            <v>5392.2048496320003</v>
          </cell>
          <cell r="N5">
            <v>5688.4510056019199</v>
          </cell>
          <cell r="P5" t="str">
            <v>Solid grower, litigation and diabetes risk pose a threat</v>
          </cell>
        </row>
        <row r="6">
          <cell r="A6" t="str">
            <v>Humulin</v>
          </cell>
          <cell r="B6">
            <v>794</v>
          </cell>
          <cell r="C6">
            <v>884.00000000000011</v>
          </cell>
          <cell r="D6">
            <v>936</v>
          </cell>
          <cell r="E6">
            <v>960.19999999999993</v>
          </cell>
          <cell r="F6">
            <v>1064.5</v>
          </cell>
          <cell r="G6">
            <v>1137.4000000000001</v>
          </cell>
          <cell r="H6">
            <v>1060.5</v>
          </cell>
          <cell r="I6">
            <v>1004</v>
          </cell>
          <cell r="J6">
            <v>942.68799999999987</v>
          </cell>
          <cell r="K6">
            <v>900.64123999999993</v>
          </cell>
          <cell r="L6">
            <v>900.64123999999993</v>
          </cell>
          <cell r="M6">
            <v>900.64123999999993</v>
          </cell>
          <cell r="N6">
            <v>900.64123999999993</v>
          </cell>
          <cell r="P6" t="str">
            <v>Declining sales from switching to Humalog</v>
          </cell>
        </row>
        <row r="7">
          <cell r="A7" t="str">
            <v>Gemzar</v>
          </cell>
          <cell r="B7" t="str">
            <v>-</v>
          </cell>
          <cell r="C7">
            <v>61.9</v>
          </cell>
          <cell r="D7">
            <v>174.8</v>
          </cell>
          <cell r="E7">
            <v>306.8</v>
          </cell>
          <cell r="F7">
            <v>453.09999999999997</v>
          </cell>
          <cell r="G7">
            <v>561.79999999999995</v>
          </cell>
          <cell r="H7">
            <v>722.7</v>
          </cell>
          <cell r="I7">
            <v>874.7</v>
          </cell>
          <cell r="J7">
            <v>969.12299999999993</v>
          </cell>
          <cell r="K7">
            <v>1060.7793199999999</v>
          </cell>
          <cell r="L7">
            <v>1151.3706837999998</v>
          </cell>
          <cell r="M7">
            <v>1238.211261504</v>
          </cell>
          <cell r="N7">
            <v>1319.2481374192798</v>
          </cell>
          <cell r="P7" t="str">
            <v xml:space="preserve">Enjoying solid growth from expanding indications  </v>
          </cell>
        </row>
        <row r="8">
          <cell r="A8" t="str">
            <v xml:space="preserve">ReoPro </v>
          </cell>
          <cell r="B8">
            <v>23</v>
          </cell>
          <cell r="C8">
            <v>148.69999999999999</v>
          </cell>
          <cell r="D8">
            <v>254.5</v>
          </cell>
          <cell r="E8">
            <v>365.4</v>
          </cell>
          <cell r="F8">
            <v>446.5</v>
          </cell>
          <cell r="G8">
            <v>418.9</v>
          </cell>
          <cell r="H8">
            <v>431.4</v>
          </cell>
          <cell r="I8">
            <v>384</v>
          </cell>
          <cell r="J8">
            <v>326.39999999999998</v>
          </cell>
          <cell r="K8">
            <v>293.76</v>
          </cell>
          <cell r="L8">
            <v>279.072</v>
          </cell>
          <cell r="M8">
            <v>265.11840000000001</v>
          </cell>
          <cell r="N8">
            <v>251.86248000000001</v>
          </cell>
          <cell r="P8" t="str">
            <v>Integrilin has taken share through pricing advantages.</v>
          </cell>
        </row>
        <row r="9">
          <cell r="A9" t="str">
            <v>Evista</v>
          </cell>
          <cell r="B9" t="str">
            <v>-</v>
          </cell>
          <cell r="C9" t="str">
            <v>-</v>
          </cell>
          <cell r="D9" t="str">
            <v>-</v>
          </cell>
          <cell r="E9">
            <v>144</v>
          </cell>
          <cell r="F9">
            <v>325.39999999999998</v>
          </cell>
          <cell r="G9">
            <v>522.20000000000005</v>
          </cell>
          <cell r="H9">
            <v>664.80000000000007</v>
          </cell>
          <cell r="I9">
            <v>821.90000000000009</v>
          </cell>
          <cell r="J9">
            <v>927.19900000000007</v>
          </cell>
          <cell r="K9">
            <v>1032.6744100000001</v>
          </cell>
          <cell r="L9">
            <v>1135.5047128000001</v>
          </cell>
          <cell r="M9">
            <v>1239.6301198240001</v>
          </cell>
          <cell r="N9">
            <v>1345.00327021168</v>
          </cell>
          <cell r="P9" t="str">
            <v xml:space="preserve">Strong growth on heels of the MORE study (reduced fracture risk, increased bone density). </v>
          </cell>
        </row>
        <row r="10">
          <cell r="A10" t="str">
            <v>Ceclor</v>
          </cell>
          <cell r="B10">
            <v>722</v>
          </cell>
          <cell r="C10">
            <v>542</v>
          </cell>
          <cell r="D10">
            <v>442.30000000000007</v>
          </cell>
          <cell r="E10">
            <v>398.70000000000005</v>
          </cell>
          <cell r="F10">
            <v>336.79999999999995</v>
          </cell>
          <cell r="G10">
            <v>292.14</v>
          </cell>
          <cell r="H10">
            <v>231.6</v>
          </cell>
          <cell r="I10">
            <v>197.39999999999998</v>
          </cell>
          <cell r="J10">
            <v>190.79899999999998</v>
          </cell>
          <cell r="K10">
            <v>185.07502999999997</v>
          </cell>
          <cell r="L10">
            <v>179.52277909999998</v>
          </cell>
          <cell r="M10">
            <v>174.13709572699997</v>
          </cell>
          <cell r="N10">
            <v>168.91298285518997</v>
          </cell>
          <cell r="P10" t="str">
            <v>Faces generic competition</v>
          </cell>
        </row>
        <row r="11">
          <cell r="A11" t="str">
            <v>Axid</v>
          </cell>
          <cell r="B11">
            <v>548</v>
          </cell>
          <cell r="C11">
            <v>531.29999999999995</v>
          </cell>
          <cell r="D11">
            <v>526.5</v>
          </cell>
          <cell r="E11">
            <v>418.4</v>
          </cell>
          <cell r="F11">
            <v>349.8</v>
          </cell>
          <cell r="G11">
            <v>326.27</v>
          </cell>
          <cell r="H11">
            <v>284.7</v>
          </cell>
          <cell r="I11">
            <v>112.7</v>
          </cell>
          <cell r="J11">
            <v>69.41</v>
          </cell>
          <cell r="K11">
            <v>65.718000000000004</v>
          </cell>
          <cell r="L11">
            <v>62.432099999999998</v>
          </cell>
          <cell r="M11">
            <v>60.559137</v>
          </cell>
          <cell r="N11">
            <v>58.742362890000003</v>
          </cell>
          <cell r="P11" t="str">
            <v>Patent expiration and PPI's further pressuring franchise sales.</v>
          </cell>
        </row>
        <row r="12">
          <cell r="A12" t="str">
            <v>Humatrope</v>
          </cell>
          <cell r="B12">
            <v>269</v>
          </cell>
          <cell r="C12">
            <v>267.89999999999998</v>
          </cell>
          <cell r="D12">
            <v>259.8</v>
          </cell>
          <cell r="E12">
            <v>268.10000000000002</v>
          </cell>
          <cell r="F12">
            <v>297.39999999999998</v>
          </cell>
          <cell r="G12">
            <v>303.29999999999995</v>
          </cell>
          <cell r="H12">
            <v>312.7</v>
          </cell>
          <cell r="I12">
            <v>329.29999999999995</v>
          </cell>
          <cell r="J12">
            <v>345.76499999999993</v>
          </cell>
          <cell r="K12">
            <v>359.59559999999993</v>
          </cell>
          <cell r="L12">
            <v>373.97942399999994</v>
          </cell>
          <cell r="M12">
            <v>388.93860095999992</v>
          </cell>
          <cell r="N12">
            <v>404.49614499839993</v>
          </cell>
          <cell r="P12" t="str">
            <v>Human Growth Hormone has flat growth</v>
          </cell>
        </row>
        <row r="13">
          <cell r="A13" t="str">
            <v>Humalog</v>
          </cell>
          <cell r="B13" t="str">
            <v>-</v>
          </cell>
          <cell r="C13">
            <v>20</v>
          </cell>
          <cell r="D13">
            <v>67.8</v>
          </cell>
          <cell r="E13">
            <v>129.89999999999998</v>
          </cell>
          <cell r="F13">
            <v>224.50000000000003</v>
          </cell>
          <cell r="G13">
            <v>350.24</v>
          </cell>
          <cell r="H13">
            <v>627.80000000000007</v>
          </cell>
          <cell r="I13">
            <v>834.19999999999993</v>
          </cell>
          <cell r="J13">
            <v>1011.606</v>
          </cell>
          <cell r="K13">
            <v>1176.2374199999999</v>
          </cell>
          <cell r="L13">
            <v>1352.673033</v>
          </cell>
          <cell r="M13">
            <v>1542.04725762</v>
          </cell>
          <cell r="N13">
            <v>1757.9338736868003</v>
          </cell>
          <cell r="P13" t="str">
            <v>Driven by Humulin switches and upgrades to pen delivery, mixtures</v>
          </cell>
        </row>
        <row r="14">
          <cell r="A14" t="str">
            <v>Actos</v>
          </cell>
          <cell r="G14">
            <v>224</v>
          </cell>
          <cell r="H14">
            <v>361</v>
          </cell>
          <cell r="I14">
            <v>392.09999999999997</v>
          </cell>
          <cell r="J14">
            <v>443.07299999999998</v>
          </cell>
          <cell r="K14">
            <v>487.38029999999998</v>
          </cell>
          <cell r="L14">
            <v>531.24452699999995</v>
          </cell>
          <cell r="M14">
            <v>318.74671619999992</v>
          </cell>
          <cell r="N14">
            <v>127.49868647999998</v>
          </cell>
          <cell r="P14" t="str">
            <v>Co-promoted w/Takeda; new competitive pressure from Avandamet</v>
          </cell>
        </row>
        <row r="15">
          <cell r="A15" t="str">
            <v>Xigris</v>
          </cell>
          <cell r="G15">
            <v>0</v>
          </cell>
          <cell r="H15">
            <v>21.1</v>
          </cell>
          <cell r="I15">
            <v>100.19999999999999</v>
          </cell>
          <cell r="J15">
            <v>168.62</v>
          </cell>
          <cell r="K15">
            <v>241.006</v>
          </cell>
          <cell r="L15">
            <v>329.28210000000001</v>
          </cell>
          <cell r="M15">
            <v>428.06673000000001</v>
          </cell>
          <cell r="N15">
            <v>522.23706990000005</v>
          </cell>
          <cell r="P15" t="str">
            <v>Ramp has been slower than expected due to restricitve labeling</v>
          </cell>
        </row>
        <row r="16">
          <cell r="A16" t="str">
            <v>Other diabetes</v>
          </cell>
          <cell r="F16">
            <v>137.19999999999999</v>
          </cell>
          <cell r="G16">
            <v>72.599999999999994</v>
          </cell>
          <cell r="H16">
            <v>75.899999999999991</v>
          </cell>
          <cell r="I16">
            <v>57.8</v>
          </cell>
          <cell r="J16">
            <v>52.019999999999996</v>
          </cell>
          <cell r="K16">
            <v>52.019999999999996</v>
          </cell>
          <cell r="L16">
            <v>52.019999999999996</v>
          </cell>
          <cell r="M16">
            <v>52.019999999999996</v>
          </cell>
          <cell r="N16">
            <v>52.019999999999996</v>
          </cell>
        </row>
        <row r="17">
          <cell r="A17" t="str">
            <v xml:space="preserve">  Forteo</v>
          </cell>
          <cell r="E17" t="str">
            <v xml:space="preserve"> </v>
          </cell>
          <cell r="I17">
            <v>5.5</v>
          </cell>
          <cell r="J17">
            <v>75</v>
          </cell>
          <cell r="K17">
            <v>150</v>
          </cell>
          <cell r="L17">
            <v>250</v>
          </cell>
          <cell r="M17">
            <v>335</v>
          </cell>
          <cell r="N17">
            <v>400</v>
          </cell>
          <cell r="P17" t="str">
            <v>PTH for treatment of osteoporosis; Approved 4Q02</v>
          </cell>
        </row>
        <row r="18">
          <cell r="A18" t="str">
            <v xml:space="preserve">  Glycopeptide/Oritavancin</v>
          </cell>
          <cell r="B18" t="str">
            <v>-</v>
          </cell>
          <cell r="C18" t="str">
            <v>-</v>
          </cell>
          <cell r="D18" t="str">
            <v>-</v>
          </cell>
          <cell r="H18" t="str">
            <v xml:space="preserve"> </v>
          </cell>
          <cell r="I18">
            <v>0</v>
          </cell>
          <cell r="J18">
            <v>0</v>
          </cell>
          <cell r="K18">
            <v>0</v>
          </cell>
          <cell r="L18">
            <v>0</v>
          </cell>
          <cell r="M18">
            <v>0</v>
          </cell>
          <cell r="N18">
            <v>0</v>
          </cell>
          <cell r="P18" t="str">
            <v>Outlicensed</v>
          </cell>
        </row>
        <row r="20">
          <cell r="A20" t="str">
            <v xml:space="preserve">  Strattera</v>
          </cell>
          <cell r="D20" t="str">
            <v>-</v>
          </cell>
          <cell r="H20" t="str">
            <v xml:space="preserve"> </v>
          </cell>
          <cell r="I20">
            <v>2.6</v>
          </cell>
          <cell r="J20">
            <v>175</v>
          </cell>
          <cell r="K20">
            <v>300</v>
          </cell>
          <cell r="L20">
            <v>400</v>
          </cell>
          <cell r="M20">
            <v>500</v>
          </cell>
          <cell r="N20">
            <v>600</v>
          </cell>
          <cell r="P20" t="str">
            <v xml:space="preserve">Approved 4Q02with non-stimulant label </v>
          </cell>
        </row>
        <row r="21">
          <cell r="A21" t="str">
            <v xml:space="preserve">  Alimta</v>
          </cell>
          <cell r="H21" t="str">
            <v xml:space="preserve"> </v>
          </cell>
          <cell r="I21">
            <v>0</v>
          </cell>
          <cell r="J21">
            <v>25</v>
          </cell>
          <cell r="K21">
            <v>100</v>
          </cell>
          <cell r="L21">
            <v>175</v>
          </cell>
          <cell r="M21">
            <v>250</v>
          </cell>
          <cell r="N21">
            <v>300</v>
          </cell>
          <cell r="P21" t="str">
            <v>Anticancer.  Rolling submission for mesothelioma started 4Q02.</v>
          </cell>
        </row>
        <row r="22">
          <cell r="A22" t="str">
            <v xml:space="preserve">  R- fluoxetine</v>
          </cell>
          <cell r="I22">
            <v>0</v>
          </cell>
          <cell r="J22">
            <v>0</v>
          </cell>
          <cell r="K22">
            <v>0</v>
          </cell>
          <cell r="L22">
            <v>0</v>
          </cell>
          <cell r="M22">
            <v>0</v>
          </cell>
          <cell r="N22">
            <v>0</v>
          </cell>
          <cell r="P22" t="str">
            <v>Sepracor's single isomer version of Prozac was cancelled due to cardiac warning signals</v>
          </cell>
        </row>
        <row r="23">
          <cell r="A23" t="str">
            <v xml:space="preserve">  Cymbalta</v>
          </cell>
          <cell r="B23" t="str">
            <v>-</v>
          </cell>
          <cell r="C23" t="str">
            <v>-</v>
          </cell>
          <cell r="D23" t="str">
            <v>-</v>
          </cell>
          <cell r="J23">
            <v>50</v>
          </cell>
          <cell r="K23">
            <v>250</v>
          </cell>
          <cell r="L23">
            <v>500</v>
          </cell>
          <cell r="M23">
            <v>700</v>
          </cell>
          <cell r="N23">
            <v>1000</v>
          </cell>
          <cell r="P23" t="str">
            <v>Approvable for Dperession, SUI filed 4Q02</v>
          </cell>
        </row>
        <row r="24">
          <cell r="A24" t="str">
            <v xml:space="preserve">  PKC inhibitor</v>
          </cell>
          <cell r="K24">
            <v>0</v>
          </cell>
          <cell r="L24">
            <v>125</v>
          </cell>
          <cell r="M24">
            <v>300</v>
          </cell>
          <cell r="N24">
            <v>500</v>
          </cell>
          <cell r="P24" t="str">
            <v>Diabetic retinopathy and diabetic macular edema. Plan filing for late 2003.</v>
          </cell>
        </row>
        <row r="25">
          <cell r="A25" t="str">
            <v xml:space="preserve">  Olanzapine-fluoxetine combination</v>
          </cell>
          <cell r="K25">
            <v>100</v>
          </cell>
          <cell r="L25">
            <v>200</v>
          </cell>
          <cell r="M25">
            <v>300</v>
          </cell>
          <cell r="N25">
            <v>400</v>
          </cell>
          <cell r="P25" t="str">
            <v>Prozac/Zyprexa combination. Filed 4Q02</v>
          </cell>
        </row>
        <row r="26">
          <cell r="A26" t="str">
            <v xml:space="preserve">  Arzoxifene</v>
          </cell>
          <cell r="L26">
            <v>50</v>
          </cell>
          <cell r="M26">
            <v>100</v>
          </cell>
          <cell r="N26">
            <v>200</v>
          </cell>
          <cell r="P26" t="str">
            <v>SERM in Phase II</v>
          </cell>
        </row>
        <row r="27">
          <cell r="A27" t="str">
            <v xml:space="preserve">  Moxonidine</v>
          </cell>
          <cell r="D27" t="str">
            <v>-</v>
          </cell>
          <cell r="H27" t="str">
            <v xml:space="preserve"> </v>
          </cell>
          <cell r="J27">
            <v>0</v>
          </cell>
          <cell r="K27">
            <v>0</v>
          </cell>
          <cell r="L27">
            <v>0</v>
          </cell>
          <cell r="P27" t="str">
            <v>Programs discontinued for both congestive heart failure and hypertension.</v>
          </cell>
        </row>
        <row r="28">
          <cell r="A28" t="str">
            <v xml:space="preserve">  Exendin</v>
          </cell>
          <cell r="M28">
            <v>100</v>
          </cell>
          <cell r="N28">
            <v>200</v>
          </cell>
          <cell r="P28" t="str">
            <v>GLP Analogue in collaboration with Amylin</v>
          </cell>
        </row>
        <row r="30">
          <cell r="A30" t="str">
            <v xml:space="preserve">    New Product Total</v>
          </cell>
          <cell r="E30">
            <v>0</v>
          </cell>
          <cell r="F30">
            <v>0</v>
          </cell>
          <cell r="G30">
            <v>0</v>
          </cell>
          <cell r="H30">
            <v>0</v>
          </cell>
          <cell r="I30">
            <v>8.1</v>
          </cell>
          <cell r="J30">
            <v>325</v>
          </cell>
          <cell r="K30">
            <v>900</v>
          </cell>
          <cell r="L30">
            <v>1700</v>
          </cell>
          <cell r="M30">
            <v>2585</v>
          </cell>
          <cell r="N30">
            <v>3600</v>
          </cell>
        </row>
        <row r="31">
          <cell r="A31" t="str">
            <v>Other</v>
          </cell>
          <cell r="B31">
            <v>1571.6</v>
          </cell>
          <cell r="C31">
            <v>1531</v>
          </cell>
          <cell r="D31">
            <v>1421.7</v>
          </cell>
          <cell r="E31">
            <v>1242.7000000000025</v>
          </cell>
          <cell r="F31">
            <v>1123.8000000000002</v>
          </cell>
          <cell r="G31">
            <v>1110.8999999999996</v>
          </cell>
          <cell r="H31">
            <v>975.10000000000036</v>
          </cell>
          <cell r="I31">
            <v>844.58</v>
          </cell>
          <cell r="J31">
            <v>789.90139999999997</v>
          </cell>
          <cell r="K31">
            <v>754.50791000000004</v>
          </cell>
          <cell r="L31">
            <v>728.82752870000013</v>
          </cell>
          <cell r="M31">
            <v>704.89576523899996</v>
          </cell>
          <cell r="N31">
            <v>682.57018820183021</v>
          </cell>
        </row>
        <row r="32">
          <cell r="A32" t="str">
            <v>Total Pharmaceuticals</v>
          </cell>
          <cell r="B32">
            <v>5993.6</v>
          </cell>
          <cell r="C32">
            <v>6429.5999999999995</v>
          </cell>
          <cell r="D32">
            <v>7372.8</v>
          </cell>
          <cell r="E32">
            <v>8488.9000000000015</v>
          </cell>
          <cell r="F32">
            <v>9228.9</v>
          </cell>
          <cell r="G32">
            <v>10271.199999999999</v>
          </cell>
          <cell r="H32">
            <v>10845.800000000001</v>
          </cell>
          <cell r="I32">
            <v>10383.780000000001</v>
          </cell>
          <cell r="J32">
            <v>11262.645400000001</v>
          </cell>
          <cell r="K32">
            <v>12597.529260000001</v>
          </cell>
          <cell r="L32">
            <v>14254.6894906</v>
          </cell>
          <cell r="M32">
            <v>15642.237463206002</v>
          </cell>
          <cell r="N32">
            <v>17196.435702795101</v>
          </cell>
          <cell r="P32">
            <v>0.18311688912318069</v>
          </cell>
          <cell r="Q32">
            <v>0.10615654258630615</v>
          </cell>
        </row>
        <row r="33">
          <cell r="A33" t="str">
            <v>Animal Health/Industrials</v>
          </cell>
          <cell r="B33">
            <v>512.4</v>
          </cell>
          <cell r="C33">
            <v>547.29999999999995</v>
          </cell>
          <cell r="D33">
            <v>589.79999999999995</v>
          </cell>
          <cell r="E33">
            <v>620.9</v>
          </cell>
          <cell r="F33">
            <v>635.5</v>
          </cell>
          <cell r="G33">
            <v>682.00000000000011</v>
          </cell>
          <cell r="H33">
            <v>696.6</v>
          </cell>
          <cell r="I33">
            <v>693.7</v>
          </cell>
          <cell r="J33">
            <v>693.7</v>
          </cell>
          <cell r="K33">
            <v>693.7</v>
          </cell>
          <cell r="L33">
            <v>693.7</v>
          </cell>
          <cell r="M33">
            <v>693.7</v>
          </cell>
          <cell r="N33">
            <v>693.7</v>
          </cell>
          <cell r="P33" t="str">
            <v>3-Year CAGR</v>
          </cell>
          <cell r="Q33" t="str">
            <v>5-Year CAGR</v>
          </cell>
        </row>
        <row r="34">
          <cell r="A34" t="str">
            <v>Total Revenues</v>
          </cell>
          <cell r="B34">
            <v>6506</v>
          </cell>
          <cell r="C34">
            <v>6976.9</v>
          </cell>
          <cell r="D34">
            <v>7962.6</v>
          </cell>
          <cell r="E34">
            <v>9109.8000000000011</v>
          </cell>
          <cell r="F34">
            <v>9864.2999999999993</v>
          </cell>
          <cell r="G34">
            <v>10953.199999999999</v>
          </cell>
          <cell r="H34">
            <v>11542.400000000001</v>
          </cell>
          <cell r="I34">
            <v>11077.480000000001</v>
          </cell>
          <cell r="J34">
            <v>11956.345400000002</v>
          </cell>
          <cell r="K34">
            <v>13291.229260000002</v>
          </cell>
          <cell r="L34">
            <v>14948.3894906</v>
          </cell>
          <cell r="M34">
            <v>16335.937463206003</v>
          </cell>
          <cell r="N34">
            <v>17890.135702795102</v>
          </cell>
          <cell r="P34">
            <v>0.17325087492637559</v>
          </cell>
          <cell r="Q34">
            <v>0.10061273094390182</v>
          </cell>
        </row>
        <row r="35">
          <cell r="A35" t="str">
            <v>COGS</v>
          </cell>
          <cell r="B35">
            <v>1885.7</v>
          </cell>
          <cell r="C35">
            <v>2118.4</v>
          </cell>
          <cell r="D35">
            <v>2362.9</v>
          </cell>
          <cell r="E35">
            <v>2015.1000000000001</v>
          </cell>
          <cell r="F35">
            <v>2085.8000000000002</v>
          </cell>
          <cell r="G35">
            <v>2067.8999999999996</v>
          </cell>
          <cell r="H35">
            <v>2160.1999999999998</v>
          </cell>
          <cell r="I35">
            <v>2176.5</v>
          </cell>
          <cell r="J35">
            <v>2546.7015701999999</v>
          </cell>
          <cell r="K35">
            <v>2804.4493738600004</v>
          </cell>
          <cell r="L35">
            <v>3109.2650140448004</v>
          </cell>
          <cell r="M35">
            <v>3365.2031174204362</v>
          </cell>
          <cell r="N35">
            <v>3649.5876833701996</v>
          </cell>
          <cell r="P35" t="str">
            <v>Improved product mix is driving gross margin expansion.</v>
          </cell>
        </row>
        <row r="36">
          <cell r="A36" t="str">
            <v>SG&amp;A</v>
          </cell>
          <cell r="B36">
            <v>1854</v>
          </cell>
          <cell r="C36">
            <v>1991.9</v>
          </cell>
          <cell r="D36">
            <v>2294</v>
          </cell>
          <cell r="E36">
            <v>2658.3</v>
          </cell>
          <cell r="F36">
            <v>2757.6000000000004</v>
          </cell>
          <cell r="G36">
            <v>3228.3</v>
          </cell>
          <cell r="H36">
            <v>3417.3999999999996</v>
          </cell>
          <cell r="I36">
            <v>3424</v>
          </cell>
          <cell r="J36">
            <v>3784.1833191000001</v>
          </cell>
          <cell r="K36">
            <v>4160.1547583800002</v>
          </cell>
          <cell r="L36">
            <v>4604.1039631048006</v>
          </cell>
          <cell r="M36">
            <v>4949.7890513514185</v>
          </cell>
          <cell r="N36">
            <v>5411.7660500955171</v>
          </cell>
          <cell r="P36" t="str">
            <v>Expect higher SG&amp;A spend in support of salesforce expansion in US and international</v>
          </cell>
        </row>
        <row r="37">
          <cell r="A37" t="str">
            <v>R&amp;D</v>
          </cell>
          <cell r="B37">
            <v>1042.3</v>
          </cell>
          <cell r="C37">
            <v>1189.5</v>
          </cell>
          <cell r="D37">
            <v>1382</v>
          </cell>
          <cell r="E37">
            <v>1738.9</v>
          </cell>
          <cell r="F37">
            <v>1783.6</v>
          </cell>
          <cell r="G37">
            <v>2018.5</v>
          </cell>
          <cell r="H37">
            <v>2235.1</v>
          </cell>
          <cell r="I37">
            <v>2149.3000000000002</v>
          </cell>
          <cell r="J37">
            <v>2331.487353</v>
          </cell>
          <cell r="K37">
            <v>2551.9160179200003</v>
          </cell>
          <cell r="L37">
            <v>2840.1940032140005</v>
          </cell>
          <cell r="M37">
            <v>3030.3163994247134</v>
          </cell>
          <cell r="N37">
            <v>3309.6751050170933</v>
          </cell>
        </row>
        <row r="38">
          <cell r="A38" t="str">
            <v>Operating Income</v>
          </cell>
          <cell r="D38">
            <v>2478.7000000000003</v>
          </cell>
          <cell r="E38">
            <v>2824.5</v>
          </cell>
          <cell r="F38">
            <v>3237.2999999999988</v>
          </cell>
          <cell r="G38">
            <v>3638.4999999999991</v>
          </cell>
          <cell r="H38">
            <v>3729.7000000000012</v>
          </cell>
          <cell r="I38">
            <v>3327.6800000000012</v>
          </cell>
          <cell r="J38">
            <v>3293.9731577000025</v>
          </cell>
          <cell r="K38">
            <v>3774.7091098400001</v>
          </cell>
          <cell r="L38">
            <v>4394.8265102363985</v>
          </cell>
          <cell r="M38">
            <v>4990.628895009434</v>
          </cell>
          <cell r="N38">
            <v>5519.1068643122926</v>
          </cell>
        </row>
        <row r="39">
          <cell r="A39" t="str">
            <v>Other Inc. (Exp). Net</v>
          </cell>
          <cell r="B39">
            <v>216.2</v>
          </cell>
          <cell r="C39">
            <v>107.5</v>
          </cell>
          <cell r="D39">
            <v>137.19999999999999</v>
          </cell>
          <cell r="E39">
            <v>-32</v>
          </cell>
          <cell r="F39">
            <v>-58.7</v>
          </cell>
          <cell r="G39">
            <v>85.6</v>
          </cell>
          <cell r="H39">
            <v>134.19999999999999</v>
          </cell>
          <cell r="I39">
            <v>214</v>
          </cell>
          <cell r="J39">
            <v>210.60578754264637</v>
          </cell>
          <cell r="K39">
            <v>290.40384863715224</v>
          </cell>
          <cell r="L39">
            <v>346.33804660956059</v>
          </cell>
          <cell r="M39">
            <v>420.79985125319928</v>
          </cell>
          <cell r="N39">
            <v>450</v>
          </cell>
          <cell r="P39" t="str">
            <v>Includes ICOS joint venture.</v>
          </cell>
        </row>
        <row r="40">
          <cell r="A40" t="str">
            <v>Pretax Income</v>
          </cell>
          <cell r="B40">
            <v>1507.8000000000002</v>
          </cell>
          <cell r="C40">
            <v>1569.5999999999995</v>
          </cell>
          <cell r="D40">
            <v>-692.20000000000073</v>
          </cell>
          <cell r="E40">
            <v>2792.5</v>
          </cell>
          <cell r="F40">
            <v>3178.599999999999</v>
          </cell>
          <cell r="G40">
            <v>3724.099999999999</v>
          </cell>
          <cell r="H40">
            <v>3863.900000000001</v>
          </cell>
          <cell r="I40">
            <v>3541.6800000000012</v>
          </cell>
          <cell r="J40">
            <v>3504.5789452426488</v>
          </cell>
          <cell r="K40">
            <v>4065.1129584771525</v>
          </cell>
          <cell r="L40">
            <v>4741.1645568459589</v>
          </cell>
          <cell r="M40">
            <v>5411.4287462626335</v>
          </cell>
          <cell r="N40">
            <v>5969.1068643122926</v>
          </cell>
        </row>
        <row r="41">
          <cell r="A41" t="str">
            <v>Taxes</v>
          </cell>
          <cell r="B41">
            <v>392.02800000000008</v>
          </cell>
          <cell r="C41">
            <v>391.77215999999987</v>
          </cell>
          <cell r="D41">
            <v>585.4</v>
          </cell>
          <cell r="E41">
            <v>619.39999999999986</v>
          </cell>
          <cell r="F41">
            <v>709.8</v>
          </cell>
          <cell r="G41">
            <v>819.2</v>
          </cell>
          <cell r="H41">
            <v>850.05800000000022</v>
          </cell>
          <cell r="I41">
            <v>779.16960000000029</v>
          </cell>
          <cell r="J41">
            <v>771.00736795338275</v>
          </cell>
          <cell r="K41">
            <v>894.32485086497354</v>
          </cell>
          <cell r="L41">
            <v>1043.056202506111</v>
          </cell>
          <cell r="M41">
            <v>1190.5143241777794</v>
          </cell>
          <cell r="N41">
            <v>1313.2035101487045</v>
          </cell>
        </row>
        <row r="42">
          <cell r="A42" t="str">
            <v>Tax Rate</v>
          </cell>
          <cell r="B42">
            <v>0.26</v>
          </cell>
          <cell r="C42">
            <v>0.24959999999999999</v>
          </cell>
          <cell r="D42">
            <v>-0.8457093325628422</v>
          </cell>
          <cell r="E42">
            <v>0.2218084153983885</v>
          </cell>
          <cell r="F42">
            <v>0.22330585792487265</v>
          </cell>
          <cell r="G42">
            <v>0.21997261083214745</v>
          </cell>
          <cell r="H42">
            <v>0.22</v>
          </cell>
          <cell r="I42">
            <v>0.22</v>
          </cell>
          <cell r="J42">
            <v>0.22</v>
          </cell>
          <cell r="K42">
            <v>0.22</v>
          </cell>
          <cell r="L42">
            <v>0.22</v>
          </cell>
          <cell r="M42">
            <v>0.22</v>
          </cell>
          <cell r="N42">
            <v>0.22</v>
          </cell>
        </row>
        <row r="43">
          <cell r="A43" t="str">
            <v>Net Income</v>
          </cell>
          <cell r="B43">
            <v>1115.7720000000002</v>
          </cell>
          <cell r="C43">
            <v>1177.8278399999995</v>
          </cell>
          <cell r="D43">
            <v>-1277.6000000000008</v>
          </cell>
          <cell r="E43">
            <v>2173.1000000000004</v>
          </cell>
          <cell r="F43">
            <v>2468.7999999999993</v>
          </cell>
          <cell r="G43">
            <v>2904.8999999999987</v>
          </cell>
          <cell r="H43">
            <v>3013.8420000000006</v>
          </cell>
          <cell r="I43">
            <v>2762.510400000001</v>
          </cell>
          <cell r="J43">
            <v>2733.5715772892663</v>
          </cell>
          <cell r="K43">
            <v>3170.7881076121789</v>
          </cell>
          <cell r="L43">
            <v>3698.1083543398481</v>
          </cell>
          <cell r="M43">
            <v>4220.9144220848539</v>
          </cell>
          <cell r="N43">
            <v>4655.9033541635881</v>
          </cell>
          <cell r="P43" t="str">
            <v>3-Year CAGR</v>
          </cell>
          <cell r="Q43" t="str">
            <v>5-Year CAGR</v>
          </cell>
        </row>
        <row r="44">
          <cell r="A44" t="str">
            <v xml:space="preserve">EPS </v>
          </cell>
          <cell r="C44" t="e">
            <v>#REF!</v>
          </cell>
          <cell r="D44" t="e">
            <v>#REF!</v>
          </cell>
          <cell r="E44">
            <v>1.9300000000000002</v>
          </cell>
          <cell r="F44">
            <v>2.2331776721953069</v>
          </cell>
          <cell r="G44">
            <v>2.6475219306655244</v>
          </cell>
          <cell r="H44">
            <v>2.7629825273906241</v>
          </cell>
          <cell r="I44">
            <v>2.5458860479518721</v>
          </cell>
          <cell r="J44">
            <v>2.5218938916036246</v>
          </cell>
          <cell r="K44">
            <v>2.9252539888076226</v>
          </cell>
          <cell r="L44">
            <v>3.4117405034428678</v>
          </cell>
          <cell r="M44">
            <v>3.8940624004414044</v>
          </cell>
          <cell r="N44">
            <v>4.2953673963809562</v>
          </cell>
          <cell r="P44">
            <v>0.19047547181752694</v>
          </cell>
          <cell r="Q44">
            <v>0.11027937193316943</v>
          </cell>
        </row>
        <row r="45">
          <cell r="A45" t="str">
            <v>ANNUAL EPS GROWTH</v>
          </cell>
          <cell r="E45">
            <v>0.22929936305732479</v>
          </cell>
          <cell r="F45">
            <v>0.15708687678513303</v>
          </cell>
          <cell r="G45">
            <v>0.18554021188242481</v>
          </cell>
          <cell r="H45">
            <v>4.3610817870005557E-2</v>
          </cell>
          <cell r="I45">
            <v>-7.85732364524864E-2</v>
          </cell>
          <cell r="J45">
            <v>-9.4238924666517621E-3</v>
          </cell>
          <cell r="K45">
            <v>0.15994332614347578</v>
          </cell>
          <cell r="L45">
            <v>0.16630573498800508</v>
          </cell>
          <cell r="M45">
            <v>0.14137121405095557</v>
          </cell>
          <cell r="N45">
            <v>0.10305561510623523</v>
          </cell>
        </row>
        <row r="46">
          <cell r="A46" t="str">
            <v>Avg. Shares Out.</v>
          </cell>
          <cell r="C46">
            <v>1117.1099999999999</v>
          </cell>
          <cell r="D46">
            <v>1130.579</v>
          </cell>
          <cell r="E46">
            <v>1121.4860000000001</v>
          </cell>
          <cell r="F46">
            <v>1106.0550000000001</v>
          </cell>
          <cell r="G46">
            <v>1097.7</v>
          </cell>
          <cell r="H46">
            <v>1090.7929999999999</v>
          </cell>
          <cell r="I46">
            <v>1085.088</v>
          </cell>
          <cell r="J46">
            <v>1083.9359999999999</v>
          </cell>
          <cell r="K46">
            <v>1083.9359999999999</v>
          </cell>
          <cell r="L46">
            <v>1083.9359999999999</v>
          </cell>
          <cell r="M46">
            <v>1083.9359999999999</v>
          </cell>
          <cell r="N46">
            <v>1083.9359999999999</v>
          </cell>
        </row>
        <row r="47">
          <cell r="A47" t="str">
            <v>DPS</v>
          </cell>
          <cell r="D47">
            <v>0.74</v>
          </cell>
          <cell r="E47">
            <v>0.8</v>
          </cell>
          <cell r="F47">
            <v>0.92</v>
          </cell>
          <cell r="G47">
            <v>1.04</v>
          </cell>
          <cell r="H47">
            <v>1.2</v>
          </cell>
          <cell r="I47">
            <v>1.36</v>
          </cell>
          <cell r="J47">
            <v>1.52</v>
          </cell>
          <cell r="K47">
            <v>1.68</v>
          </cell>
          <cell r="L47">
            <v>1.86</v>
          </cell>
          <cell r="M47">
            <v>2.0646000000000004</v>
          </cell>
          <cell r="N47">
            <v>2.0646000000000004</v>
          </cell>
        </row>
        <row r="48">
          <cell r="A48" t="str">
            <v>Dividend Payout Ratio</v>
          </cell>
          <cell r="E48">
            <v>0.41450777202072536</v>
          </cell>
          <cell r="F48">
            <v>0.41196901234266847</v>
          </cell>
          <cell r="G48">
            <v>0.39282016437860767</v>
          </cell>
          <cell r="H48">
            <v>0.43431327853284929</v>
          </cell>
          <cell r="I48">
            <v>0.53419515814311491</v>
          </cell>
          <cell r="J48">
            <v>0.60272163117594957</v>
          </cell>
          <cell r="K48">
            <v>0.57430910492828458</v>
          </cell>
          <cell r="L48">
            <v>0.5451762811746762</v>
          </cell>
          <cell r="M48">
            <v>0.53019181196633403</v>
          </cell>
          <cell r="N48">
            <v>0.48065737094794742</v>
          </cell>
        </row>
        <row r="49">
          <cell r="A49" t="str">
            <v>E= Morgan Stanley Research estimates</v>
          </cell>
        </row>
        <row r="53">
          <cell r="A53" t="str">
            <v>Margin Analysis</v>
          </cell>
        </row>
        <row r="54">
          <cell r="A54" t="str">
            <v>COGS</v>
          </cell>
          <cell r="B54">
            <v>0.28984014755610205</v>
          </cell>
          <cell r="C54">
            <v>0.30363055225099977</v>
          </cell>
          <cell r="D54">
            <v>0.29674980533996431</v>
          </cell>
          <cell r="E54">
            <v>0.2212013436079826</v>
          </cell>
          <cell r="F54">
            <v>0.21144936792271121</v>
          </cell>
          <cell r="G54">
            <v>0.18879414235109374</v>
          </cell>
          <cell r="H54">
            <v>0.18715345162184638</v>
          </cell>
          <cell r="I54">
            <v>0.19647970477039903</v>
          </cell>
          <cell r="J54">
            <v>0.21299999999999997</v>
          </cell>
          <cell r="K54">
            <v>0.21099999999999999</v>
          </cell>
          <cell r="L54">
            <v>0.20800000000000002</v>
          </cell>
          <cell r="M54">
            <v>0.20599999999999999</v>
          </cell>
          <cell r="N54">
            <v>0.20399999999999993</v>
          </cell>
        </row>
        <row r="55">
          <cell r="A55" t="str">
            <v>SG&amp;A</v>
          </cell>
          <cell r="B55">
            <v>28.496772210267444</v>
          </cell>
          <cell r="C55">
            <v>28.549929051584517</v>
          </cell>
          <cell r="D55">
            <v>28.809685278677815</v>
          </cell>
          <cell r="E55">
            <v>29.180662583152206</v>
          </cell>
          <cell r="F55">
            <v>27.955354155895506</v>
          </cell>
          <cell r="G55">
            <v>29.47357849760801</v>
          </cell>
          <cell r="H55">
            <v>29.607360687551974</v>
          </cell>
          <cell r="I55">
            <v>30.909557047270674</v>
          </cell>
          <cell r="J55">
            <v>31.649999999999995</v>
          </cell>
          <cell r="K55">
            <v>31.299999999999994</v>
          </cell>
          <cell r="L55">
            <v>30.800000000000004</v>
          </cell>
          <cell r="M55">
            <v>30.3</v>
          </cell>
          <cell r="N55">
            <v>30.249999999999993</v>
          </cell>
        </row>
        <row r="56">
          <cell r="A56" t="str">
            <v>R&amp;D</v>
          </cell>
          <cell r="B56">
            <v>16.020596372579156</v>
          </cell>
          <cell r="C56">
            <v>17.049119236337056</v>
          </cell>
          <cell r="D56">
            <v>17.356139954286288</v>
          </cell>
          <cell r="E56">
            <v>19.088234648400622</v>
          </cell>
          <cell r="F56">
            <v>18.08136411098608</v>
          </cell>
          <cell r="G56">
            <v>18.428404484534202</v>
          </cell>
          <cell r="H56">
            <v>19.364257000277235</v>
          </cell>
          <cell r="I56">
            <v>19.402427266851305</v>
          </cell>
          <cell r="J56">
            <v>19.499999999999996</v>
          </cell>
          <cell r="K56">
            <v>19.2</v>
          </cell>
          <cell r="L56">
            <v>19.000000000000004</v>
          </cell>
          <cell r="M56">
            <v>18.55</v>
          </cell>
          <cell r="N56">
            <v>18.499999999999996</v>
          </cell>
        </row>
        <row r="57">
          <cell r="A57" t="str">
            <v>Operating Income</v>
          </cell>
          <cell r="E57">
            <v>31.005071461502993</v>
          </cell>
          <cell r="F57">
            <v>32.81834494084729</v>
          </cell>
          <cell r="G57">
            <v>33.218602782748412</v>
          </cell>
          <cell r="H57">
            <v>32.313037149986144</v>
          </cell>
          <cell r="I57">
            <v>30.040045208838116</v>
          </cell>
          <cell r="J57">
            <v>27.550000000000018</v>
          </cell>
          <cell r="K57">
            <v>28.4</v>
          </cell>
          <cell r="L57">
            <v>29.399999999999988</v>
          </cell>
          <cell r="M57">
            <v>30.55</v>
          </cell>
          <cell r="N57">
            <v>30.850000000000023</v>
          </cell>
        </row>
        <row r="58">
          <cell r="A58" t="str">
            <v>Pretax Income</v>
          </cell>
          <cell r="B58">
            <v>23.175530279741778</v>
          </cell>
          <cell r="C58">
            <v>22.497097564821043</v>
          </cell>
          <cell r="D58">
            <v>-8.6931404315173531</v>
          </cell>
          <cell r="E58">
            <v>30.65380140068936</v>
          </cell>
          <cell r="F58">
            <v>32.223269770789607</v>
          </cell>
          <cell r="G58">
            <v>34.00010955702443</v>
          </cell>
          <cell r="H58">
            <v>33.47570695869144</v>
          </cell>
          <cell r="I58">
            <v>31.971892524292535</v>
          </cell>
          <cell r="J58">
            <v>29.311456201680556</v>
          </cell>
          <cell r="K58">
            <v>30.58492844383569</v>
          </cell>
          <cell r="L58">
            <v>31.7168920426334</v>
          </cell>
          <cell r="M58">
            <v>33.125914924998831</v>
          </cell>
          <cell r="N58">
            <v>33.365352636088147</v>
          </cell>
        </row>
        <row r="59">
          <cell r="A59" t="str">
            <v xml:space="preserve">Net Income </v>
          </cell>
          <cell r="B59">
            <v>17.149892407008917</v>
          </cell>
          <cell r="C59">
            <v>16.881822012641713</v>
          </cell>
          <cell r="D59">
            <v>-16.04501042373095</v>
          </cell>
          <cell r="E59">
            <v>23.854530286065557</v>
          </cell>
          <cell r="F59">
            <v>25.027624869478821</v>
          </cell>
          <cell r="G59">
            <v>26.521016689186709</v>
          </cell>
          <cell r="H59">
            <v>26.111051427779319</v>
          </cell>
          <cell r="I59">
            <v>24.938076168948179</v>
          </cell>
          <cell r="J59">
            <v>22.86293583731084</v>
          </cell>
          <cell r="K59">
            <v>23.856244186191837</v>
          </cell>
          <cell r="L59">
            <v>24.739175793254052</v>
          </cell>
          <cell r="M59">
            <v>25.838213641499092</v>
          </cell>
          <cell r="N59">
            <v>26.024975056148758</v>
          </cell>
        </row>
        <row r="61">
          <cell r="A61" t="str">
            <v>Growth Analysis</v>
          </cell>
        </row>
        <row r="62">
          <cell r="A62" t="str">
            <v>Sales</v>
          </cell>
          <cell r="B62" t="str">
            <v>-</v>
          </cell>
          <cell r="C62">
            <v>7.2379342145711595E-2</v>
          </cell>
          <cell r="D62">
            <v>0.14128051140191214</v>
          </cell>
          <cell r="E62" t="str">
            <v>--</v>
          </cell>
          <cell r="F62">
            <v>8.2822894026213317E-2</v>
          </cell>
          <cell r="G62">
            <v>0.11038796468071731</v>
          </cell>
          <cell r="H62">
            <v>5.3792498995727515E-2</v>
          </cell>
          <cell r="I62">
            <v>-4.0279317992791795E-2</v>
          </cell>
          <cell r="J62">
            <v>7.933802633812026E-2</v>
          </cell>
          <cell r="K62">
            <v>0.11164647853013679</v>
          </cell>
          <cell r="L62">
            <v>0.12468073480511151</v>
          </cell>
          <cell r="M62">
            <v>9.2822572858335964E-2</v>
          </cell>
          <cell r="N62">
            <v>9.513982549759839E-2</v>
          </cell>
        </row>
        <row r="63">
          <cell r="A63" t="str">
            <v>COGS</v>
          </cell>
          <cell r="B63" t="str">
            <v>-</v>
          </cell>
          <cell r="C63">
            <v>12.340245001856076</v>
          </cell>
          <cell r="D63">
            <v>11.541729607250755</v>
          </cell>
          <cell r="E63" t="str">
            <v>--</v>
          </cell>
          <cell r="F63">
            <v>3.5085107438836802</v>
          </cell>
          <cell r="G63">
            <v>-0.85818391025028973</v>
          </cell>
          <cell r="H63">
            <v>4.4634653513226077</v>
          </cell>
          <cell r="I63">
            <v>0.75455976298491734</v>
          </cell>
          <cell r="J63">
            <v>17.009031481736727</v>
          </cell>
          <cell r="K63">
            <v>10.120848342656764</v>
          </cell>
          <cell r="L63">
            <v>10.869001345717164</v>
          </cell>
          <cell r="M63">
            <v>8.2314663503928678</v>
          </cell>
          <cell r="N63">
            <v>8.4507400007330187</v>
          </cell>
        </row>
        <row r="64">
          <cell r="A64" t="str">
            <v xml:space="preserve">SG&amp;A </v>
          </cell>
          <cell r="B64" t="str">
            <v>-</v>
          </cell>
          <cell r="C64">
            <v>7.4379719525350652</v>
          </cell>
          <cell r="D64">
            <v>15.166424017269939</v>
          </cell>
          <cell r="E64" t="str">
            <v>--</v>
          </cell>
          <cell r="F64">
            <v>3.735470037241853</v>
          </cell>
          <cell r="G64">
            <v>17.069190600522184</v>
          </cell>
          <cell r="H64">
            <v>5.8575720967691796</v>
          </cell>
          <cell r="I64">
            <v>0.19312927956927384</v>
          </cell>
          <cell r="J64">
            <v>10.519372637266358</v>
          </cell>
          <cell r="K64">
            <v>9.9353389510056349</v>
          </cell>
          <cell r="L64">
            <v>10.671458888170738</v>
          </cell>
          <cell r="M64">
            <v>7.5081946675570581</v>
          </cell>
          <cell r="N64">
            <v>9.333266406938435</v>
          </cell>
        </row>
        <row r="65">
          <cell r="A65" t="str">
            <v>R&amp;D</v>
          </cell>
          <cell r="B65" t="str">
            <v>-</v>
          </cell>
          <cell r="C65">
            <v>14.122613451021785</v>
          </cell>
          <cell r="D65">
            <v>16.183270281630939</v>
          </cell>
          <cell r="E65" t="str">
            <v>--</v>
          </cell>
          <cell r="F65">
            <v>2.5705906032549208</v>
          </cell>
          <cell r="G65">
            <v>13.169993272034095</v>
          </cell>
          <cell r="H65">
            <v>10.730740648996775</v>
          </cell>
          <cell r="I65">
            <v>-3.8387544181468272</v>
          </cell>
          <cell r="J65">
            <v>8.4765901921555749</v>
          </cell>
          <cell r="K65">
            <v>9.4544225014288674</v>
          </cell>
          <cell r="L65">
            <v>11.296531048422514</v>
          </cell>
          <cell r="M65">
            <v>6.6939932974848864</v>
          </cell>
          <cell r="N65">
            <v>9.2187966129680188</v>
          </cell>
        </row>
        <row r="66">
          <cell r="A66" t="str">
            <v>Operating Income</v>
          </cell>
          <cell r="E66" t="str">
            <v>--</v>
          </cell>
          <cell r="F66">
            <v>14.614976101964908</v>
          </cell>
          <cell r="G66">
            <v>12.393043585704149</v>
          </cell>
          <cell r="H66">
            <v>2.506527415143661</v>
          </cell>
          <cell r="I66">
            <v>-10.77888302008204</v>
          </cell>
          <cell r="J66">
            <v>-1.0129231867246455</v>
          </cell>
          <cell r="K66">
            <v>14.594410127970461</v>
          </cell>
          <cell r="L66">
            <v>16.428216912923482</v>
          </cell>
          <cell r="M66">
            <v>13.556903404157067</v>
          </cell>
          <cell r="N66">
            <v>10.589406273652804</v>
          </cell>
        </row>
        <row r="67">
          <cell r="A67" t="str">
            <v>Pretax Income</v>
          </cell>
          <cell r="B67" t="str">
            <v>-</v>
          </cell>
          <cell r="C67">
            <v>4.0986868284917941</v>
          </cell>
          <cell r="D67">
            <v>-144.10040774719678</v>
          </cell>
          <cell r="E67" t="str">
            <v>--</v>
          </cell>
          <cell r="F67">
            <v>13.826320501342849</v>
          </cell>
          <cell r="G67">
            <v>17.161643490845034</v>
          </cell>
          <cell r="H67">
            <v>3.7539271233318661</v>
          </cell>
          <cell r="I67">
            <v>-8.3392427340252002</v>
          </cell>
          <cell r="J67">
            <v>-1.0475552494113627</v>
          </cell>
          <cell r="K67">
            <v>15.994332614347586</v>
          </cell>
          <cell r="L67">
            <v>16.630573498800505</v>
          </cell>
          <cell r="M67">
            <v>14.137121405095568</v>
          </cell>
          <cell r="N67">
            <v>10.305561510623525</v>
          </cell>
        </row>
        <row r="68">
          <cell r="A68" t="str">
            <v xml:space="preserve">Net Income </v>
          </cell>
          <cell r="B68" t="str">
            <v>-</v>
          </cell>
          <cell r="C68">
            <v>5.5616954001354486</v>
          </cell>
          <cell r="D68">
            <v>-208.47086107253173</v>
          </cell>
          <cell r="E68" t="str">
            <v>--</v>
          </cell>
          <cell r="F68">
            <v>13.607289126133121</v>
          </cell>
          <cell r="G68">
            <v>17.664452365521694</v>
          </cell>
          <cell r="H68">
            <v>3.7502840028917301</v>
          </cell>
          <cell r="I68">
            <v>-8.3392427340251896</v>
          </cell>
          <cell r="J68">
            <v>-1.0475552494113578</v>
          </cell>
          <cell r="K68">
            <v>15.994332614347575</v>
          </cell>
          <cell r="L68">
            <v>16.630573498800512</v>
          </cell>
          <cell r="M68">
            <v>14.137121405095558</v>
          </cell>
          <cell r="N68">
            <v>10.305561510623528</v>
          </cell>
        </row>
        <row r="69">
          <cell r="A69" t="str">
            <v xml:space="preserve">EPS </v>
          </cell>
          <cell r="B69" t="str">
            <v>-</v>
          </cell>
          <cell r="C69" t="e">
            <v>#REF!</v>
          </cell>
          <cell r="D69" t="e">
            <v>#REF!</v>
          </cell>
          <cell r="E69" t="str">
            <v>--</v>
          </cell>
          <cell r="F69">
            <v>15.708687678513304</v>
          </cell>
          <cell r="G69">
            <v>18.55402118824248</v>
          </cell>
          <cell r="H69">
            <v>4.3610817870005558</v>
          </cell>
          <cell r="I69">
            <v>-7.8573236452486404</v>
          </cell>
          <cell r="J69">
            <v>-0.94238924666517621</v>
          </cell>
          <cell r="K69">
            <v>15.994332614347579</v>
          </cell>
          <cell r="L69">
            <v>16.630573498800509</v>
          </cell>
          <cell r="M69">
            <v>14.137121405095558</v>
          </cell>
          <cell r="N69">
            <v>10.305561510623523</v>
          </cell>
        </row>
        <row r="71">
          <cell r="A71" t="str">
            <v>(a) LLY books the total sales of CNTO's ReoPro but recognizes 50% of its profits.</v>
          </cell>
        </row>
        <row r="72">
          <cell r="A72" t="str">
            <v>E = Morgan Stanley Research Estimates</v>
          </cell>
        </row>
      </sheetData>
      <sheetData sheetId="7" refreshError="1">
        <row r="1">
          <cell r="A1" t="str">
            <v>Table 3</v>
          </cell>
        </row>
        <row r="2">
          <cell r="A2" t="str">
            <v>Eli Lilly</v>
          </cell>
        </row>
        <row r="3">
          <cell r="A3" t="str">
            <v>Quarterly Income Statement Analysis, 2000-2007E</v>
          </cell>
        </row>
        <row r="4">
          <cell r="A4" t="str">
            <v>($ Millions Except EPS)</v>
          </cell>
          <cell r="G4" t="str">
            <v xml:space="preserve"> </v>
          </cell>
          <cell r="H4" t="str">
            <v>Non-Operating Items</v>
          </cell>
        </row>
        <row r="5">
          <cell r="D5" t="str">
            <v xml:space="preserve">  Gross</v>
          </cell>
          <cell r="G5" t="str">
            <v xml:space="preserve"> Oper.</v>
          </cell>
          <cell r="H5" t="str">
            <v>Net Int</v>
          </cell>
          <cell r="I5" t="str">
            <v>Dow</v>
          </cell>
          <cell r="J5" t="str">
            <v>PCS</v>
          </cell>
          <cell r="K5" t="str">
            <v xml:space="preserve">ICOS </v>
          </cell>
          <cell r="N5" t="str">
            <v>Pretax</v>
          </cell>
          <cell r="O5" t="str">
            <v xml:space="preserve">    Tax</v>
          </cell>
          <cell r="Q5" t="str">
            <v xml:space="preserve">   Net</v>
          </cell>
          <cell r="R5" t="str">
            <v xml:space="preserve">Avg. </v>
          </cell>
          <cell r="S5" t="str">
            <v>Oper.</v>
          </cell>
          <cell r="T5" t="str">
            <v>Payout</v>
          </cell>
          <cell r="V5" t="str">
            <v>Cont.</v>
          </cell>
          <cell r="W5" t="str">
            <v>80%</v>
          </cell>
          <cell r="X5" t="str">
            <v>Rep.</v>
          </cell>
        </row>
        <row r="6">
          <cell r="B6" t="str">
            <v>Sales</v>
          </cell>
          <cell r="C6" t="str">
            <v>COGS</v>
          </cell>
          <cell r="D6" t="str">
            <v>Profit</v>
          </cell>
          <cell r="E6" t="str">
            <v>SG&amp;A</v>
          </cell>
          <cell r="F6" t="str">
            <v>R&amp;D</v>
          </cell>
          <cell r="G6" t="str">
            <v>Inc.</v>
          </cell>
          <cell r="H6" t="str">
            <v>Inc.</v>
          </cell>
          <cell r="I6" t="str">
            <v>Elanco</v>
          </cell>
          <cell r="J6" t="str">
            <v>Gdwill</v>
          </cell>
          <cell r="K6" t="str">
            <v>JV</v>
          </cell>
          <cell r="L6" t="str">
            <v>Other</v>
          </cell>
          <cell r="M6" t="str">
            <v>Total</v>
          </cell>
          <cell r="N6" t="str">
            <v>Inc.</v>
          </cell>
          <cell r="O6" t="str">
            <v xml:space="preserve">   Rate</v>
          </cell>
          <cell r="P6" t="str">
            <v>Tax</v>
          </cell>
          <cell r="Q6" t="str">
            <v>Inc.</v>
          </cell>
          <cell r="R6" t="str">
            <v xml:space="preserve">Shs. </v>
          </cell>
          <cell r="S6" t="str">
            <v>EPS</v>
          </cell>
          <cell r="T6" t="str">
            <v>Ratio</v>
          </cell>
          <cell r="U6" t="str">
            <v>DPS</v>
          </cell>
          <cell r="V6" t="str">
            <v>Oper.</v>
          </cell>
          <cell r="W6" t="str">
            <v>Guidant</v>
          </cell>
          <cell r="X6" t="str">
            <v>EPS</v>
          </cell>
        </row>
        <row r="8">
          <cell r="A8" t="str">
            <v>1989</v>
          </cell>
          <cell r="B8">
            <v>4175.6000000000004</v>
          </cell>
          <cell r="C8">
            <v>1255.8</v>
          </cell>
          <cell r="D8">
            <v>2919.8</v>
          </cell>
          <cell r="E8">
            <v>1149.5999999999999</v>
          </cell>
          <cell r="F8">
            <v>605.4</v>
          </cell>
          <cell r="G8">
            <v>1164.8</v>
          </cell>
          <cell r="H8">
            <v>74.599999999999994</v>
          </cell>
          <cell r="I8">
            <v>66.5</v>
          </cell>
          <cell r="L8">
            <v>24</v>
          </cell>
          <cell r="M8">
            <v>165.1</v>
          </cell>
          <cell r="N8">
            <v>1329.9</v>
          </cell>
          <cell r="O8">
            <v>0.29355590645913227</v>
          </cell>
          <cell r="P8">
            <v>390.4</v>
          </cell>
          <cell r="Q8">
            <v>939.5</v>
          </cell>
          <cell r="R8">
            <v>1178.028</v>
          </cell>
          <cell r="S8">
            <v>0.8</v>
          </cell>
        </row>
        <row r="9">
          <cell r="A9" t="str">
            <v>1990</v>
          </cell>
          <cell r="B9">
            <v>5191.6000000000004</v>
          </cell>
          <cell r="C9">
            <v>1523.3</v>
          </cell>
          <cell r="D9">
            <v>3668.3</v>
          </cell>
          <cell r="E9">
            <v>1426.2</v>
          </cell>
          <cell r="F9">
            <v>702.7</v>
          </cell>
          <cell r="G9">
            <v>1539.4</v>
          </cell>
          <cell r="H9">
            <v>59</v>
          </cell>
          <cell r="I9">
            <v>58.9</v>
          </cell>
          <cell r="L9">
            <v>-58.3</v>
          </cell>
          <cell r="M9">
            <v>59.6</v>
          </cell>
          <cell r="N9">
            <v>1599</v>
          </cell>
          <cell r="O9">
            <v>0.29499687304565353</v>
          </cell>
          <cell r="P9">
            <v>471.7</v>
          </cell>
          <cell r="Q9">
            <v>1127.3</v>
          </cell>
          <cell r="R9">
            <v>1160</v>
          </cell>
          <cell r="S9">
            <v>0.97499999999999998</v>
          </cell>
        </row>
        <row r="10">
          <cell r="A10" t="str">
            <v>1991</v>
          </cell>
          <cell r="B10">
            <v>5725.7</v>
          </cell>
          <cell r="C10">
            <v>1717.7</v>
          </cell>
          <cell r="D10">
            <v>4008</v>
          </cell>
          <cell r="E10">
            <v>1472.8</v>
          </cell>
          <cell r="F10">
            <v>766.9</v>
          </cell>
          <cell r="G10">
            <v>1768.3</v>
          </cell>
          <cell r="H10">
            <v>65.400000000000006</v>
          </cell>
          <cell r="I10">
            <v>57</v>
          </cell>
          <cell r="L10">
            <v>-11.5</v>
          </cell>
          <cell r="M10">
            <v>110.9</v>
          </cell>
          <cell r="N10">
            <v>1879.2</v>
          </cell>
          <cell r="O10">
            <v>0.30039378458918692</v>
          </cell>
          <cell r="P10">
            <v>564.5</v>
          </cell>
          <cell r="Q10">
            <v>1314.7</v>
          </cell>
          <cell r="R10">
            <v>1176.9760000000001</v>
          </cell>
          <cell r="S10">
            <v>1.125</v>
          </cell>
        </row>
        <row r="11">
          <cell r="A11" t="str">
            <v>1992</v>
          </cell>
          <cell r="B11">
            <v>6167.3</v>
          </cell>
          <cell r="C11">
            <v>1809.5</v>
          </cell>
          <cell r="D11">
            <v>4357.8</v>
          </cell>
          <cell r="E11">
            <v>1575</v>
          </cell>
          <cell r="F11">
            <v>861.3</v>
          </cell>
          <cell r="G11">
            <v>1921.5</v>
          </cell>
          <cell r="H11">
            <v>4.3</v>
          </cell>
          <cell r="I11">
            <v>52</v>
          </cell>
          <cell r="L11">
            <v>-29.3</v>
          </cell>
          <cell r="M11">
            <v>27</v>
          </cell>
          <cell r="N11">
            <v>1948.5</v>
          </cell>
          <cell r="O11">
            <v>0.30254041570438794</v>
          </cell>
          <cell r="P11">
            <v>589.5</v>
          </cell>
          <cell r="Q11">
            <v>1359</v>
          </cell>
          <cell r="R11">
            <v>1178.259</v>
          </cell>
          <cell r="S11">
            <v>1.156125632060605</v>
          </cell>
        </row>
        <row r="12">
          <cell r="A12">
            <v>1993</v>
          </cell>
          <cell r="B12">
            <v>5198.5</v>
          </cell>
          <cell r="C12">
            <v>1448</v>
          </cell>
          <cell r="D12">
            <v>3750.5</v>
          </cell>
          <cell r="E12">
            <v>1332.5</v>
          </cell>
          <cell r="F12">
            <v>754.9</v>
          </cell>
          <cell r="G12">
            <v>1663.1</v>
          </cell>
          <cell r="H12">
            <v>-20.2</v>
          </cell>
          <cell r="I12">
            <v>64</v>
          </cell>
          <cell r="J12" t="str">
            <v xml:space="preserve">    --</v>
          </cell>
          <cell r="L12">
            <v>-11.4</v>
          </cell>
          <cell r="M12">
            <v>32.4</v>
          </cell>
          <cell r="N12">
            <v>1695.5</v>
          </cell>
          <cell r="O12">
            <v>0.32851666175169564</v>
          </cell>
          <cell r="P12">
            <v>557</v>
          </cell>
          <cell r="Q12">
            <v>1138.5</v>
          </cell>
          <cell r="R12">
            <v>1176.068</v>
          </cell>
          <cell r="S12">
            <v>0.96821542116443005</v>
          </cell>
        </row>
        <row r="14">
          <cell r="A14" t="str">
            <v xml:space="preserve">1990/89 </v>
          </cell>
          <cell r="B14">
            <v>0.24331832551010632</v>
          </cell>
          <cell r="C14">
            <v>0.21301162605510432</v>
          </cell>
          <cell r="D14">
            <v>0.25635317487499143</v>
          </cell>
          <cell r="E14">
            <v>0.24060542797494794</v>
          </cell>
          <cell r="F14">
            <v>0.16072018500165192</v>
          </cell>
          <cell r="G14">
            <v>0.32160027472527486</v>
          </cell>
          <cell r="H14">
            <v>-0.20911528150134043</v>
          </cell>
          <cell r="I14">
            <v>-0.11428571428571431</v>
          </cell>
          <cell r="L14" t="str">
            <v xml:space="preserve">    --</v>
          </cell>
          <cell r="M14">
            <v>-0.63900666262870987</v>
          </cell>
          <cell r="N14">
            <v>0.20234604105571841</v>
          </cell>
          <cell r="O14" t="str">
            <v xml:space="preserve">    --</v>
          </cell>
          <cell r="P14" t="str">
            <v xml:space="preserve">    --</v>
          </cell>
          <cell r="Q14">
            <v>0.19989356040447043</v>
          </cell>
          <cell r="R14" t="str">
            <v xml:space="preserve">    --</v>
          </cell>
          <cell r="S14">
            <v>0.21875</v>
          </cell>
        </row>
        <row r="15">
          <cell r="A15" t="str">
            <v xml:space="preserve">1991/90 </v>
          </cell>
          <cell r="B15">
            <v>0.10287772555666835</v>
          </cell>
          <cell r="C15">
            <v>0.12761767215912828</v>
          </cell>
          <cell r="D15">
            <v>9.2604203582040676E-2</v>
          </cell>
          <cell r="E15">
            <v>3.2674239237133577E-2</v>
          </cell>
          <cell r="F15">
            <v>9.1361889853422404E-2</v>
          </cell>
          <cell r="G15">
            <v>0.14869429647914761</v>
          </cell>
          <cell r="H15">
            <v>0.10847457627118653</v>
          </cell>
          <cell r="I15">
            <v>-3.2258064516129011E-2</v>
          </cell>
          <cell r="L15" t="str">
            <v xml:space="preserve">    --</v>
          </cell>
          <cell r="M15">
            <v>0.86073825503355705</v>
          </cell>
          <cell r="N15">
            <v>0.17523452157598501</v>
          </cell>
          <cell r="O15" t="str">
            <v xml:space="preserve">    --</v>
          </cell>
          <cell r="P15" t="str">
            <v xml:space="preserve">    --</v>
          </cell>
          <cell r="Q15">
            <v>0.16623791359886464</v>
          </cell>
          <cell r="R15" t="str">
            <v xml:space="preserve">    --</v>
          </cell>
          <cell r="S15">
            <v>0.15384615384615388</v>
          </cell>
        </row>
        <row r="16">
          <cell r="A16" t="str">
            <v>1992/91</v>
          </cell>
          <cell r="B16">
            <v>7.7125940932986262E-2</v>
          </cell>
          <cell r="C16">
            <v>5.3443558246492377E-2</v>
          </cell>
          <cell r="D16">
            <v>8.7275449101796229E-2</v>
          </cell>
          <cell r="E16">
            <v>6.9391634980988631E-2</v>
          </cell>
          <cell r="F16">
            <v>0.12309297170426389</v>
          </cell>
          <cell r="G16">
            <v>8.6636882881863969E-2</v>
          </cell>
          <cell r="H16">
            <v>-0.93425076452599398</v>
          </cell>
          <cell r="I16">
            <v>-8.771929824561403E-2</v>
          </cell>
          <cell r="L16" t="str">
            <v xml:space="preserve">    --</v>
          </cell>
          <cell r="M16">
            <v>-0.75653742110009015</v>
          </cell>
          <cell r="N16">
            <v>3.6877394636015422E-2</v>
          </cell>
          <cell r="O16" t="str">
            <v xml:space="preserve">    --</v>
          </cell>
          <cell r="P16" t="str">
            <v xml:space="preserve">    --</v>
          </cell>
          <cell r="Q16">
            <v>3.3695900205370014E-2</v>
          </cell>
          <cell r="R16" t="str">
            <v xml:space="preserve">    --</v>
          </cell>
          <cell r="S16">
            <v>2.7667228498316376E-2</v>
          </cell>
        </row>
        <row r="17">
          <cell r="A17" t="str">
            <v>1993/92</v>
          </cell>
          <cell r="B17">
            <v>-0.15708656948745794</v>
          </cell>
          <cell r="C17">
            <v>-0.19977894445979552</v>
          </cell>
          <cell r="D17">
            <v>-0.13935930974344837</v>
          </cell>
          <cell r="E17">
            <v>-0.15396825396825398</v>
          </cell>
          <cell r="F17">
            <v>-0.12353419249970972</v>
          </cell>
          <cell r="G17">
            <v>-0.13447827218319025</v>
          </cell>
          <cell r="H17" t="str">
            <v xml:space="preserve">    --</v>
          </cell>
          <cell r="I17" t="str">
            <v xml:space="preserve">    --</v>
          </cell>
          <cell r="L17" t="str">
            <v xml:space="preserve">    --</v>
          </cell>
          <cell r="M17" t="str">
            <v xml:space="preserve">    --</v>
          </cell>
          <cell r="N17">
            <v>-0.12984346933538629</v>
          </cell>
          <cell r="O17" t="str">
            <v xml:space="preserve">    --</v>
          </cell>
          <cell r="P17" t="str">
            <v xml:space="preserve">    --</v>
          </cell>
          <cell r="Q17">
            <v>-0.1622516556291389</v>
          </cell>
          <cell r="R17" t="str">
            <v xml:space="preserve">    --</v>
          </cell>
          <cell r="S17">
            <v>-0.58126721079665822</v>
          </cell>
        </row>
        <row r="18">
          <cell r="A18">
            <v>1992</v>
          </cell>
        </row>
        <row r="19">
          <cell r="A19" t="str">
            <v xml:space="preserve"> 1Q (a)</v>
          </cell>
          <cell r="B19">
            <v>1557.1</v>
          </cell>
          <cell r="C19">
            <v>435.1</v>
          </cell>
          <cell r="D19">
            <v>1122</v>
          </cell>
          <cell r="E19">
            <v>344.8</v>
          </cell>
          <cell r="F19">
            <v>197.1</v>
          </cell>
          <cell r="G19">
            <v>580.1</v>
          </cell>
          <cell r="H19">
            <v>12.4</v>
          </cell>
          <cell r="I19">
            <v>27</v>
          </cell>
          <cell r="L19">
            <v>17</v>
          </cell>
          <cell r="M19">
            <v>56.4</v>
          </cell>
          <cell r="N19">
            <v>636.5</v>
          </cell>
          <cell r="O19">
            <v>0.30196386488609583</v>
          </cell>
          <cell r="P19">
            <v>192.2</v>
          </cell>
          <cell r="Q19">
            <v>444.3</v>
          </cell>
          <cell r="R19">
            <v>1179.424</v>
          </cell>
          <cell r="S19">
            <v>0.37670930895081001</v>
          </cell>
        </row>
        <row r="20">
          <cell r="A20" t="str">
            <v xml:space="preserve"> 2Q</v>
          </cell>
          <cell r="B20">
            <v>1478.3</v>
          </cell>
          <cell r="C20">
            <v>445.6</v>
          </cell>
          <cell r="D20">
            <v>1032.7</v>
          </cell>
          <cell r="E20">
            <v>385.3</v>
          </cell>
          <cell r="F20">
            <v>209.9</v>
          </cell>
          <cell r="G20">
            <v>437.5</v>
          </cell>
          <cell r="H20">
            <v>0.7</v>
          </cell>
          <cell r="I20">
            <v>18</v>
          </cell>
          <cell r="L20">
            <v>30.3</v>
          </cell>
          <cell r="M20">
            <v>49</v>
          </cell>
          <cell r="N20">
            <v>486.5</v>
          </cell>
          <cell r="O20">
            <v>0.30483042137718408</v>
          </cell>
          <cell r="P20">
            <v>148.30000000000001</v>
          </cell>
          <cell r="Q20">
            <v>338.2</v>
          </cell>
          <cell r="R20">
            <v>1177.7760000000001</v>
          </cell>
          <cell r="S20">
            <v>0.28999999999999998</v>
          </cell>
        </row>
        <row r="21">
          <cell r="A21" t="str">
            <v xml:space="preserve"> 3Q (b)</v>
          </cell>
          <cell r="B21">
            <v>1476.5</v>
          </cell>
          <cell r="C21">
            <v>445</v>
          </cell>
          <cell r="D21">
            <v>1031.5</v>
          </cell>
          <cell r="E21">
            <v>403</v>
          </cell>
          <cell r="F21">
            <v>216</v>
          </cell>
          <cell r="G21">
            <v>412.5</v>
          </cell>
          <cell r="H21">
            <v>-2.4</v>
          </cell>
          <cell r="I21">
            <v>2</v>
          </cell>
          <cell r="L21">
            <v>-77.2</v>
          </cell>
          <cell r="M21">
            <v>-77.599999999999994</v>
          </cell>
          <cell r="N21">
            <v>334.9</v>
          </cell>
          <cell r="O21">
            <v>0.30399999999999999</v>
          </cell>
          <cell r="P21">
            <v>102</v>
          </cell>
          <cell r="Q21">
            <v>232.9</v>
          </cell>
          <cell r="R21">
            <v>1177.836</v>
          </cell>
          <cell r="S21">
            <v>0.19773550816921875</v>
          </cell>
        </row>
        <row r="22">
          <cell r="A22" t="str">
            <v xml:space="preserve"> 4Q (c)</v>
          </cell>
          <cell r="B22">
            <v>1655.4</v>
          </cell>
          <cell r="C22">
            <v>483.8</v>
          </cell>
          <cell r="D22">
            <v>1171.5999999999999</v>
          </cell>
          <cell r="E22">
            <v>441.9</v>
          </cell>
          <cell r="F22">
            <v>238.3</v>
          </cell>
          <cell r="G22">
            <v>491.4</v>
          </cell>
          <cell r="H22">
            <v>-6.4</v>
          </cell>
          <cell r="I22">
            <v>5</v>
          </cell>
          <cell r="L22">
            <v>0.6</v>
          </cell>
          <cell r="M22">
            <v>-0.80000000000000215</v>
          </cell>
          <cell r="N22">
            <v>490.6</v>
          </cell>
          <cell r="O22">
            <v>0.3</v>
          </cell>
          <cell r="P22">
            <v>147</v>
          </cell>
          <cell r="Q22">
            <v>343.6</v>
          </cell>
          <cell r="R22">
            <v>1178</v>
          </cell>
          <cell r="S22">
            <v>0.29168081494057752</v>
          </cell>
        </row>
        <row r="24">
          <cell r="A24" t="str">
            <v>1992</v>
          </cell>
          <cell r="B24">
            <v>6167.3</v>
          </cell>
          <cell r="C24">
            <v>1809.5</v>
          </cell>
          <cell r="D24">
            <v>4357.8</v>
          </cell>
          <cell r="E24">
            <v>1575</v>
          </cell>
          <cell r="F24">
            <v>861.3</v>
          </cell>
          <cell r="G24">
            <v>1921.5</v>
          </cell>
          <cell r="H24">
            <v>4.3</v>
          </cell>
          <cell r="I24">
            <v>52</v>
          </cell>
          <cell r="L24">
            <v>-29.3</v>
          </cell>
          <cell r="M24">
            <v>27</v>
          </cell>
          <cell r="N24">
            <v>1948.5</v>
          </cell>
          <cell r="O24">
            <v>0.30254041570438794</v>
          </cell>
          <cell r="P24">
            <v>589.5</v>
          </cell>
          <cell r="Q24">
            <v>1359</v>
          </cell>
          <cell r="R24">
            <v>1178.259</v>
          </cell>
          <cell r="S24">
            <v>1.156125632060605</v>
          </cell>
        </row>
        <row r="25">
          <cell r="A25" t="str">
            <v>1994/93</v>
          </cell>
          <cell r="B25">
            <v>9.8701548523612653E-2</v>
          </cell>
          <cell r="C25">
            <v>0.16001381215469632</v>
          </cell>
          <cell r="D25">
            <v>7.5029996000533283E-2</v>
          </cell>
          <cell r="E25">
            <v>4.9380863039399758E-2</v>
          </cell>
          <cell r="F25">
            <v>0.11100808054046887</v>
          </cell>
          <cell r="G25">
            <v>7.9249594131441267E-2</v>
          </cell>
          <cell r="H25">
            <v>0.84158415841584144</v>
          </cell>
          <cell r="I25">
            <v>0.1796875</v>
          </cell>
          <cell r="J25" t="str">
            <v>--</v>
          </cell>
          <cell r="L25">
            <v>-1.0877192982456141</v>
          </cell>
          <cell r="M25">
            <v>-0.13271604938271619</v>
          </cell>
          <cell r="N25">
            <v>7.5199056325567684E-2</v>
          </cell>
          <cell r="O25">
            <v>-7.0975082552779067E-2</v>
          </cell>
          <cell r="P25">
            <v>-1.1132854578096579E-3</v>
          </cell>
          <cell r="Q25">
            <v>0.11253412384716721</v>
          </cell>
          <cell r="R25">
            <v>-1.6420819204331635E-2</v>
          </cell>
          <cell r="S25">
            <v>0.12578252336562154</v>
          </cell>
        </row>
        <row r="26">
          <cell r="A26" t="str">
            <v>1993/92</v>
          </cell>
        </row>
        <row r="27">
          <cell r="A27" t="str">
            <v xml:space="preserve"> 1Q</v>
          </cell>
          <cell r="B27">
            <v>-0.18470233125682353</v>
          </cell>
          <cell r="C27">
            <v>-0.25235578028039535</v>
          </cell>
          <cell r="D27">
            <v>-0.15846702317290548</v>
          </cell>
          <cell r="E27">
            <v>-0.14211136890951276</v>
          </cell>
          <cell r="F27">
            <v>-0.13901572805682397</v>
          </cell>
          <cell r="G27">
            <v>-0.17479744871573852</v>
          </cell>
          <cell r="H27" t="str">
            <v xml:space="preserve">    --</v>
          </cell>
          <cell r="I27" t="str">
            <v xml:space="preserve">    --</v>
          </cell>
          <cell r="L27" t="str">
            <v xml:space="preserve">    --</v>
          </cell>
          <cell r="M27" t="str">
            <v xml:space="preserve">    --</v>
          </cell>
          <cell r="N27">
            <v>-0.21759622937941853</v>
          </cell>
          <cell r="O27" t="str">
            <v xml:space="preserve">    --</v>
          </cell>
          <cell r="P27" t="str">
            <v xml:space="preserve">    --</v>
          </cell>
          <cell r="Q27">
            <v>-0.23092505064145827</v>
          </cell>
          <cell r="R27" t="str">
            <v xml:space="preserve">    --</v>
          </cell>
          <cell r="S27">
            <v>-0.61385169694090069</v>
          </cell>
        </row>
        <row r="28">
          <cell r="A28" t="str">
            <v xml:space="preserve"> 2Q</v>
          </cell>
          <cell r="B28">
            <v>-0.15206656294392204</v>
          </cell>
          <cell r="C28">
            <v>-0.22060143626570916</v>
          </cell>
          <cell r="D28">
            <v>-0.12249443207126928</v>
          </cell>
          <cell r="E28">
            <v>-0.18998183233843755</v>
          </cell>
          <cell r="F28">
            <v>-0.1300619342544069</v>
          </cell>
          <cell r="G28">
            <v>-5.9428571428571185E-2</v>
          </cell>
          <cell r="H28" t="str">
            <v xml:space="preserve">    --</v>
          </cell>
          <cell r="I28" t="str">
            <v xml:space="preserve">    --</v>
          </cell>
          <cell r="L28" t="str">
            <v xml:space="preserve">    --</v>
          </cell>
          <cell r="M28" t="str">
            <v xml:space="preserve">    --</v>
          </cell>
          <cell r="N28">
            <v>-8.3247687564234119E-2</v>
          </cell>
          <cell r="O28" t="str">
            <v xml:space="preserve">    --</v>
          </cell>
          <cell r="P28" t="str">
            <v xml:space="preserve">    --</v>
          </cell>
          <cell r="Q28">
            <v>-0.11028976936723806</v>
          </cell>
          <cell r="R28" t="str">
            <v xml:space="preserve">    --</v>
          </cell>
          <cell r="S28">
            <v>-0.55816711567499144</v>
          </cell>
        </row>
        <row r="29">
          <cell r="A29" t="str">
            <v xml:space="preserve"> 3Q</v>
          </cell>
          <cell r="B29">
            <v>-0.17480528276329152</v>
          </cell>
          <cell r="C29">
            <v>-0.23820224719101124</v>
          </cell>
          <cell r="D29">
            <v>-0.1474551623848763</v>
          </cell>
          <cell r="E29">
            <v>-0.19230769230769232</v>
          </cell>
          <cell r="F29">
            <v>-0.15740740740740741</v>
          </cell>
          <cell r="G29">
            <v>-9.8424242424242206E-2</v>
          </cell>
          <cell r="H29" t="str">
            <v xml:space="preserve">    --</v>
          </cell>
          <cell r="I29" t="str">
            <v xml:space="preserve">    --</v>
          </cell>
          <cell r="L29" t="str">
            <v xml:space="preserve">    --</v>
          </cell>
          <cell r="M29" t="str">
            <v xml:space="preserve">    --</v>
          </cell>
          <cell r="N29">
            <v>9.4356524335622985E-2</v>
          </cell>
          <cell r="O29" t="str">
            <v xml:space="preserve">    --</v>
          </cell>
          <cell r="P29" t="str">
            <v xml:space="preserve">    --</v>
          </cell>
          <cell r="Q29">
            <v>4.465435809360304E-2</v>
          </cell>
          <cell r="R29" t="str">
            <v xml:space="preserve">    --</v>
          </cell>
          <cell r="S29">
            <v>-0.4759661369167219</v>
          </cell>
        </row>
        <row r="30">
          <cell r="A30" t="str">
            <v xml:space="preserve"> 4Q</v>
          </cell>
          <cell r="B30">
            <v>-0.11978977890540062</v>
          </cell>
          <cell r="C30">
            <v>-9.7974369574204287E-2</v>
          </cell>
          <cell r="D30">
            <v>-0.12879822465005136</v>
          </cell>
          <cell r="E30">
            <v>-9.6854491966508166E-2</v>
          </cell>
          <cell r="F30">
            <v>-7.4276122534620292E-2</v>
          </cell>
          <cell r="G30">
            <v>-0.18396418396418443</v>
          </cell>
          <cell r="H30" t="str">
            <v xml:space="preserve">    --</v>
          </cell>
          <cell r="I30" t="str">
            <v xml:space="preserve">    --</v>
          </cell>
          <cell r="L30" t="str">
            <v xml:space="preserve">    --</v>
          </cell>
          <cell r="M30" t="str">
            <v xml:space="preserve">    --</v>
          </cell>
          <cell r="N30">
            <v>-0.2152466367713009</v>
          </cell>
          <cell r="O30" t="str">
            <v xml:space="preserve">    --</v>
          </cell>
          <cell r="P30" t="str">
            <v xml:space="preserve">    --</v>
          </cell>
          <cell r="Q30">
            <v>-0.26484284051222418</v>
          </cell>
          <cell r="R30" t="str">
            <v xml:space="preserve">    --</v>
          </cell>
          <cell r="S30">
            <v>-0.63353636564281501</v>
          </cell>
        </row>
        <row r="32">
          <cell r="A32" t="str">
            <v>Year</v>
          </cell>
          <cell r="B32">
            <v>-0.15708656948745794</v>
          </cell>
          <cell r="C32">
            <v>-0.19977894445979552</v>
          </cell>
          <cell r="D32">
            <v>-0.13935930974344837</v>
          </cell>
          <cell r="E32">
            <v>-0.15396825396825398</v>
          </cell>
          <cell r="F32">
            <v>-0.12353419249970972</v>
          </cell>
          <cell r="G32">
            <v>-0.13447827218319025</v>
          </cell>
          <cell r="H32" t="str">
            <v xml:space="preserve">    --</v>
          </cell>
          <cell r="I32" t="str">
            <v xml:space="preserve">    --</v>
          </cell>
          <cell r="L32" t="str">
            <v xml:space="preserve">    --</v>
          </cell>
          <cell r="M32" t="str">
            <v xml:space="preserve">    --</v>
          </cell>
          <cell r="N32">
            <v>-0.12984346933538629</v>
          </cell>
          <cell r="O32" t="str">
            <v xml:space="preserve">    --</v>
          </cell>
          <cell r="P32" t="str">
            <v xml:space="preserve">    --</v>
          </cell>
          <cell r="Q32">
            <v>-0.1622516556291389</v>
          </cell>
          <cell r="R32" t="str">
            <v xml:space="preserve">    --</v>
          </cell>
          <cell r="S32">
            <v>-0.58126721079665822</v>
          </cell>
        </row>
        <row r="34">
          <cell r="A34">
            <v>1993</v>
          </cell>
        </row>
        <row r="35">
          <cell r="A35" t="str">
            <v xml:space="preserve"> 1Q (a)</v>
          </cell>
          <cell r="B35">
            <v>1269.5</v>
          </cell>
          <cell r="C35">
            <v>325.3</v>
          </cell>
          <cell r="D35">
            <v>944.2</v>
          </cell>
          <cell r="E35">
            <v>295.8</v>
          </cell>
          <cell r="F35">
            <v>169.7</v>
          </cell>
          <cell r="G35">
            <v>478.7</v>
          </cell>
          <cell r="H35">
            <v>-4.7</v>
          </cell>
          <cell r="I35">
            <v>32</v>
          </cell>
          <cell r="J35" t="str">
            <v xml:space="preserve">    --</v>
          </cell>
          <cell r="L35">
            <v>-8</v>
          </cell>
          <cell r="M35">
            <v>19.3</v>
          </cell>
          <cell r="N35">
            <v>498</v>
          </cell>
          <cell r="O35">
            <v>0.31385542168674696</v>
          </cell>
          <cell r="P35">
            <v>156.30000000000001</v>
          </cell>
          <cell r="Q35">
            <v>341.7</v>
          </cell>
          <cell r="R35">
            <v>1174.5039999999999</v>
          </cell>
          <cell r="S35">
            <v>0.2909313207958425</v>
          </cell>
          <cell r="V35">
            <v>0.6</v>
          </cell>
        </row>
        <row r="36">
          <cell r="A36" t="str">
            <v xml:space="preserve"> 2Q</v>
          </cell>
          <cell r="B36">
            <v>1253.5</v>
          </cell>
          <cell r="C36">
            <v>347.3</v>
          </cell>
          <cell r="D36">
            <v>906.2</v>
          </cell>
          <cell r="E36">
            <v>312.10000000000002</v>
          </cell>
          <cell r="F36">
            <v>182.6</v>
          </cell>
          <cell r="G36">
            <v>411.5</v>
          </cell>
          <cell r="H36">
            <v>-5.5</v>
          </cell>
          <cell r="I36">
            <v>30</v>
          </cell>
          <cell r="J36" t="str">
            <v xml:space="preserve">    --</v>
          </cell>
          <cell r="L36">
            <v>10</v>
          </cell>
          <cell r="M36">
            <v>34.5</v>
          </cell>
          <cell r="N36">
            <v>446</v>
          </cell>
          <cell r="O36">
            <v>0.32533632286995512</v>
          </cell>
          <cell r="P36">
            <v>145.1</v>
          </cell>
          <cell r="Q36">
            <v>300.89999999999998</v>
          </cell>
          <cell r="R36">
            <v>1174.184</v>
          </cell>
          <cell r="S36">
            <v>0.25626307290850497</v>
          </cell>
          <cell r="V36">
            <v>0.53500000000000003</v>
          </cell>
        </row>
        <row r="37">
          <cell r="A37" t="str">
            <v xml:space="preserve"> 3Q</v>
          </cell>
          <cell r="B37">
            <v>1218.4000000000001</v>
          </cell>
          <cell r="C37">
            <v>339</v>
          </cell>
          <cell r="D37">
            <v>879.4</v>
          </cell>
          <cell r="E37">
            <v>325.5</v>
          </cell>
          <cell r="F37">
            <v>182</v>
          </cell>
          <cell r="G37">
            <v>371.9</v>
          </cell>
          <cell r="H37">
            <v>-4</v>
          </cell>
          <cell r="I37">
            <v>3</v>
          </cell>
          <cell r="J37" t="str">
            <v xml:space="preserve">    --</v>
          </cell>
          <cell r="L37">
            <v>-4.4000000000000004</v>
          </cell>
          <cell r="M37">
            <v>-5.4</v>
          </cell>
          <cell r="N37">
            <v>366.5</v>
          </cell>
          <cell r="O37">
            <v>0.33615279672578435</v>
          </cell>
          <cell r="P37">
            <v>123.2</v>
          </cell>
          <cell r="Q37">
            <v>243.3</v>
          </cell>
          <cell r="R37">
            <v>1174</v>
          </cell>
          <cell r="S37">
            <v>0.20724020442930149</v>
          </cell>
          <cell r="V37">
            <v>0.44</v>
          </cell>
        </row>
        <row r="38">
          <cell r="A38" t="str">
            <v xml:space="preserve"> 4Q</v>
          </cell>
          <cell r="B38">
            <v>1457.1</v>
          </cell>
          <cell r="C38">
            <v>436.4</v>
          </cell>
          <cell r="D38">
            <v>1020.7</v>
          </cell>
          <cell r="E38">
            <v>399.1</v>
          </cell>
          <cell r="F38">
            <v>220.6</v>
          </cell>
          <cell r="G38">
            <v>401</v>
          </cell>
          <cell r="H38">
            <v>-6</v>
          </cell>
          <cell r="I38">
            <v>-1</v>
          </cell>
          <cell r="J38" t="str">
            <v xml:space="preserve">    --</v>
          </cell>
          <cell r="L38">
            <v>-9</v>
          </cell>
          <cell r="M38">
            <v>-16</v>
          </cell>
          <cell r="N38">
            <v>385</v>
          </cell>
          <cell r="O38">
            <v>0.34389610389610403</v>
          </cell>
          <cell r="P38">
            <v>132.4</v>
          </cell>
          <cell r="Q38">
            <v>252.6</v>
          </cell>
          <cell r="R38">
            <v>1181.5840000000001</v>
          </cell>
          <cell r="S38">
            <v>0.213780823030779</v>
          </cell>
          <cell r="V38">
            <v>-0.78500000000000003</v>
          </cell>
        </row>
        <row r="40">
          <cell r="A40" t="str">
            <v>Year(a)</v>
          </cell>
          <cell r="B40">
            <v>5198.5</v>
          </cell>
          <cell r="C40">
            <v>1448</v>
          </cell>
          <cell r="D40">
            <v>3750.5</v>
          </cell>
          <cell r="E40">
            <v>1332.5</v>
          </cell>
          <cell r="F40">
            <v>754.9</v>
          </cell>
          <cell r="G40">
            <v>1663.1</v>
          </cell>
          <cell r="H40">
            <v>-20.2</v>
          </cell>
          <cell r="I40">
            <v>64</v>
          </cell>
          <cell r="J40" t="str">
            <v xml:space="preserve">    --</v>
          </cell>
          <cell r="L40">
            <v>-11.4</v>
          </cell>
          <cell r="M40">
            <v>32.4</v>
          </cell>
          <cell r="N40">
            <v>1695.5</v>
          </cell>
          <cell r="O40">
            <v>0.32851666175169564</v>
          </cell>
          <cell r="P40">
            <v>557</v>
          </cell>
          <cell r="Q40">
            <v>1138.5</v>
          </cell>
          <cell r="R40">
            <v>1176.068</v>
          </cell>
          <cell r="S40">
            <v>0.96821542116443005</v>
          </cell>
          <cell r="V40">
            <v>0.79</v>
          </cell>
        </row>
        <row r="42">
          <cell r="A42" t="str">
            <v>1994/93</v>
          </cell>
        </row>
        <row r="43">
          <cell r="A43" t="str">
            <v xml:space="preserve"> 1Q</v>
          </cell>
          <cell r="B43">
            <v>3.119338322174077E-2</v>
          </cell>
          <cell r="C43">
            <v>0.17460805410390412</v>
          </cell>
          <cell r="D43">
            <v>-1.8216479559415546E-2</v>
          </cell>
          <cell r="E43">
            <v>-5.3414469235970284E-2</v>
          </cell>
          <cell r="F43">
            <v>4.4784914555097366E-2</v>
          </cell>
          <cell r="G43">
            <v>-1.8800919156047868E-2</v>
          </cell>
          <cell r="H43">
            <v>-0.23404255319148948</v>
          </cell>
          <cell r="I43">
            <v>0.125</v>
          </cell>
          <cell r="J43" t="str">
            <v>--</v>
          </cell>
          <cell r="L43">
            <v>0.66250000000000009</v>
          </cell>
          <cell r="M43">
            <v>-1.0362694300518281E-2</v>
          </cell>
          <cell r="N43">
            <v>-1.8473895582329522E-2</v>
          </cell>
          <cell r="O43">
            <v>3.6468330134357958E-3</v>
          </cell>
          <cell r="P43">
            <v>-1.4894433781190219E-2</v>
          </cell>
          <cell r="Q43">
            <v>-2.0111208662569713E-2</v>
          </cell>
          <cell r="R43">
            <v>-1.4348184425084856E-2</v>
          </cell>
          <cell r="S43">
            <v>-5.8469168791860787E-3</v>
          </cell>
          <cell r="V43">
            <v>-0.56666666666666665</v>
          </cell>
        </row>
        <row r="44">
          <cell r="A44" t="str">
            <v xml:space="preserve"> 2Q</v>
          </cell>
          <cell r="B44">
            <v>7.4431591543677664E-2</v>
          </cell>
          <cell r="C44">
            <v>0.11085516844226893</v>
          </cell>
          <cell r="D44">
            <v>6.0472301920105886E-2</v>
          </cell>
          <cell r="E44">
            <v>5.9275873117590513E-2</v>
          </cell>
          <cell r="F44">
            <v>0.10733844468784225</v>
          </cell>
          <cell r="G44">
            <v>4.058323207776425E-2</v>
          </cell>
          <cell r="H44">
            <v>-0.78181818181818197</v>
          </cell>
          <cell r="I44">
            <v>0.45</v>
          </cell>
          <cell r="J44" t="str">
            <v>--</v>
          </cell>
          <cell r="L44">
            <v>-1</v>
          </cell>
          <cell r="M44">
            <v>0.22608695652173905</v>
          </cell>
          <cell r="N44">
            <v>5.4932735426008968E-2</v>
          </cell>
          <cell r="O44">
            <v>-5.6361130254996457E-2</v>
          </cell>
          <cell r="P44">
            <v>-4.5244658855961E-3</v>
          </cell>
          <cell r="Q44">
            <v>8.3604187437687119E-2</v>
          </cell>
          <cell r="R44">
            <v>-1.4604184693369958E-2</v>
          </cell>
          <cell r="S44">
            <v>9.9663881869132054E-2</v>
          </cell>
          <cell r="V44">
            <v>-0.48598130841121495</v>
          </cell>
        </row>
        <row r="45">
          <cell r="A45" t="str">
            <v xml:space="preserve"> 3Q</v>
          </cell>
          <cell r="B45">
            <v>0.23711424819435312</v>
          </cell>
          <cell r="C45">
            <v>0.33156342182890847</v>
          </cell>
          <cell r="D45">
            <v>0.20070502615419616</v>
          </cell>
          <cell r="E45">
            <v>0.1093701996927804</v>
          </cell>
          <cell r="F45">
            <v>0.20219780219780226</v>
          </cell>
          <cell r="G45">
            <v>0.27991395536434549</v>
          </cell>
          <cell r="H45">
            <v>-1.4749999999999996</v>
          </cell>
          <cell r="I45">
            <v>-0.33333333333333331</v>
          </cell>
          <cell r="J45" t="str">
            <v>--</v>
          </cell>
          <cell r="L45">
            <v>-2.2045454545454541</v>
          </cell>
          <cell r="M45" t="str">
            <v>NM</v>
          </cell>
          <cell r="N45">
            <v>0.32387448840382005</v>
          </cell>
          <cell r="O45">
            <v>-8.672483766233742E-2</v>
          </cell>
          <cell r="P45">
            <v>0.20906168831168831</v>
          </cell>
          <cell r="Q45">
            <v>0.3820123304562269</v>
          </cell>
          <cell r="R45">
            <v>-1.5093696763202749E-2</v>
          </cell>
          <cell r="S45">
            <v>0.40319168017747509</v>
          </cell>
          <cell r="V45">
            <v>-0.42045454545454547</v>
          </cell>
        </row>
        <row r="46">
          <cell r="A46" t="str">
            <v xml:space="preserve"> 4Q</v>
          </cell>
          <cell r="B46">
            <v>6.2658705648205471E-2</v>
          </cell>
          <cell r="C46">
            <v>5.4995417048579291E-2</v>
          </cell>
          <cell r="D46">
            <v>6.5935142549230871E-2</v>
          </cell>
          <cell r="E46">
            <v>6.8905036331746425E-2</v>
          </cell>
          <cell r="F46">
            <v>8.9755213055303776E-2</v>
          </cell>
          <cell r="G46">
            <v>4.9875311720698257E-2</v>
          </cell>
          <cell r="H46">
            <v>4.7166666666666659</v>
          </cell>
          <cell r="I46">
            <v>5</v>
          </cell>
          <cell r="J46" t="str">
            <v>--</v>
          </cell>
          <cell r="L46">
            <v>-2</v>
          </cell>
          <cell r="M46">
            <v>1.65625</v>
          </cell>
          <cell r="N46">
            <v>-1.6883116883116882E-2</v>
          </cell>
          <cell r="O46">
            <v>-0.16253776435045356</v>
          </cell>
          <cell r="P46">
            <v>-0.17667673716012092</v>
          </cell>
          <cell r="Q46">
            <v>6.6872525732383309E-2</v>
          </cell>
          <cell r="R46">
            <v>-2.1604896477948263E-2</v>
          </cell>
          <cell r="S46">
            <v>9.0431178459324135E-2</v>
          </cell>
          <cell r="V46">
            <v>-1.2993630573248407</v>
          </cell>
        </row>
        <row r="48">
          <cell r="A48" t="str">
            <v>Year</v>
          </cell>
          <cell r="B48">
            <v>9.8701548523612653E-2</v>
          </cell>
          <cell r="C48">
            <v>0.16001381215469632</v>
          </cell>
          <cell r="D48">
            <v>7.5029996000533283E-2</v>
          </cell>
          <cell r="E48">
            <v>4.9380863039399758E-2</v>
          </cell>
          <cell r="F48">
            <v>0.11100808054046887</v>
          </cell>
          <cell r="G48">
            <v>7.9249594131441267E-2</v>
          </cell>
          <cell r="H48">
            <v>0.84158415841584144</v>
          </cell>
          <cell r="I48">
            <v>0.1796875</v>
          </cell>
          <cell r="J48" t="str">
            <v>--</v>
          </cell>
          <cell r="L48">
            <v>-1.0877192982456141</v>
          </cell>
          <cell r="M48">
            <v>-0.13271604938271619</v>
          </cell>
          <cell r="N48">
            <v>7.5199056325567684E-2</v>
          </cell>
          <cell r="O48">
            <v>-7.0975082552779067E-2</v>
          </cell>
          <cell r="P48">
            <v>-1.1132854578096579E-3</v>
          </cell>
          <cell r="Q48">
            <v>0.11253412384716721</v>
          </cell>
          <cell r="R48">
            <v>-1.6420819204331635E-2</v>
          </cell>
          <cell r="S48">
            <v>0.12578252336562154</v>
          </cell>
          <cell r="V48">
            <v>0.29746835443037956</v>
          </cell>
        </row>
        <row r="50">
          <cell r="A50" t="str">
            <v>1994</v>
          </cell>
        </row>
        <row r="51">
          <cell r="A51" t="str">
            <v xml:space="preserve"> 1Q (a)</v>
          </cell>
          <cell r="B51">
            <v>1309.0999999999999</v>
          </cell>
          <cell r="C51">
            <v>382.1</v>
          </cell>
          <cell r="D51">
            <v>926.99999999999989</v>
          </cell>
          <cell r="E51">
            <v>280</v>
          </cell>
          <cell r="F51">
            <v>177.3</v>
          </cell>
          <cell r="G51">
            <v>469.69999999999987</v>
          </cell>
          <cell r="H51">
            <v>-3.5999999999999996</v>
          </cell>
          <cell r="I51">
            <v>36</v>
          </cell>
          <cell r="J51">
            <v>0</v>
          </cell>
          <cell r="L51">
            <v>-13.3</v>
          </cell>
          <cell r="M51">
            <v>19.099999999999998</v>
          </cell>
          <cell r="N51">
            <v>488.7999999999999</v>
          </cell>
          <cell r="O51">
            <v>0.315</v>
          </cell>
          <cell r="P51">
            <v>153.97199999999998</v>
          </cell>
          <cell r="Q51">
            <v>334.82799999999992</v>
          </cell>
          <cell r="R51">
            <v>1157.652</v>
          </cell>
          <cell r="S51">
            <v>0.28923026954559738</v>
          </cell>
          <cell r="V51">
            <v>0.26</v>
          </cell>
          <cell r="W51">
            <v>2.5000000000000001E-2</v>
          </cell>
          <cell r="X51">
            <v>0.28499999999999998</v>
          </cell>
        </row>
        <row r="52">
          <cell r="A52" t="str">
            <v xml:space="preserve"> 2Q (b)</v>
          </cell>
          <cell r="B52">
            <v>1346.8</v>
          </cell>
          <cell r="C52">
            <v>385.8</v>
          </cell>
          <cell r="D52">
            <v>961</v>
          </cell>
          <cell r="E52">
            <v>330.6</v>
          </cell>
          <cell r="F52">
            <v>202.2</v>
          </cell>
          <cell r="G52">
            <v>428.2</v>
          </cell>
          <cell r="H52">
            <v>-1.1999999999999993</v>
          </cell>
          <cell r="I52">
            <v>43.5</v>
          </cell>
          <cell r="J52">
            <v>0</v>
          </cell>
          <cell r="L52">
            <v>0</v>
          </cell>
          <cell r="M52">
            <v>42.3</v>
          </cell>
          <cell r="N52">
            <v>470.5</v>
          </cell>
          <cell r="O52">
            <v>0.307</v>
          </cell>
          <cell r="P52">
            <v>144.4435</v>
          </cell>
          <cell r="Q52">
            <v>326.05650000000003</v>
          </cell>
          <cell r="R52">
            <v>1157.0360000000001</v>
          </cell>
          <cell r="S52">
            <v>0.28180324553427899</v>
          </cell>
          <cell r="V52">
            <v>0.27500000000000002</v>
          </cell>
          <cell r="W52">
            <v>2.5000000000000001E-2</v>
          </cell>
          <cell r="X52">
            <v>0.3</v>
          </cell>
        </row>
        <row r="53">
          <cell r="A53" t="str">
            <v xml:space="preserve"> 3Q (c)</v>
          </cell>
          <cell r="B53">
            <v>1507.3</v>
          </cell>
          <cell r="C53">
            <v>451.4</v>
          </cell>
          <cell r="D53">
            <v>1055.9000000000001</v>
          </cell>
          <cell r="E53">
            <v>361.1</v>
          </cell>
          <cell r="F53">
            <v>218.8</v>
          </cell>
          <cell r="G53">
            <v>476.00000000000006</v>
          </cell>
          <cell r="H53">
            <v>1.8999999999999986</v>
          </cell>
          <cell r="I53">
            <v>2</v>
          </cell>
          <cell r="J53">
            <v>0</v>
          </cell>
          <cell r="L53">
            <v>5.3</v>
          </cell>
          <cell r="M53">
            <v>9.1999999999999993</v>
          </cell>
          <cell r="N53">
            <v>485.20000000000005</v>
          </cell>
          <cell r="O53">
            <v>0.307</v>
          </cell>
          <cell r="P53">
            <v>148.9564</v>
          </cell>
          <cell r="Q53">
            <v>336.24360000000001</v>
          </cell>
          <cell r="R53">
            <v>1156.28</v>
          </cell>
          <cell r="S53">
            <v>0.29079773065347497</v>
          </cell>
          <cell r="V53">
            <v>0.255</v>
          </cell>
          <cell r="W53">
            <v>1.7500000000000002E-2</v>
          </cell>
          <cell r="X53">
            <v>0.27500000000000002</v>
          </cell>
        </row>
        <row r="54">
          <cell r="A54" t="str">
            <v xml:space="preserve"> 4Q </v>
          </cell>
          <cell r="B54">
            <v>1548.4</v>
          </cell>
          <cell r="C54">
            <v>460.4</v>
          </cell>
          <cell r="D54">
            <v>1088</v>
          </cell>
          <cell r="E54">
            <v>426.6</v>
          </cell>
          <cell r="F54">
            <v>240.4</v>
          </cell>
          <cell r="G54">
            <v>421</v>
          </cell>
          <cell r="H54">
            <v>-34.299999999999997</v>
          </cell>
          <cell r="I54">
            <v>-6</v>
          </cell>
          <cell r="J54">
            <v>-11.2</v>
          </cell>
          <cell r="L54">
            <v>9</v>
          </cell>
          <cell r="M54">
            <v>-42.5</v>
          </cell>
          <cell r="N54">
            <v>378.5</v>
          </cell>
          <cell r="O54">
            <v>0.28799999999999998</v>
          </cell>
          <cell r="P54">
            <v>109.008</v>
          </cell>
          <cell r="Q54">
            <v>269.49200000000002</v>
          </cell>
          <cell r="R54">
            <v>1156.056</v>
          </cell>
          <cell r="S54">
            <v>0.23311327478945656</v>
          </cell>
          <cell r="V54">
            <v>0.23499999999999999</v>
          </cell>
          <cell r="W54">
            <v>1.7500000000000002E-2</v>
          </cell>
          <cell r="X54">
            <v>0.25</v>
          </cell>
        </row>
        <row r="56">
          <cell r="A56" t="str">
            <v>1994</v>
          </cell>
          <cell r="B56">
            <v>5711.6</v>
          </cell>
          <cell r="C56">
            <v>1679.7000000000003</v>
          </cell>
          <cell r="D56">
            <v>4031.9</v>
          </cell>
          <cell r="E56">
            <v>1398.3000000000002</v>
          </cell>
          <cell r="F56">
            <v>838.69999999999993</v>
          </cell>
          <cell r="G56">
            <v>1794.8999999999999</v>
          </cell>
          <cell r="H56">
            <v>-37.199999999999996</v>
          </cell>
          <cell r="I56">
            <v>75.5</v>
          </cell>
          <cell r="J56">
            <v>-11.2</v>
          </cell>
          <cell r="L56">
            <v>1</v>
          </cell>
          <cell r="M56">
            <v>28.099999999999994</v>
          </cell>
          <cell r="N56">
            <v>1823</v>
          </cell>
          <cell r="O56">
            <v>0.30520016456390564</v>
          </cell>
          <cell r="P56">
            <v>556.37990000000002</v>
          </cell>
          <cell r="Q56">
            <v>1266.6200999999999</v>
          </cell>
          <cell r="R56">
            <v>1156.7560000000001</v>
          </cell>
          <cell r="S56">
            <v>1.0900000000000001</v>
          </cell>
          <cell r="V56">
            <v>1.0249999999999999</v>
          </cell>
          <cell r="W56">
            <v>8.5000000000000006E-2</v>
          </cell>
          <cell r="X56">
            <v>1.1100000000000001</v>
          </cell>
        </row>
        <row r="58">
          <cell r="A58" t="str">
            <v>1995/94</v>
          </cell>
        </row>
        <row r="59">
          <cell r="A59" t="str">
            <v xml:space="preserve"> 1Q</v>
          </cell>
          <cell r="B59">
            <v>0.31181727904667333</v>
          </cell>
          <cell r="C59">
            <v>0.34127191834598264</v>
          </cell>
          <cell r="D59">
            <v>0.29967637540453085</v>
          </cell>
          <cell r="E59">
            <v>0.45428571428571424</v>
          </cell>
          <cell r="F59">
            <v>0.33502538071065974</v>
          </cell>
          <cell r="G59">
            <v>0.19416648924845648</v>
          </cell>
          <cell r="H59" t="str">
            <v>NM</v>
          </cell>
          <cell r="I59" t="str">
            <v>NM</v>
          </cell>
          <cell r="J59" t="str">
            <v>NM</v>
          </cell>
          <cell r="L59" t="str">
            <v>NM</v>
          </cell>
          <cell r="M59" t="str">
            <v>NM</v>
          </cell>
          <cell r="N59">
            <v>7.9378068739770907E-2</v>
          </cell>
          <cell r="O59" t="str">
            <v>NM</v>
          </cell>
          <cell r="P59" t="str">
            <v>NM</v>
          </cell>
          <cell r="Q59">
            <v>0.11848471454000256</v>
          </cell>
          <cell r="R59">
            <v>-1.2127997014646857E-3</v>
          </cell>
          <cell r="S59">
            <v>0.12367215406118999</v>
          </cell>
          <cell r="V59">
            <v>0.25</v>
          </cell>
          <cell r="W59" t="str">
            <v>NM</v>
          </cell>
          <cell r="X59">
            <v>0.19298245614035106</v>
          </cell>
        </row>
        <row r="60">
          <cell r="A60" t="str">
            <v xml:space="preserve"> 2Q</v>
          </cell>
          <cell r="B60">
            <v>0.19899019899019899</v>
          </cell>
          <cell r="C60">
            <v>0.19077242094349395</v>
          </cell>
          <cell r="D60">
            <v>0.20228928199791893</v>
          </cell>
          <cell r="E60">
            <v>0.31972171808832422</v>
          </cell>
          <cell r="F60">
            <v>0.28832838773491598</v>
          </cell>
          <cell r="G60">
            <v>7.0994862213919083E-2</v>
          </cell>
          <cell r="H60" t="str">
            <v>NM</v>
          </cell>
          <cell r="I60" t="str">
            <v>NM</v>
          </cell>
          <cell r="J60" t="str">
            <v>NM</v>
          </cell>
          <cell r="L60" t="str">
            <v>NM</v>
          </cell>
          <cell r="M60" t="str">
            <v>NM</v>
          </cell>
          <cell r="N60">
            <v>-7.2476089266737195E-2</v>
          </cell>
          <cell r="O60" t="str">
            <v>NM</v>
          </cell>
          <cell r="P60" t="str">
            <v>NM</v>
          </cell>
          <cell r="Q60">
            <v>-5.016461870872032E-2</v>
          </cell>
          <cell r="R60">
            <v>8.6427734314151888E-5</v>
          </cell>
          <cell r="S60">
            <v>-4.1884704031356537E-2</v>
          </cell>
          <cell r="V60">
            <v>-1.8181818181818195E-2</v>
          </cell>
          <cell r="W60" t="str">
            <v>NM</v>
          </cell>
          <cell r="X60">
            <v>-5.0000000000000044E-2</v>
          </cell>
        </row>
        <row r="61">
          <cell r="A61" t="str">
            <v xml:space="preserve"> 3Q</v>
          </cell>
          <cell r="B61">
            <v>8.2730710542028824E-2</v>
          </cell>
          <cell r="C61">
            <v>-6.9561364643331847E-2</v>
          </cell>
          <cell r="D61">
            <v>0.14783596931527596</v>
          </cell>
          <cell r="E61">
            <v>0.22957629465522009</v>
          </cell>
          <cell r="F61">
            <v>0.19287020109689207</v>
          </cell>
          <cell r="G61">
            <v>6.5126050420167947E-2</v>
          </cell>
          <cell r="H61" t="str">
            <v>NM</v>
          </cell>
          <cell r="I61" t="str">
            <v>NM</v>
          </cell>
          <cell r="J61" t="str">
            <v>NM</v>
          </cell>
          <cell r="L61" t="str">
            <v>NM</v>
          </cell>
          <cell r="M61" t="str">
            <v>NM</v>
          </cell>
          <cell r="N61">
            <v>-9.9546578730420582E-2</v>
          </cell>
          <cell r="O61" t="str">
            <v>NM</v>
          </cell>
          <cell r="P61" t="str">
            <v>NM</v>
          </cell>
          <cell r="Q61">
            <v>-7.8346770020306808E-2</v>
          </cell>
          <cell r="R61">
            <v>-8.762583457294134E-3</v>
          </cell>
          <cell r="S61">
            <v>-7.1519576878191937E-2</v>
          </cell>
          <cell r="V61">
            <v>5.8823529411764754E-2</v>
          </cell>
          <cell r="W61" t="str">
            <v>NM</v>
          </cell>
          <cell r="X61">
            <v>2.8909090909090907</v>
          </cell>
        </row>
        <row r="62">
          <cell r="A62" t="str">
            <v xml:space="preserve"> 4Q</v>
          </cell>
          <cell r="B62">
            <v>0.16236114699044166</v>
          </cell>
          <cell r="C62">
            <v>7.3197219808861957E-2</v>
          </cell>
          <cell r="D62">
            <v>0.20009191176470573</v>
          </cell>
          <cell r="E62">
            <v>0.32770745428973264</v>
          </cell>
          <cell r="F62">
            <v>0.18344425956738766</v>
          </cell>
          <cell r="G62">
            <v>8.02850356294533E-2</v>
          </cell>
          <cell r="H62" t="str">
            <v>NM</v>
          </cell>
          <cell r="I62" t="str">
            <v>NM</v>
          </cell>
          <cell r="J62" t="str">
            <v>NM</v>
          </cell>
          <cell r="L62" t="str">
            <v>NM</v>
          </cell>
          <cell r="M62" t="str">
            <v>NM</v>
          </cell>
          <cell r="N62">
            <v>-3.8573315719947522E-2</v>
          </cell>
          <cell r="O62" t="str">
            <v>NM</v>
          </cell>
          <cell r="P62" t="str">
            <v>NM</v>
          </cell>
          <cell r="Q62">
            <v>0.15550739910646641</v>
          </cell>
          <cell r="R62">
            <v>-5.4826063789297455E-2</v>
          </cell>
          <cell r="S62">
            <v>0.22258159796951291</v>
          </cell>
          <cell r="V62">
            <v>0.21276595744680848</v>
          </cell>
          <cell r="W62" t="str">
            <v>NM</v>
          </cell>
          <cell r="X62">
            <v>0.26</v>
          </cell>
        </row>
        <row r="64">
          <cell r="A64" t="str">
            <v>1995/94</v>
          </cell>
          <cell r="B64">
            <v>0.18423909237341551</v>
          </cell>
          <cell r="C64">
            <v>0.12281955111031713</v>
          </cell>
          <cell r="D64">
            <v>0.20982663260497542</v>
          </cell>
          <cell r="E64">
            <v>0.32582421511835791</v>
          </cell>
          <cell r="F64">
            <v>0.24323357577202828</v>
          </cell>
          <cell r="G64">
            <v>0.10384979664605264</v>
          </cell>
          <cell r="H64" t="str">
            <v>NM</v>
          </cell>
          <cell r="I64" t="str">
            <v>NM</v>
          </cell>
          <cell r="J64" t="str">
            <v>NM</v>
          </cell>
          <cell r="L64" t="str">
            <v>NM</v>
          </cell>
          <cell r="M64" t="str">
            <v>NM</v>
          </cell>
          <cell r="N64">
            <v>-3.1925397696105348E-2</v>
          </cell>
          <cell r="O64" t="str">
            <v>NM</v>
          </cell>
          <cell r="P64" t="str">
            <v>NM</v>
          </cell>
          <cell r="Q64">
            <v>3.0695786368777931E-2</v>
          </cell>
          <cell r="R64">
            <v>-1.6169356372476285E-2</v>
          </cell>
          <cell r="S64">
            <v>5.5045871559632871E-2</v>
          </cell>
          <cell r="V64">
            <v>0.12195121951219513</v>
          </cell>
          <cell r="W64" t="str">
            <v>NM</v>
          </cell>
          <cell r="X64">
            <v>0.81531531531531531</v>
          </cell>
        </row>
        <row r="66">
          <cell r="A66" t="str">
            <v>1995</v>
          </cell>
        </row>
        <row r="67">
          <cell r="A67" t="str">
            <v xml:space="preserve"> 1Q</v>
          </cell>
          <cell r="B67">
            <v>1717.3</v>
          </cell>
          <cell r="C67">
            <v>512.5</v>
          </cell>
          <cell r="D67">
            <v>1204.8</v>
          </cell>
          <cell r="E67">
            <v>407.2</v>
          </cell>
          <cell r="F67">
            <v>236.7</v>
          </cell>
          <cell r="G67">
            <v>560.89999999999986</v>
          </cell>
          <cell r="H67">
            <v>-52.300000000000004</v>
          </cell>
          <cell r="I67">
            <v>35</v>
          </cell>
          <cell r="J67">
            <v>-25</v>
          </cell>
          <cell r="L67">
            <v>9</v>
          </cell>
          <cell r="M67">
            <v>-33.300000000000004</v>
          </cell>
          <cell r="N67">
            <v>527.59999999999991</v>
          </cell>
          <cell r="O67">
            <v>0.29018195602729346</v>
          </cell>
          <cell r="P67">
            <v>153.1</v>
          </cell>
          <cell r="Q67">
            <v>374.49999999999989</v>
          </cell>
          <cell r="R67">
            <v>1156.248</v>
          </cell>
          <cell r="S67">
            <v>0.32500000000000001</v>
          </cell>
          <cell r="V67">
            <v>0.32500000000000001</v>
          </cell>
          <cell r="W67">
            <v>1.4999999999999999E-2</v>
          </cell>
          <cell r="X67">
            <v>0.34</v>
          </cell>
        </row>
        <row r="68">
          <cell r="A68" t="str">
            <v xml:space="preserve"> 2Q</v>
          </cell>
          <cell r="B68">
            <v>1614.8</v>
          </cell>
          <cell r="C68">
            <v>459.4</v>
          </cell>
          <cell r="D68">
            <v>1155.4000000000001</v>
          </cell>
          <cell r="E68">
            <v>436.3</v>
          </cell>
          <cell r="F68">
            <v>260.5</v>
          </cell>
          <cell r="G68">
            <v>458.60000000000014</v>
          </cell>
          <cell r="H68">
            <v>-52.2</v>
          </cell>
          <cell r="I68">
            <v>40</v>
          </cell>
          <cell r="J68">
            <v>-25</v>
          </cell>
          <cell r="L68">
            <v>15</v>
          </cell>
          <cell r="M68">
            <v>-22.200000000000003</v>
          </cell>
          <cell r="N68">
            <v>436.40000000000015</v>
          </cell>
          <cell r="O68">
            <v>0.29032997250229137</v>
          </cell>
          <cell r="P68">
            <v>126.7</v>
          </cell>
          <cell r="Q68">
            <v>309.70000000000016</v>
          </cell>
          <cell r="R68">
            <v>1157.136</v>
          </cell>
          <cell r="S68">
            <v>0.27</v>
          </cell>
          <cell r="V68">
            <v>0.27</v>
          </cell>
          <cell r="W68">
            <v>1.4999999999999999E-2</v>
          </cell>
          <cell r="X68">
            <v>0.28499999999999998</v>
          </cell>
        </row>
        <row r="69">
          <cell r="A69" t="str">
            <v xml:space="preserve"> 3Q</v>
          </cell>
          <cell r="B69">
            <v>1632</v>
          </cell>
          <cell r="C69">
            <v>420</v>
          </cell>
          <cell r="D69">
            <v>1212</v>
          </cell>
          <cell r="E69">
            <v>444</v>
          </cell>
          <cell r="F69">
            <v>261</v>
          </cell>
          <cell r="G69">
            <v>507</v>
          </cell>
          <cell r="H69">
            <v>-52.1</v>
          </cell>
          <cell r="I69">
            <v>0</v>
          </cell>
          <cell r="J69">
            <v>-25</v>
          </cell>
          <cell r="L69">
            <v>7</v>
          </cell>
          <cell r="M69">
            <v>-70.099999999999994</v>
          </cell>
          <cell r="N69">
            <v>436.9</v>
          </cell>
          <cell r="O69">
            <v>0.29068436713206686</v>
          </cell>
          <cell r="P69">
            <v>127</v>
          </cell>
          <cell r="Q69">
            <v>309.89999999999998</v>
          </cell>
          <cell r="R69">
            <v>1146.1479999999999</v>
          </cell>
          <cell r="S69">
            <v>0.27</v>
          </cell>
          <cell r="V69">
            <v>0.27</v>
          </cell>
          <cell r="W69">
            <v>5.0000000000000001E-3</v>
          </cell>
          <cell r="X69">
            <v>1.07</v>
          </cell>
        </row>
        <row r="70">
          <cell r="A70" t="str">
            <v xml:space="preserve"> 4Q</v>
          </cell>
          <cell r="B70">
            <v>1799.8</v>
          </cell>
          <cell r="C70">
            <v>494.1</v>
          </cell>
          <cell r="D70">
            <v>1305.6999999999998</v>
          </cell>
          <cell r="E70">
            <v>566.4</v>
          </cell>
          <cell r="F70">
            <v>284.5</v>
          </cell>
          <cell r="G70">
            <v>454.79999999999984</v>
          </cell>
          <cell r="H70">
            <v>-50.4</v>
          </cell>
          <cell r="I70">
            <v>0</v>
          </cell>
          <cell r="J70">
            <v>-25.9</v>
          </cell>
          <cell r="L70">
            <v>-14.6</v>
          </cell>
          <cell r="M70">
            <v>-90.899999999999991</v>
          </cell>
          <cell r="N70">
            <v>363.89999999999986</v>
          </cell>
          <cell r="O70">
            <v>0.14427040395713114</v>
          </cell>
          <cell r="P70">
            <v>52.5</v>
          </cell>
          <cell r="Q70">
            <v>311.39999999999986</v>
          </cell>
          <cell r="R70">
            <v>1092.674</v>
          </cell>
          <cell r="S70">
            <v>0.28499999999999998</v>
          </cell>
          <cell r="V70">
            <v>0.28499999999999998</v>
          </cell>
          <cell r="W70">
            <v>0.02</v>
          </cell>
          <cell r="X70">
            <v>0.315</v>
          </cell>
        </row>
        <row r="72">
          <cell r="A72" t="str">
            <v>1995</v>
          </cell>
          <cell r="B72">
            <v>6763.9000000000005</v>
          </cell>
          <cell r="C72">
            <v>1886</v>
          </cell>
          <cell r="D72">
            <v>4877.9000000000005</v>
          </cell>
          <cell r="E72">
            <v>1853.9</v>
          </cell>
          <cell r="F72">
            <v>1042.7</v>
          </cell>
          <cell r="G72">
            <v>1981.2999999999997</v>
          </cell>
          <cell r="H72">
            <v>-207</v>
          </cell>
          <cell r="I72">
            <v>75</v>
          </cell>
          <cell r="J72">
            <v>-100.9</v>
          </cell>
          <cell r="L72">
            <v>16.399999999999999</v>
          </cell>
          <cell r="M72">
            <v>-216.5</v>
          </cell>
          <cell r="N72">
            <v>1764.8</v>
          </cell>
          <cell r="O72">
            <v>0.26025611967361745</v>
          </cell>
          <cell r="P72">
            <v>459.3</v>
          </cell>
          <cell r="Q72">
            <v>1305.5</v>
          </cell>
          <cell r="R72">
            <v>1138.0519999999999</v>
          </cell>
          <cell r="S72">
            <v>1.1499999999999999</v>
          </cell>
          <cell r="V72">
            <v>1.1499999999999999</v>
          </cell>
          <cell r="W72" t="str">
            <v xml:space="preserve">       --</v>
          </cell>
          <cell r="X72">
            <v>2.0150000000000001</v>
          </cell>
        </row>
        <row r="74">
          <cell r="A74" t="str">
            <v>1996/95</v>
          </cell>
        </row>
        <row r="75">
          <cell r="A75" t="str">
            <v xml:space="preserve"> 1Q</v>
          </cell>
          <cell r="B75">
            <v>3.8432422989576664E-2</v>
          </cell>
          <cell r="C75">
            <v>1.073170731707318E-2</v>
          </cell>
          <cell r="D75">
            <v>5.021580345285525E-2</v>
          </cell>
          <cell r="E75">
            <v>0.12966601178781928</v>
          </cell>
          <cell r="F75">
            <v>0.1660329531051965</v>
          </cell>
          <cell r="G75">
            <v>-5.6338028169013933E-2</v>
          </cell>
          <cell r="H75">
            <v>-1.5296367112810651E-2</v>
          </cell>
          <cell r="I75">
            <v>-5.7142857142857162E-2</v>
          </cell>
          <cell r="J75">
            <v>0</v>
          </cell>
          <cell r="L75" t="str">
            <v>NM</v>
          </cell>
          <cell r="M75" t="str">
            <v>NM</v>
          </cell>
          <cell r="N75">
            <v>-5.8377558756633738E-2</v>
          </cell>
          <cell r="O75">
            <v>-0.1143487916394515</v>
          </cell>
          <cell r="P75">
            <v>-0.16605094709340298</v>
          </cell>
          <cell r="Q75">
            <v>-1.4359412550066536E-2</v>
          </cell>
          <cell r="R75">
            <v>-5.4100850336606054E-2</v>
          </cell>
          <cell r="S75">
            <v>1.5384615384615398E-2</v>
          </cell>
          <cell r="V75">
            <v>9.2307692307692216E-2</v>
          </cell>
          <cell r="W75" t="str">
            <v>NM</v>
          </cell>
          <cell r="X75">
            <v>2.9411764705882214E-2</v>
          </cell>
        </row>
        <row r="76">
          <cell r="A76" t="str">
            <v xml:space="preserve"> 2Q</v>
          </cell>
          <cell r="B76">
            <v>5.1709189992568738E-2</v>
          </cell>
          <cell r="C76">
            <v>9.9477579451458631E-2</v>
          </cell>
          <cell r="D76">
            <v>3.2715942530725052E-2</v>
          </cell>
          <cell r="E76">
            <v>9.7868439147375627E-2</v>
          </cell>
          <cell r="F76">
            <v>4.9520153550863637E-2</v>
          </cell>
          <cell r="G76">
            <v>-3.8813781072830983E-2</v>
          </cell>
          <cell r="H76">
            <v>-3.6398467432950297E-2</v>
          </cell>
          <cell r="I76">
            <v>-5.0000000000000044E-2</v>
          </cell>
          <cell r="J76">
            <v>0</v>
          </cell>
          <cell r="L76" t="str">
            <v>NM</v>
          </cell>
          <cell r="M76" t="str">
            <v>NM</v>
          </cell>
          <cell r="N76">
            <v>2.7726856095324652E-2</v>
          </cell>
          <cell r="O76">
            <v>-0.11480031570639269</v>
          </cell>
          <cell r="P76">
            <v>-9.0256511444357118E-2</v>
          </cell>
          <cell r="Q76">
            <v>7.5994510816918687E-2</v>
          </cell>
          <cell r="R76">
            <v>-5.4083530371537902E-2</v>
          </cell>
          <cell r="S76">
            <v>0.14814814814814806</v>
          </cell>
          <cell r="V76">
            <v>0.1666666666666666</v>
          </cell>
          <cell r="W76" t="str">
            <v>NM</v>
          </cell>
          <cell r="X76">
            <v>8.7719298245614127E-2</v>
          </cell>
        </row>
        <row r="77">
          <cell r="A77" t="str">
            <v xml:space="preserve"> 3Q</v>
          </cell>
          <cell r="B77">
            <v>0.10533088235294123</v>
          </cell>
          <cell r="C77">
            <v>0.19738095238095243</v>
          </cell>
          <cell r="D77">
            <v>7.3432343234323433E-2</v>
          </cell>
          <cell r="E77">
            <v>3.1756756756756807E-2</v>
          </cell>
          <cell r="F77">
            <v>0.11379310344827581</v>
          </cell>
          <cell r="G77">
            <v>8.9151873767258472E-2</v>
          </cell>
          <cell r="H77">
            <v>9.5969289827253917E-3</v>
          </cell>
          <cell r="I77" t="str">
            <v>NM</v>
          </cell>
          <cell r="J77">
            <v>0</v>
          </cell>
          <cell r="L77" t="str">
            <v>NM</v>
          </cell>
          <cell r="M77" t="str">
            <v>NM</v>
          </cell>
          <cell r="N77">
            <v>0.10917830167086301</v>
          </cell>
          <cell r="O77">
            <v>-0.11587952755905516</v>
          </cell>
          <cell r="P77">
            <v>-1.9352755905511745E-2</v>
          </cell>
          <cell r="Q77">
            <v>0.16185156502097472</v>
          </cell>
          <cell r="R77">
            <v>-4.6430303939805295E-2</v>
          </cell>
          <cell r="S77">
            <v>0.14814814814814806</v>
          </cell>
          <cell r="V77">
            <v>0.40740740740740733</v>
          </cell>
          <cell r="W77" t="str">
            <v>NM</v>
          </cell>
          <cell r="X77">
            <v>-0.65420560747663559</v>
          </cell>
        </row>
        <row r="78">
          <cell r="A78" t="str">
            <v xml:space="preserve"> 4Q</v>
          </cell>
          <cell r="B78">
            <v>0.14518279808867648</v>
          </cell>
          <cell r="C78">
            <v>0.19894758146124247</v>
          </cell>
          <cell r="D78">
            <v>0.12483725204870952</v>
          </cell>
          <cell r="E78">
            <v>2.3658192090395443E-2</v>
          </cell>
          <cell r="F78">
            <v>0.22811950790861152</v>
          </cell>
          <cell r="G78">
            <v>0.18623570800351819</v>
          </cell>
          <cell r="H78">
            <v>3.968253968253968E-2</v>
          </cell>
          <cell r="I78" t="str">
            <v>NM</v>
          </cell>
          <cell r="J78">
            <v>-3.474903474903468E-2</v>
          </cell>
          <cell r="L78" t="str">
            <v>NM</v>
          </cell>
          <cell r="M78" t="str">
            <v>NM</v>
          </cell>
          <cell r="N78">
            <v>0.32756251717504836</v>
          </cell>
          <cell r="O78">
            <v>0.57538989265753859</v>
          </cell>
          <cell r="P78">
            <v>1.0914285714285714</v>
          </cell>
          <cell r="Q78">
            <v>0.19877970456005159</v>
          </cell>
          <cell r="R78">
            <v>1.6711297239615508E-3</v>
          </cell>
          <cell r="S78">
            <v>0.15789473684210542</v>
          </cell>
          <cell r="V78">
            <v>0.15789473684210542</v>
          </cell>
          <cell r="W78" t="str">
            <v>NM</v>
          </cell>
          <cell r="X78">
            <v>4.7619047619047658E-2</v>
          </cell>
        </row>
        <row r="80">
          <cell r="A80" t="str">
            <v>1996/95</v>
          </cell>
          <cell r="B80">
            <v>8.6148523780659056E-2</v>
          </cell>
          <cell r="C80">
            <v>0.12322375397667029</v>
          </cell>
          <cell r="D80">
            <v>7.1813690317554524E-2</v>
          </cell>
          <cell r="E80">
            <v>6.6346620637574835E-2</v>
          </cell>
          <cell r="F80">
            <v>0.14078833796873497</v>
          </cell>
          <cell r="G80">
            <v>4.0629889466511665E-2</v>
          </cell>
          <cell r="H80">
            <v>-9.6618357487917217E-4</v>
          </cell>
          <cell r="I80">
            <v>-5.3333333333333344E-2</v>
          </cell>
          <cell r="J80">
            <v>-8.9197224975223754E-3</v>
          </cell>
          <cell r="L80" t="str">
            <v>NM</v>
          </cell>
          <cell r="M80" t="str">
            <v>NM</v>
          </cell>
          <cell r="N80">
            <v>8.3975521305530265E-2</v>
          </cell>
          <cell r="O80">
            <v>-4.1347457601848742E-2</v>
          </cell>
          <cell r="P80">
            <v>3.9155889396908131E-2</v>
          </cell>
          <cell r="Q80">
            <v>9.97439295289161E-2</v>
          </cell>
          <cell r="R80">
            <v>-3.8778544389887148E-2</v>
          </cell>
          <cell r="S80">
            <v>0.11304347826086968</v>
          </cell>
          <cell r="V80">
            <v>0.2</v>
          </cell>
          <cell r="W80" t="str">
            <v>NM</v>
          </cell>
          <cell r="X80">
            <v>-0.32506203473945411</v>
          </cell>
        </row>
        <row r="82">
          <cell r="A82" t="str">
            <v>1996</v>
          </cell>
        </row>
        <row r="83">
          <cell r="A83" t="str">
            <v xml:space="preserve"> 1Q (b)</v>
          </cell>
          <cell r="B83">
            <v>1783.3</v>
          </cell>
          <cell r="C83">
            <v>518</v>
          </cell>
          <cell r="D83">
            <v>1265.3</v>
          </cell>
          <cell r="E83">
            <v>460</v>
          </cell>
          <cell r="F83">
            <v>276</v>
          </cell>
          <cell r="G83">
            <v>529.29999999999995</v>
          </cell>
          <cell r="H83">
            <v>-51.500000000000007</v>
          </cell>
          <cell r="I83">
            <v>33</v>
          </cell>
          <cell r="J83">
            <v>-25</v>
          </cell>
          <cell r="L83">
            <v>11</v>
          </cell>
          <cell r="M83">
            <v>-32.500000000000007</v>
          </cell>
          <cell r="N83">
            <v>496.79999999999995</v>
          </cell>
          <cell r="O83">
            <v>0.25700000000000001</v>
          </cell>
          <cell r="P83">
            <v>127.6776</v>
          </cell>
          <cell r="Q83">
            <v>369.12239999999997</v>
          </cell>
          <cell r="R83">
            <v>1093.694</v>
          </cell>
          <cell r="S83">
            <v>0.33</v>
          </cell>
          <cell r="V83">
            <v>0.35499999999999998</v>
          </cell>
          <cell r="W83" t="str">
            <v xml:space="preserve">       --</v>
          </cell>
          <cell r="X83">
            <v>0.35</v>
          </cell>
        </row>
        <row r="84">
          <cell r="A84" t="str">
            <v xml:space="preserve"> 2Q (c)</v>
          </cell>
          <cell r="B84">
            <v>1698.3</v>
          </cell>
          <cell r="C84">
            <v>505.1</v>
          </cell>
          <cell r="D84">
            <v>1193.1999999999998</v>
          </cell>
          <cell r="E84">
            <v>479</v>
          </cell>
          <cell r="F84">
            <v>273.39999999999998</v>
          </cell>
          <cell r="G84">
            <v>440.79999999999984</v>
          </cell>
          <cell r="H84">
            <v>-50.3</v>
          </cell>
          <cell r="I84">
            <v>38</v>
          </cell>
          <cell r="J84">
            <v>-25</v>
          </cell>
          <cell r="L84">
            <v>45</v>
          </cell>
          <cell r="M84">
            <v>7.7000000000000028</v>
          </cell>
          <cell r="N84">
            <v>448.49999999999983</v>
          </cell>
          <cell r="O84">
            <v>0.25700000000000001</v>
          </cell>
          <cell r="P84">
            <v>115.26449999999996</v>
          </cell>
          <cell r="Q84">
            <v>333.23549999999989</v>
          </cell>
          <cell r="R84">
            <v>1094.5540000000001</v>
          </cell>
          <cell r="S84">
            <v>0.31</v>
          </cell>
          <cell r="V84">
            <v>0.315</v>
          </cell>
          <cell r="W84" t="str">
            <v xml:space="preserve">       --</v>
          </cell>
          <cell r="X84">
            <v>0.31</v>
          </cell>
        </row>
        <row r="85">
          <cell r="A85" t="str">
            <v xml:space="preserve"> 3Q (d)</v>
          </cell>
          <cell r="B85">
            <v>1803.9</v>
          </cell>
          <cell r="C85">
            <v>502.9</v>
          </cell>
          <cell r="D85">
            <v>1301</v>
          </cell>
          <cell r="E85">
            <v>458.1</v>
          </cell>
          <cell r="F85">
            <v>290.7</v>
          </cell>
          <cell r="G85">
            <v>552.20000000000005</v>
          </cell>
          <cell r="H85">
            <v>-52.599999999999994</v>
          </cell>
          <cell r="I85">
            <v>0</v>
          </cell>
          <cell r="J85">
            <v>-25</v>
          </cell>
          <cell r="L85">
            <v>10</v>
          </cell>
          <cell r="M85">
            <v>-67.599999999999994</v>
          </cell>
          <cell r="N85">
            <v>484.6</v>
          </cell>
          <cell r="O85">
            <v>0.25700000000000001</v>
          </cell>
          <cell r="P85">
            <v>124.54220000000001</v>
          </cell>
          <cell r="Q85">
            <v>360.05780000000004</v>
          </cell>
          <cell r="R85">
            <v>1092.932</v>
          </cell>
          <cell r="S85">
            <v>0.31</v>
          </cell>
          <cell r="V85">
            <v>0.38</v>
          </cell>
          <cell r="W85" t="str">
            <v xml:space="preserve">       --</v>
          </cell>
          <cell r="X85">
            <v>0.37</v>
          </cell>
        </row>
        <row r="86">
          <cell r="A86" t="str">
            <v xml:space="preserve"> 4Q</v>
          </cell>
          <cell r="B86">
            <v>2061.1</v>
          </cell>
          <cell r="C86">
            <v>592.4</v>
          </cell>
          <cell r="D86">
            <v>1468.6999999999998</v>
          </cell>
          <cell r="E86">
            <v>579.79999999999995</v>
          </cell>
          <cell r="F86">
            <v>349.4</v>
          </cell>
          <cell r="G86">
            <v>539.49999999999989</v>
          </cell>
          <cell r="H86">
            <v>-52.4</v>
          </cell>
          <cell r="I86">
            <v>0</v>
          </cell>
          <cell r="J86">
            <v>-25</v>
          </cell>
          <cell r="L86">
            <v>21</v>
          </cell>
          <cell r="M86">
            <v>-56.400000000000006</v>
          </cell>
          <cell r="N86">
            <v>483.09999999999991</v>
          </cell>
          <cell r="O86">
            <v>0.22728213620368456</v>
          </cell>
          <cell r="P86">
            <v>109.8</v>
          </cell>
          <cell r="Q86">
            <v>373.2999999999999</v>
          </cell>
          <cell r="R86">
            <v>1094.5</v>
          </cell>
          <cell r="S86">
            <v>0.33</v>
          </cell>
          <cell r="V86">
            <v>0.33</v>
          </cell>
          <cell r="W86" t="str">
            <v xml:space="preserve">       --</v>
          </cell>
          <cell r="X86">
            <v>0.33</v>
          </cell>
        </row>
        <row r="88">
          <cell r="A88" t="str">
            <v>Year</v>
          </cell>
          <cell r="B88">
            <v>7346.6</v>
          </cell>
          <cell r="C88">
            <v>2118.4</v>
          </cell>
          <cell r="D88">
            <v>5228.2</v>
          </cell>
          <cell r="E88">
            <v>1976.9</v>
          </cell>
          <cell r="F88">
            <v>1189.5</v>
          </cell>
          <cell r="G88">
            <v>2061.7999999999993</v>
          </cell>
          <cell r="H88">
            <v>-206.8</v>
          </cell>
          <cell r="I88">
            <v>71</v>
          </cell>
          <cell r="J88">
            <v>-100</v>
          </cell>
          <cell r="L88">
            <v>87</v>
          </cell>
          <cell r="M88">
            <v>-148.80000000000001</v>
          </cell>
          <cell r="N88">
            <v>1912.9999999999998</v>
          </cell>
          <cell r="O88">
            <v>0.24949519079979088</v>
          </cell>
          <cell r="P88">
            <v>477.28429999999992</v>
          </cell>
          <cell r="Q88">
            <v>1435.7157</v>
          </cell>
          <cell r="R88">
            <v>1093.92</v>
          </cell>
          <cell r="S88">
            <v>1.28</v>
          </cell>
          <cell r="V88">
            <v>1.38</v>
          </cell>
          <cell r="W88" t="str">
            <v xml:space="preserve">       --</v>
          </cell>
          <cell r="X88">
            <v>1.36</v>
          </cell>
        </row>
        <row r="90">
          <cell r="A90" t="str">
            <v>1997/96</v>
          </cell>
        </row>
        <row r="91">
          <cell r="A91" t="str">
            <v xml:space="preserve"> 1Q</v>
          </cell>
          <cell r="B91">
            <v>9.5160657208545982E-2</v>
          </cell>
          <cell r="C91">
            <v>4.4980694980694895E-2</v>
          </cell>
          <cell r="D91">
            <v>0.11570378566347909</v>
          </cell>
          <cell r="E91">
            <v>2.5434782608695628E-2</v>
          </cell>
          <cell r="F91">
            <v>9.1304347826086915E-2</v>
          </cell>
          <cell r="G91">
            <v>0.2068770073682222</v>
          </cell>
          <cell r="H91">
            <v>-0.10873786407766992</v>
          </cell>
          <cell r="I91">
            <v>-0.36363636363636365</v>
          </cell>
          <cell r="J91">
            <v>0</v>
          </cell>
          <cell r="L91">
            <v>7.2727272727272793E-2</v>
          </cell>
          <cell r="M91">
            <v>0.1723076923076923</v>
          </cell>
          <cell r="N91">
            <v>0.20913848631239934</v>
          </cell>
          <cell r="O91">
            <v>-2.7075415905827124E-2</v>
          </cell>
          <cell r="P91">
            <v>0.17640055890774883</v>
          </cell>
          <cell r="Q91">
            <v>0.22046237237295807</v>
          </cell>
          <cell r="R91">
            <v>2.9125148350452726E-2</v>
          </cell>
          <cell r="S91">
            <v>0.21212121212121213</v>
          </cell>
          <cell r="V91">
            <v>0.1267605633802818</v>
          </cell>
          <cell r="W91" t="str">
            <v>NM</v>
          </cell>
          <cell r="X91">
            <v>8.5714285714285798E-2</v>
          </cell>
        </row>
        <row r="92">
          <cell r="A92" t="str">
            <v xml:space="preserve"> 2Q</v>
          </cell>
          <cell r="B92">
            <v>0.17099452393570047</v>
          </cell>
          <cell r="C92">
            <v>8.6517521282914137E-2</v>
          </cell>
          <cell r="D92">
            <v>0.20675494468655742</v>
          </cell>
          <cell r="E92">
            <v>0.15302713987473895</v>
          </cell>
          <cell r="F92">
            <v>0.19495245062179961</v>
          </cell>
          <cell r="G92">
            <v>0.27245916515426566</v>
          </cell>
          <cell r="H92">
            <v>-0.10337972166998004</v>
          </cell>
          <cell r="I92">
            <v>0</v>
          </cell>
          <cell r="J92">
            <v>0</v>
          </cell>
          <cell r="L92">
            <v>-0.37777777777777777</v>
          </cell>
          <cell r="M92" t="str">
            <v>NM</v>
          </cell>
          <cell r="N92">
            <v>0.24147157190635513</v>
          </cell>
          <cell r="O92">
            <v>-2.7936177825484364E-2</v>
          </cell>
          <cell r="P92">
            <v>0.20678960130829568</v>
          </cell>
          <cell r="Q92">
            <v>0.25346789282654514</v>
          </cell>
          <cell r="R92">
            <v>2.9580998287887055E-2</v>
          </cell>
          <cell r="S92">
            <v>0.19354838709677419</v>
          </cell>
          <cell r="V92">
            <v>0.20634920634920637</v>
          </cell>
          <cell r="W92" t="str">
            <v>NM</v>
          </cell>
          <cell r="X92" t="str">
            <v>NM</v>
          </cell>
        </row>
        <row r="93">
          <cell r="A93" t="str">
            <v xml:space="preserve"> 3Q</v>
          </cell>
          <cell r="B93">
            <v>0.19746105659958968</v>
          </cell>
          <cell r="C93">
            <v>0.16882083913302839</v>
          </cell>
          <cell r="D93">
            <v>0.2085318985395849</v>
          </cell>
          <cell r="E93">
            <v>0.28181619733682606</v>
          </cell>
          <cell r="F93">
            <v>0.18816649466804261</v>
          </cell>
          <cell r="G93">
            <v>0.15845708076783752</v>
          </cell>
          <cell r="H93">
            <v>-0.38403041825095052</v>
          </cell>
          <cell r="I93" t="str">
            <v>NM</v>
          </cell>
          <cell r="J93">
            <v>-0.7</v>
          </cell>
          <cell r="L93">
            <v>-1.1099999999999999</v>
          </cell>
          <cell r="M93">
            <v>-0.39349112426035499</v>
          </cell>
          <cell r="N93">
            <v>0.23545191910854293</v>
          </cell>
          <cell r="O93">
            <v>-2.7074874939801367E-2</v>
          </cell>
          <cell r="P93">
            <v>0.20200221290454143</v>
          </cell>
          <cell r="Q93">
            <v>0.24702200591127282</v>
          </cell>
          <cell r="R93">
            <v>3.3780692668894378E-2</v>
          </cell>
          <cell r="S93">
            <v>0.29032258064516137</v>
          </cell>
          <cell r="V93">
            <v>5.2631578947368467E-2</v>
          </cell>
          <cell r="W93" t="str">
            <v>NM</v>
          </cell>
          <cell r="X93">
            <v>8.1081081081081155E-2</v>
          </cell>
        </row>
        <row r="94">
          <cell r="A94" t="str">
            <v xml:space="preserve"> 4Q</v>
          </cell>
          <cell r="B94">
            <v>0.1720925719276116</v>
          </cell>
          <cell r="C94">
            <v>0.15631330182309255</v>
          </cell>
          <cell r="D94">
            <v>0.17845713896643317</v>
          </cell>
          <cell r="E94">
            <v>0.17764746464298034</v>
          </cell>
          <cell r="F94">
            <v>0.16971951917572986</v>
          </cell>
          <cell r="G94">
            <v>0.18498609823911089</v>
          </cell>
          <cell r="H94">
            <v>-0.59732824427480913</v>
          </cell>
          <cell r="I94" t="str">
            <v>NM</v>
          </cell>
          <cell r="J94">
            <v>-0.7</v>
          </cell>
          <cell r="L94">
            <v>-1.0333333333333332</v>
          </cell>
          <cell r="M94">
            <v>-0.48049645390070927</v>
          </cell>
          <cell r="N94">
            <v>0.26267853446491479</v>
          </cell>
          <cell r="O94">
            <v>9.9954462659380197E-2</v>
          </cell>
          <cell r="P94">
            <v>0.38888888888888895</v>
          </cell>
          <cell r="Q94">
            <v>0.22555585320117963</v>
          </cell>
          <cell r="R94">
            <v>3.4762905436272272E-2</v>
          </cell>
          <cell r="S94">
            <v>0.21212121212121213</v>
          </cell>
          <cell r="V94">
            <v>0.21212121212121213</v>
          </cell>
          <cell r="W94" t="str">
            <v>NM</v>
          </cell>
          <cell r="X94">
            <v>0.21212121212121213</v>
          </cell>
        </row>
        <row r="96">
          <cell r="A96" t="str">
            <v>Year</v>
          </cell>
          <cell r="B96">
            <v>0.15939346092069775</v>
          </cell>
          <cell r="C96">
            <v>0.11541729607250734</v>
          </cell>
          <cell r="D96">
            <v>0.17721204238552485</v>
          </cell>
          <cell r="E96">
            <v>0.16040265061459857</v>
          </cell>
          <cell r="F96">
            <v>0.16183270281630938</v>
          </cell>
          <cell r="G96">
            <v>0.20220195945290578</v>
          </cell>
          <cell r="H96">
            <v>-0.30125725338491299</v>
          </cell>
          <cell r="I96">
            <v>-0.16901408450704225</v>
          </cell>
          <cell r="J96">
            <v>-0.35</v>
          </cell>
          <cell r="L96">
            <v>-0.56321839080459779</v>
          </cell>
          <cell r="M96">
            <v>-0.24395161290322576</v>
          </cell>
          <cell r="N96">
            <v>0.23690538421327786</v>
          </cell>
          <cell r="O96">
            <v>1.9386276402102781E-3</v>
          </cell>
          <cell r="P96">
            <v>0.23930328317943855</v>
          </cell>
          <cell r="Q96">
            <v>0.23610823507746018</v>
          </cell>
          <cell r="R96">
            <v>3.1812198332601974E-2</v>
          </cell>
          <cell r="S96">
            <v>0.22656250000000003</v>
          </cell>
          <cell r="V96">
            <v>0.1449275362318842</v>
          </cell>
          <cell r="W96" t="str">
            <v>NM</v>
          </cell>
          <cell r="X96" t="str">
            <v>NM</v>
          </cell>
        </row>
        <row r="98">
          <cell r="A98" t="str">
            <v>1997</v>
          </cell>
        </row>
        <row r="99">
          <cell r="A99" t="str">
            <v xml:space="preserve"> 1Q (a)</v>
          </cell>
          <cell r="B99">
            <v>1953</v>
          </cell>
          <cell r="C99">
            <v>541.29999999999995</v>
          </cell>
          <cell r="D99">
            <v>1411.7</v>
          </cell>
          <cell r="E99">
            <v>471.7</v>
          </cell>
          <cell r="F99">
            <v>301.2</v>
          </cell>
          <cell r="G99">
            <v>638.79999999999995</v>
          </cell>
          <cell r="H99">
            <v>-45.900000000000006</v>
          </cell>
          <cell r="I99">
            <v>21</v>
          </cell>
          <cell r="J99">
            <v>-25</v>
          </cell>
          <cell r="L99">
            <v>11.8</v>
          </cell>
          <cell r="M99">
            <v>-38.100000000000009</v>
          </cell>
          <cell r="N99">
            <v>600.69999999999993</v>
          </cell>
          <cell r="O99">
            <v>0.25004161811220244</v>
          </cell>
          <cell r="P99">
            <v>150.19999999999999</v>
          </cell>
          <cell r="Q99">
            <v>450.49999999999994</v>
          </cell>
          <cell r="R99">
            <v>1125.548</v>
          </cell>
          <cell r="S99">
            <v>0.4</v>
          </cell>
          <cell r="U99">
            <v>0.18</v>
          </cell>
          <cell r="V99">
            <v>0.4</v>
          </cell>
          <cell r="W99">
            <v>0.4</v>
          </cell>
          <cell r="X99">
            <v>0.38</v>
          </cell>
        </row>
        <row r="100">
          <cell r="A100" t="str">
            <v xml:space="preserve"> 2Q (b)</v>
          </cell>
          <cell r="B100">
            <v>1988.7</v>
          </cell>
          <cell r="C100">
            <v>548.79999999999995</v>
          </cell>
          <cell r="D100">
            <v>1439.9</v>
          </cell>
          <cell r="E100">
            <v>552.29999999999995</v>
          </cell>
          <cell r="F100">
            <v>326.7</v>
          </cell>
          <cell r="G100">
            <v>560.90000000000009</v>
          </cell>
          <cell r="H100">
            <v>-45.1</v>
          </cell>
          <cell r="I100">
            <v>38</v>
          </cell>
          <cell r="J100">
            <v>-25</v>
          </cell>
          <cell r="L100">
            <v>28</v>
          </cell>
          <cell r="M100">
            <v>-4.1000000000000014</v>
          </cell>
          <cell r="N100">
            <v>556.80000000000007</v>
          </cell>
          <cell r="O100">
            <v>0.24982040229885052</v>
          </cell>
          <cell r="P100">
            <v>139.1</v>
          </cell>
          <cell r="Q100">
            <v>417.70000000000005</v>
          </cell>
          <cell r="R100">
            <v>1126.932</v>
          </cell>
          <cell r="S100">
            <v>0.37</v>
          </cell>
          <cell r="U100">
            <v>0.18</v>
          </cell>
          <cell r="V100">
            <v>0.38</v>
          </cell>
          <cell r="W100" t="str">
            <v xml:space="preserve">       --</v>
          </cell>
          <cell r="X100">
            <v>-1.57</v>
          </cell>
        </row>
        <row r="101">
          <cell r="A101" t="str">
            <v xml:space="preserve"> 3Q</v>
          </cell>
          <cell r="B101">
            <v>2160.1</v>
          </cell>
          <cell r="C101">
            <v>587.79999999999995</v>
          </cell>
          <cell r="D101">
            <v>1572.3</v>
          </cell>
          <cell r="E101">
            <v>587.20000000000005</v>
          </cell>
          <cell r="F101">
            <v>345.4</v>
          </cell>
          <cell r="G101">
            <v>639.69999999999993</v>
          </cell>
          <cell r="H101">
            <v>-32.4</v>
          </cell>
          <cell r="I101">
            <v>0</v>
          </cell>
          <cell r="J101">
            <v>-7.5</v>
          </cell>
          <cell r="L101">
            <v>-1.1000000000000001</v>
          </cell>
          <cell r="M101">
            <v>-41</v>
          </cell>
          <cell r="N101">
            <v>598.69999999999993</v>
          </cell>
          <cell r="O101">
            <v>0.25004175714047105</v>
          </cell>
          <cell r="P101">
            <v>149.69999999999999</v>
          </cell>
          <cell r="Q101">
            <v>448.99999999999994</v>
          </cell>
          <cell r="R101">
            <v>1129.8520000000001</v>
          </cell>
          <cell r="S101">
            <v>0.4</v>
          </cell>
          <cell r="U101">
            <v>0.18</v>
          </cell>
          <cell r="V101">
            <v>0.4</v>
          </cell>
          <cell r="W101">
            <v>0.4</v>
          </cell>
          <cell r="X101">
            <v>0.4</v>
          </cell>
        </row>
        <row r="102">
          <cell r="A102" t="str">
            <v xml:space="preserve"> 4Q</v>
          </cell>
          <cell r="B102">
            <v>2415.8000000000002</v>
          </cell>
          <cell r="C102">
            <v>685</v>
          </cell>
          <cell r="D102">
            <v>1730.8000000000002</v>
          </cell>
          <cell r="E102">
            <v>682.8</v>
          </cell>
          <cell r="F102">
            <v>408.7</v>
          </cell>
          <cell r="G102">
            <v>639.30000000000018</v>
          </cell>
          <cell r="H102">
            <v>-21.1</v>
          </cell>
          <cell r="I102">
            <v>0</v>
          </cell>
          <cell r="J102">
            <v>-7.5</v>
          </cell>
          <cell r="L102">
            <v>-0.7</v>
          </cell>
          <cell r="M102">
            <v>-29.3</v>
          </cell>
          <cell r="N102">
            <v>610.00000000000023</v>
          </cell>
          <cell r="O102">
            <v>0.24999999999999992</v>
          </cell>
          <cell r="P102">
            <v>152.5</v>
          </cell>
          <cell r="Q102">
            <v>457.50000000000023</v>
          </cell>
          <cell r="R102">
            <v>1132.548</v>
          </cell>
          <cell r="S102">
            <v>0.4</v>
          </cell>
          <cell r="U102">
            <v>0.2</v>
          </cell>
          <cell r="V102">
            <v>0.4</v>
          </cell>
          <cell r="W102">
            <v>0.4</v>
          </cell>
          <cell r="X102">
            <v>0.4</v>
          </cell>
        </row>
        <row r="104">
          <cell r="A104" t="str">
            <v>Year</v>
          </cell>
          <cell r="B104">
            <v>8517.5999999999985</v>
          </cell>
          <cell r="C104">
            <v>2362.8999999999996</v>
          </cell>
          <cell r="D104">
            <v>6154.7000000000007</v>
          </cell>
          <cell r="E104">
            <v>2294</v>
          </cell>
          <cell r="F104">
            <v>1382</v>
          </cell>
          <cell r="G104">
            <v>2478.7000000000003</v>
          </cell>
          <cell r="H104">
            <v>-144.5</v>
          </cell>
          <cell r="I104">
            <v>59</v>
          </cell>
          <cell r="J104">
            <v>-65</v>
          </cell>
          <cell r="L104">
            <v>37.999999999999993</v>
          </cell>
          <cell r="M104">
            <v>-112.50000000000001</v>
          </cell>
          <cell r="N104">
            <v>2366.2000000000003</v>
          </cell>
          <cell r="O104">
            <v>0.24997886907277489</v>
          </cell>
          <cell r="P104">
            <v>591.5</v>
          </cell>
          <cell r="Q104">
            <v>1774.7000000000003</v>
          </cell>
          <cell r="R104">
            <v>1128.72</v>
          </cell>
          <cell r="S104">
            <v>1.57</v>
          </cell>
          <cell r="U104">
            <v>0.74</v>
          </cell>
          <cell r="V104">
            <v>1.58</v>
          </cell>
          <cell r="W104" t="str">
            <v xml:space="preserve">       --</v>
          </cell>
          <cell r="X104">
            <v>-0.35</v>
          </cell>
        </row>
        <row r="106">
          <cell r="A106" t="str">
            <v>1998/97</v>
          </cell>
        </row>
        <row r="107">
          <cell r="A107" t="str">
            <v xml:space="preserve"> 1Q</v>
          </cell>
          <cell r="B107">
            <v>6.8612391193036359E-2</v>
          </cell>
          <cell r="C107">
            <v>-0.15518196933308692</v>
          </cell>
          <cell r="D107">
            <v>0.15442374442161932</v>
          </cell>
          <cell r="E107">
            <v>0.15221539113843546</v>
          </cell>
          <cell r="F107">
            <v>0.20484727755644086</v>
          </cell>
          <cell r="G107">
            <v>0.13227927363807157</v>
          </cell>
          <cell r="H107">
            <v>-0.47930283224400883</v>
          </cell>
          <cell r="I107" t="str">
            <v>NM</v>
          </cell>
          <cell r="J107" t="str">
            <v>NM</v>
          </cell>
          <cell r="L107" t="str">
            <v>NM</v>
          </cell>
          <cell r="M107" t="str">
            <v>NM</v>
          </cell>
          <cell r="N107">
            <v>0.170800732478775</v>
          </cell>
          <cell r="O107">
            <v>-2.3623367336371232E-2</v>
          </cell>
          <cell r="P107">
            <v>0.14314247669773636</v>
          </cell>
          <cell r="Q107">
            <v>0.18002219755826904</v>
          </cell>
          <cell r="R107">
            <v>4.5186877858607657E-3</v>
          </cell>
          <cell r="S107">
            <v>0.15</v>
          </cell>
          <cell r="U107">
            <v>0.11111111111111122</v>
          </cell>
          <cell r="V107">
            <v>0.15</v>
          </cell>
          <cell r="W107" t="str">
            <v>NM</v>
          </cell>
          <cell r="X107">
            <v>0.2368421052631578</v>
          </cell>
        </row>
        <row r="108">
          <cell r="A108" t="str">
            <v xml:space="preserve"> 2Q</v>
          </cell>
          <cell r="B108">
            <v>8.3622466938200815E-2</v>
          </cell>
          <cell r="C108">
            <v>-0.12791545189504361</v>
          </cell>
          <cell r="D108">
            <v>0.16424751718869365</v>
          </cell>
          <cell r="E108">
            <v>0.15408292594604386</v>
          </cell>
          <cell r="F108">
            <v>0.27548209366391185</v>
          </cell>
          <cell r="G108">
            <v>0.10946692815118533</v>
          </cell>
          <cell r="H108">
            <v>-0.57871396895787142</v>
          </cell>
          <cell r="I108" t="str">
            <v>NM</v>
          </cell>
          <cell r="J108" t="str">
            <v>NM</v>
          </cell>
          <cell r="L108" t="str">
            <v>NM</v>
          </cell>
          <cell r="M108" t="str">
            <v>NM</v>
          </cell>
          <cell r="N108">
            <v>0.16253591954022967</v>
          </cell>
          <cell r="O108">
            <v>-3.2829061667760159E-2</v>
          </cell>
          <cell r="P108">
            <v>0.12437095614665716</v>
          </cell>
          <cell r="Q108">
            <v>0.17524539142925527</v>
          </cell>
          <cell r="R108">
            <v>-1.7055155058158127E-3</v>
          </cell>
          <cell r="S108">
            <v>0.1891891891891892</v>
          </cell>
          <cell r="U108">
            <v>0.11111111111111122</v>
          </cell>
          <cell r="V108">
            <v>0.15789473684210525</v>
          </cell>
          <cell r="W108" t="str">
            <v>NM</v>
          </cell>
          <cell r="X108">
            <v>-1.2802547770700639</v>
          </cell>
        </row>
        <row r="109">
          <cell r="A109" t="str">
            <v xml:space="preserve"> 3Q</v>
          </cell>
          <cell r="B109">
            <v>9.2264247025600751E-2</v>
          </cell>
          <cell r="C109">
            <v>-0.15668594760122487</v>
          </cell>
          <cell r="D109">
            <v>0.18533358773770917</v>
          </cell>
          <cell r="E109">
            <v>0.13692098092643046</v>
          </cell>
          <cell r="F109">
            <v>0.27359583092067169</v>
          </cell>
          <cell r="G109">
            <v>0.18211661716429578</v>
          </cell>
          <cell r="H109">
            <v>-0.28086419753086417</v>
          </cell>
          <cell r="I109" t="str">
            <v>NM</v>
          </cell>
          <cell r="J109" t="str">
            <v>NM</v>
          </cell>
          <cell r="L109" t="str">
            <v>NM</v>
          </cell>
          <cell r="M109" t="str">
            <v>NM</v>
          </cell>
          <cell r="N109">
            <v>0.21362953064974108</v>
          </cell>
          <cell r="O109">
            <v>-0.242625814984405</v>
          </cell>
          <cell r="P109">
            <v>-8.0828323313293218E-2</v>
          </cell>
          <cell r="Q109">
            <v>0.31180400890868587</v>
          </cell>
          <cell r="R109">
            <v>-1.0327901353451687E-2</v>
          </cell>
          <cell r="S109">
            <v>0.32500000000000001</v>
          </cell>
          <cell r="U109">
            <v>0.11111111111111122</v>
          </cell>
          <cell r="V109">
            <v>0.32500000000000001</v>
          </cell>
          <cell r="W109" t="str">
            <v>NM</v>
          </cell>
          <cell r="X109">
            <v>0.32500000000000001</v>
          </cell>
        </row>
        <row r="110">
          <cell r="A110" t="str">
            <v xml:space="preserve"> 4Q</v>
          </cell>
          <cell r="B110">
            <v>9.0901564699064449E-2</v>
          </cell>
          <cell r="C110">
            <v>-0.14817518248175182</v>
          </cell>
          <cell r="D110">
            <v>0.18552114629073255</v>
          </cell>
          <cell r="E110">
            <v>0.18599882835383716</v>
          </cell>
          <cell r="F110">
            <v>0.2708588206508441</v>
          </cell>
          <cell r="G110">
            <v>0.13045518535898631</v>
          </cell>
          <cell r="H110">
            <v>-0.16587677725118499</v>
          </cell>
          <cell r="I110" t="str">
            <v>NM</v>
          </cell>
          <cell r="J110" t="str">
            <v>NM</v>
          </cell>
          <cell r="L110" t="str">
            <v>NM</v>
          </cell>
          <cell r="M110" t="str">
            <v>NM</v>
          </cell>
          <cell r="N110">
            <v>0.17262295081967199</v>
          </cell>
          <cell r="O110">
            <v>-0.1405004893051866</v>
          </cell>
          <cell r="P110">
            <v>7.8688524590163188E-3</v>
          </cell>
          <cell r="Q110">
            <v>0.22754098360655706</v>
          </cell>
          <cell r="R110">
            <v>-1.2759724091164368E-2</v>
          </cell>
          <cell r="S110">
            <v>0.24999999999999994</v>
          </cell>
          <cell r="U110">
            <v>0</v>
          </cell>
          <cell r="V110">
            <v>0.24999999999999994</v>
          </cell>
          <cell r="W110" t="str">
            <v>NM</v>
          </cell>
          <cell r="X110">
            <v>0.24999999999999994</v>
          </cell>
        </row>
        <row r="112">
          <cell r="A112" t="str">
            <v>Year</v>
          </cell>
          <cell r="B112">
            <v>8.4436930590776851E-2</v>
          </cell>
          <cell r="C112">
            <v>-0.14719200981844324</v>
          </cell>
          <cell r="D112">
            <v>0.1733634458218922</v>
          </cell>
          <cell r="E112">
            <v>0.1588055797733218</v>
          </cell>
          <cell r="F112">
            <v>0.2582489146164979</v>
          </cell>
          <cell r="G112">
            <v>0.139508613386049</v>
          </cell>
          <cell r="H112">
            <v>-0.42006920415224913</v>
          </cell>
          <cell r="I112" t="str">
            <v>NM</v>
          </cell>
          <cell r="J112" t="str">
            <v>NM</v>
          </cell>
          <cell r="L112" t="str">
            <v>NM</v>
          </cell>
          <cell r="M112" t="str">
            <v>NM</v>
          </cell>
          <cell r="N112">
            <v>0.18016228552108854</v>
          </cell>
          <cell r="O112">
            <v>-0.11269133978754538</v>
          </cell>
          <cell r="P112">
            <v>4.7168216398985399E-2</v>
          </cell>
          <cell r="Q112">
            <v>0.22448864596833271</v>
          </cell>
          <cell r="R112">
            <v>-6.4090296973562293E-3</v>
          </cell>
          <cell r="S112">
            <v>0.2292993630573249</v>
          </cell>
          <cell r="U112">
            <v>8.1081081081081155E-2</v>
          </cell>
          <cell r="V112">
            <v>0.22151898734177219</v>
          </cell>
          <cell r="W112" t="str">
            <v>NM</v>
          </cell>
          <cell r="X112">
            <v>-6.5428571428571436</v>
          </cell>
        </row>
        <row r="114">
          <cell r="A114" t="str">
            <v>1998 (R)</v>
          </cell>
        </row>
        <row r="115">
          <cell r="A115" t="str">
            <v xml:space="preserve"> 1Q (c)</v>
          </cell>
          <cell r="B115">
            <v>2087</v>
          </cell>
          <cell r="C115">
            <v>457.3</v>
          </cell>
          <cell r="D115">
            <v>1629.7</v>
          </cell>
          <cell r="E115">
            <v>543.5</v>
          </cell>
          <cell r="F115">
            <v>362.9</v>
          </cell>
          <cell r="G115">
            <v>723.30000000000007</v>
          </cell>
          <cell r="H115">
            <v>-23.9</v>
          </cell>
          <cell r="I115">
            <v>0</v>
          </cell>
          <cell r="J115">
            <v>0</v>
          </cell>
          <cell r="L115">
            <v>3.9</v>
          </cell>
          <cell r="M115">
            <v>-20</v>
          </cell>
          <cell r="N115">
            <v>703.30000000000007</v>
          </cell>
          <cell r="O115">
            <v>0.24413479311815722</v>
          </cell>
          <cell r="P115">
            <v>171.7</v>
          </cell>
          <cell r="Q115">
            <v>531.60000000000014</v>
          </cell>
          <cell r="R115">
            <v>1130.634</v>
          </cell>
          <cell r="S115">
            <v>0.46</v>
          </cell>
          <cell r="U115">
            <v>0.2</v>
          </cell>
          <cell r="V115">
            <v>0.46</v>
          </cell>
          <cell r="W115" t="str">
            <v xml:space="preserve">       --</v>
          </cell>
          <cell r="X115">
            <v>0.47</v>
          </cell>
        </row>
        <row r="116">
          <cell r="A116" t="str">
            <v xml:space="preserve"> 2Q </v>
          </cell>
          <cell r="B116">
            <v>2155</v>
          </cell>
          <cell r="C116">
            <v>478.6</v>
          </cell>
          <cell r="D116">
            <v>1676.4</v>
          </cell>
          <cell r="E116">
            <v>637.4</v>
          </cell>
          <cell r="F116">
            <v>416.7</v>
          </cell>
          <cell r="G116">
            <v>622.29999999999995</v>
          </cell>
          <cell r="H116">
            <v>-19</v>
          </cell>
          <cell r="I116">
            <v>0</v>
          </cell>
          <cell r="J116">
            <v>0</v>
          </cell>
          <cell r="L116">
            <v>44</v>
          </cell>
          <cell r="M116">
            <v>25</v>
          </cell>
          <cell r="N116">
            <v>647.29999999999995</v>
          </cell>
          <cell r="O116">
            <v>0.24161903290591691</v>
          </cell>
          <cell r="P116">
            <v>156.4</v>
          </cell>
          <cell r="Q116">
            <v>490.9</v>
          </cell>
          <cell r="R116">
            <v>1125.01</v>
          </cell>
          <cell r="S116">
            <v>0.44</v>
          </cell>
          <cell r="U116">
            <v>0.2</v>
          </cell>
          <cell r="V116">
            <v>0.44</v>
          </cell>
          <cell r="W116" t="str">
            <v xml:space="preserve">       --</v>
          </cell>
          <cell r="X116">
            <v>0.44</v>
          </cell>
        </row>
        <row r="117">
          <cell r="A117" t="str">
            <v xml:space="preserve"> 3Q (d)</v>
          </cell>
          <cell r="B117">
            <v>2359.4</v>
          </cell>
          <cell r="C117">
            <v>495.7</v>
          </cell>
          <cell r="D117">
            <v>1863.7</v>
          </cell>
          <cell r="E117">
            <v>667.6</v>
          </cell>
          <cell r="F117">
            <v>439.9</v>
          </cell>
          <cell r="G117">
            <v>756.19999999999993</v>
          </cell>
          <cell r="H117">
            <v>-23.3</v>
          </cell>
          <cell r="I117">
            <v>0</v>
          </cell>
          <cell r="J117">
            <v>0</v>
          </cell>
          <cell r="L117">
            <v>-6.3</v>
          </cell>
          <cell r="M117">
            <v>-29.6</v>
          </cell>
          <cell r="N117">
            <v>726.59999999999991</v>
          </cell>
          <cell r="O117">
            <v>0.18937517203413159</v>
          </cell>
          <cell r="P117">
            <v>137.6</v>
          </cell>
          <cell r="Q117">
            <v>588.99999999999989</v>
          </cell>
          <cell r="R117">
            <v>1118.183</v>
          </cell>
          <cell r="S117">
            <v>0.53</v>
          </cell>
          <cell r="U117">
            <v>0.2</v>
          </cell>
          <cell r="V117">
            <v>0.53</v>
          </cell>
          <cell r="W117" t="str">
            <v xml:space="preserve">       --</v>
          </cell>
          <cell r="X117">
            <v>0.53</v>
          </cell>
        </row>
        <row r="118">
          <cell r="A118" t="str">
            <v xml:space="preserve"> 4Q</v>
          </cell>
          <cell r="B118">
            <v>2635.4</v>
          </cell>
          <cell r="C118">
            <v>583.5</v>
          </cell>
          <cell r="D118">
            <v>2051.9</v>
          </cell>
          <cell r="E118">
            <v>809.8</v>
          </cell>
          <cell r="F118">
            <v>519.4</v>
          </cell>
          <cell r="G118">
            <v>722.70000000000016</v>
          </cell>
          <cell r="H118">
            <v>-17.599999999999998</v>
          </cell>
          <cell r="I118">
            <v>0</v>
          </cell>
          <cell r="J118">
            <v>0</v>
          </cell>
          <cell r="L118">
            <v>10.199999999999999</v>
          </cell>
          <cell r="M118">
            <v>-7.3999999999999986</v>
          </cell>
          <cell r="N118">
            <v>715.30000000000018</v>
          </cell>
          <cell r="O118">
            <v>0.21487487767370328</v>
          </cell>
          <cell r="P118">
            <v>153.69999999999999</v>
          </cell>
          <cell r="Q118">
            <v>561.60000000000014</v>
          </cell>
          <cell r="R118">
            <v>1118.097</v>
          </cell>
          <cell r="S118">
            <v>0.5</v>
          </cell>
          <cell r="U118">
            <v>0.2</v>
          </cell>
          <cell r="V118">
            <v>0.5</v>
          </cell>
          <cell r="W118" t="str">
            <v xml:space="preserve">       --</v>
          </cell>
          <cell r="X118">
            <v>0.5</v>
          </cell>
        </row>
        <row r="120">
          <cell r="A120" t="str">
            <v>Year</v>
          </cell>
          <cell r="B120">
            <v>9236.7999999999993</v>
          </cell>
          <cell r="C120">
            <v>2015.1000000000001</v>
          </cell>
          <cell r="D120">
            <v>7221.7000000000007</v>
          </cell>
          <cell r="E120">
            <v>2658.3</v>
          </cell>
          <cell r="F120">
            <v>1738.9</v>
          </cell>
          <cell r="G120">
            <v>2824.5</v>
          </cell>
          <cell r="H120">
            <v>-83.8</v>
          </cell>
          <cell r="I120">
            <v>0</v>
          </cell>
          <cell r="J120">
            <v>0</v>
          </cell>
          <cell r="L120">
            <v>51.8</v>
          </cell>
          <cell r="M120">
            <v>-32</v>
          </cell>
          <cell r="N120">
            <v>2792.5</v>
          </cell>
          <cell r="O120">
            <v>0.2218084153983885</v>
          </cell>
          <cell r="P120">
            <v>619.39999999999986</v>
          </cell>
          <cell r="Q120">
            <v>2173.1000000000004</v>
          </cell>
          <cell r="R120">
            <v>1121.4860000000001</v>
          </cell>
          <cell r="S120">
            <v>1.9300000000000002</v>
          </cell>
          <cell r="U120">
            <v>0.8</v>
          </cell>
          <cell r="V120">
            <v>1.9300000000000002</v>
          </cell>
          <cell r="W120" t="str">
            <v xml:space="preserve">       --</v>
          </cell>
          <cell r="X120">
            <v>1.94</v>
          </cell>
        </row>
        <row r="122">
          <cell r="A122" t="str">
            <v>1999/98</v>
          </cell>
        </row>
        <row r="123">
          <cell r="A123" t="str">
            <v xml:space="preserve"> 1Q</v>
          </cell>
          <cell r="B123">
            <v>8.0785816962146581E-2</v>
          </cell>
          <cell r="C123">
            <v>7.9160288650776275E-2</v>
          </cell>
          <cell r="D123">
            <v>8.1241946370497545E-2</v>
          </cell>
          <cell r="E123">
            <v>9.0892364305427742E-2</v>
          </cell>
          <cell r="F123">
            <v>0.13833011848994226</v>
          </cell>
          <cell r="G123">
            <v>4.5347711876122944E-2</v>
          </cell>
          <cell r="H123">
            <v>-0.65690376569037667</v>
          </cell>
          <cell r="I123" t="str">
            <v>NM</v>
          </cell>
          <cell r="J123" t="str">
            <v>NM</v>
          </cell>
          <cell r="L123" t="str">
            <v>NM</v>
          </cell>
          <cell r="M123" t="str">
            <v>NM</v>
          </cell>
          <cell r="N123">
            <v>7.3368406085596014E-2</v>
          </cell>
          <cell r="O123">
            <v>-9.8739101778301794E-2</v>
          </cell>
          <cell r="P123">
            <v>-3.2615026208503171E-2</v>
          </cell>
          <cell r="Q123">
            <v>0.10759969902182012</v>
          </cell>
          <cell r="R123">
            <v>-1.4063790758105689E-2</v>
          </cell>
          <cell r="S123">
            <v>0.14825702657048767</v>
          </cell>
          <cell r="U123">
            <v>0.15</v>
          </cell>
          <cell r="V123">
            <v>3.8547340699897976</v>
          </cell>
          <cell r="W123" t="str">
            <v>NM</v>
          </cell>
          <cell r="X123">
            <v>0.12382602600515825</v>
          </cell>
        </row>
        <row r="124">
          <cell r="A124" t="str">
            <v xml:space="preserve"> 2Q</v>
          </cell>
          <cell r="B124">
            <v>8.1067285382830548E-2</v>
          </cell>
          <cell r="C124">
            <v>2.6117843710823232E-2</v>
          </cell>
          <cell r="D124">
            <v>9.6754951085659638E-2</v>
          </cell>
          <cell r="E124">
            <v>1.9140257295262073E-2</v>
          </cell>
          <cell r="F124">
            <v>0.10511159107271421</v>
          </cell>
          <cell r="G124">
            <v>0.1706572392736623</v>
          </cell>
          <cell r="H124">
            <v>-0.44210526315789467</v>
          </cell>
          <cell r="I124" t="str">
            <v>NM</v>
          </cell>
          <cell r="J124" t="str">
            <v>NM</v>
          </cell>
          <cell r="L124" t="str">
            <v>NM</v>
          </cell>
          <cell r="M124" t="str">
            <v>NM</v>
          </cell>
          <cell r="N124">
            <v>0.12328132241619044</v>
          </cell>
          <cell r="O124">
            <v>-7.4459867722420539E-2</v>
          </cell>
          <cell r="P124">
            <v>3.9641943734015271E-2</v>
          </cell>
          <cell r="Q124">
            <v>0.14992870238337752</v>
          </cell>
          <cell r="R124">
            <v>-1.5069199384894334E-2</v>
          </cell>
          <cell r="S124">
            <v>0.15784165025314159</v>
          </cell>
          <cell r="U124">
            <v>0.15</v>
          </cell>
          <cell r="V124">
            <v>-1</v>
          </cell>
          <cell r="W124" t="str">
            <v>NM</v>
          </cell>
          <cell r="X124">
            <v>0.15784165025314159</v>
          </cell>
        </row>
        <row r="125">
          <cell r="A125" t="str">
            <v xml:space="preserve"> 3Q</v>
          </cell>
          <cell r="B125">
            <v>8.6377892684580515E-2</v>
          </cell>
          <cell r="C125">
            <v>0.10591083316522101</v>
          </cell>
          <cell r="D125">
            <v>8.1182593765090558E-2</v>
          </cell>
          <cell r="E125">
            <v>4.3139604553624852E-2</v>
          </cell>
          <cell r="F125">
            <v>6.8197317572175498E-3</v>
          </cell>
          <cell r="G125">
            <v>0.15802697699021365</v>
          </cell>
          <cell r="H125">
            <v>-0.61802575107296143</v>
          </cell>
          <cell r="I125" t="str">
            <v>NM</v>
          </cell>
          <cell r="J125" t="str">
            <v>NM</v>
          </cell>
          <cell r="L125" t="str">
            <v>NM</v>
          </cell>
          <cell r="M125" t="str">
            <v>NM</v>
          </cell>
          <cell r="N125">
            <v>0.16900633085604133</v>
          </cell>
          <cell r="O125">
            <v>0.19175454219394317</v>
          </cell>
          <cell r="P125">
            <v>0.39316860465116277</v>
          </cell>
          <cell r="Q125">
            <v>0.11663837011884502</v>
          </cell>
          <cell r="R125">
            <v>-1.5860552342505566E-2</v>
          </cell>
          <cell r="S125">
            <v>0.12767109052532627</v>
          </cell>
          <cell r="U125">
            <v>0.15</v>
          </cell>
          <cell r="V125" t="e">
            <v>#NULL!</v>
          </cell>
          <cell r="W125" t="str">
            <v>NM</v>
          </cell>
          <cell r="X125">
            <v>0.12767109052532627</v>
          </cell>
        </row>
        <row r="126">
          <cell r="A126" t="str">
            <v xml:space="preserve"> 4Q</v>
          </cell>
          <cell r="B126">
            <v>3.0507702815511739E-2</v>
          </cell>
          <cell r="C126">
            <v>-5.2270779777206511E-2</v>
          </cell>
          <cell r="D126">
            <v>5.4047468200204507E-2</v>
          </cell>
          <cell r="E126">
            <v>1.0990367992096926E-2</v>
          </cell>
          <cell r="F126">
            <v>-0.10069310743165183</v>
          </cell>
          <cell r="G126">
            <v>0.21350491213504838</v>
          </cell>
          <cell r="H126">
            <v>-1.1306818181818181</v>
          </cell>
          <cell r="I126" t="str">
            <v>NM</v>
          </cell>
          <cell r="J126" t="str">
            <v>NM</v>
          </cell>
          <cell r="L126" t="str">
            <v>NM</v>
          </cell>
          <cell r="M126" t="str">
            <v>NM</v>
          </cell>
          <cell r="N126">
            <v>0.18439815462043826</v>
          </cell>
          <cell r="O126">
            <v>4.0968588478223954E-2</v>
          </cell>
          <cell r="P126">
            <v>0.23292127521145098</v>
          </cell>
          <cell r="Q126">
            <v>0.17111823361823281</v>
          </cell>
          <cell r="R126">
            <v>-1.6110409025334942E-2</v>
          </cell>
          <cell r="S126">
            <v>0.19572687176615533</v>
          </cell>
          <cell r="U126">
            <v>0.15</v>
          </cell>
          <cell r="V126" t="e">
            <v>#NULL!</v>
          </cell>
          <cell r="W126" t="str">
            <v>NM</v>
          </cell>
          <cell r="X126">
            <v>0.19572687176615533</v>
          </cell>
        </row>
        <row r="128">
          <cell r="A128" t="str">
            <v>Year</v>
          </cell>
          <cell r="B128">
            <v>6.7934782608695454E-2</v>
          </cell>
          <cell r="C128">
            <v>3.5085107438836804E-2</v>
          </cell>
          <cell r="D128">
            <v>7.7100959607848213E-2</v>
          </cell>
          <cell r="E128">
            <v>3.7354700372418531E-2</v>
          </cell>
          <cell r="F128">
            <v>2.5705906032549207E-2</v>
          </cell>
          <cell r="G128">
            <v>0.14614976101964908</v>
          </cell>
          <cell r="H128">
            <v>-0.69689737470167068</v>
          </cell>
          <cell r="I128" t="str">
            <v>NM</v>
          </cell>
          <cell r="J128" t="str">
            <v>NM</v>
          </cell>
          <cell r="L128" t="str">
            <v>NM</v>
          </cell>
          <cell r="M128" t="str">
            <v>NM</v>
          </cell>
          <cell r="N128">
            <v>0.13826320501342848</v>
          </cell>
          <cell r="O128">
            <v>6.7510627303955257E-3</v>
          </cell>
          <cell r="P128">
            <v>0.14594769131417518</v>
          </cell>
          <cell r="Q128">
            <v>0.13607289126133121</v>
          </cell>
          <cell r="R128">
            <v>-1.3759422765866038E-2</v>
          </cell>
          <cell r="S128">
            <v>0.15708687678513303</v>
          </cell>
          <cell r="U128">
            <v>0.15</v>
          </cell>
          <cell r="V128" t="e">
            <v>#NULL!</v>
          </cell>
          <cell r="W128" t="str">
            <v>NM</v>
          </cell>
          <cell r="X128">
            <v>0.1511225114408799</v>
          </cell>
        </row>
        <row r="130">
          <cell r="A130">
            <v>1999</v>
          </cell>
        </row>
        <row r="131">
          <cell r="A131" t="str">
            <v xml:space="preserve"> 1Q</v>
          </cell>
          <cell r="B131">
            <v>2255.6</v>
          </cell>
          <cell r="C131">
            <v>493.5</v>
          </cell>
          <cell r="D131">
            <v>1762.1</v>
          </cell>
          <cell r="E131">
            <v>592.9</v>
          </cell>
          <cell r="F131">
            <v>413.1</v>
          </cell>
          <cell r="G131">
            <v>756.0999999999998</v>
          </cell>
          <cell r="H131">
            <v>-8.1999999999999957</v>
          </cell>
          <cell r="I131">
            <v>0</v>
          </cell>
          <cell r="J131">
            <v>0</v>
          </cell>
          <cell r="L131">
            <v>7</v>
          </cell>
          <cell r="M131">
            <v>-1.1999999999999957</v>
          </cell>
          <cell r="N131">
            <v>754.89999999999975</v>
          </cell>
          <cell r="O131">
            <v>0.22002914293283884</v>
          </cell>
          <cell r="P131">
            <v>166.1</v>
          </cell>
          <cell r="Q131">
            <v>588.79999999999973</v>
          </cell>
          <cell r="R131">
            <v>1114.7329999999999</v>
          </cell>
          <cell r="S131">
            <v>0.52819823222242435</v>
          </cell>
          <cell r="U131">
            <v>0.23</v>
          </cell>
          <cell r="V131">
            <v>0.52819823222242435</v>
          </cell>
          <cell r="W131" t="str">
            <v xml:space="preserve">       --</v>
          </cell>
          <cell r="X131">
            <v>0.52819823222242435</v>
          </cell>
        </row>
        <row r="132">
          <cell r="A132" t="str">
            <v xml:space="preserve"> 2Q</v>
          </cell>
          <cell r="B132">
            <v>2329.6999999999998</v>
          </cell>
          <cell r="C132">
            <v>491.1</v>
          </cell>
          <cell r="D132">
            <v>1838.6</v>
          </cell>
          <cell r="E132">
            <v>649.6</v>
          </cell>
          <cell r="F132">
            <v>460.5</v>
          </cell>
          <cell r="G132">
            <v>728.5</v>
          </cell>
          <cell r="H132">
            <v>-10.600000000000001</v>
          </cell>
          <cell r="I132">
            <v>0</v>
          </cell>
          <cell r="J132">
            <v>0</v>
          </cell>
          <cell r="L132">
            <v>9.1999999999999993</v>
          </cell>
          <cell r="M132">
            <v>-1.4000000000000021</v>
          </cell>
          <cell r="N132">
            <v>727.1</v>
          </cell>
          <cell r="O132">
            <v>0.22362811167652316</v>
          </cell>
          <cell r="P132">
            <v>162.6</v>
          </cell>
          <cell r="Q132">
            <v>564.5</v>
          </cell>
          <cell r="R132">
            <v>1108.057</v>
          </cell>
          <cell r="S132">
            <v>0.5094503261113823</v>
          </cell>
          <cell r="U132">
            <v>0.23</v>
          </cell>
          <cell r="V132">
            <v>0.5094503261113823</v>
          </cell>
          <cell r="W132" t="str">
            <v xml:space="preserve">       --</v>
          </cell>
          <cell r="X132">
            <v>0.5094503261113823</v>
          </cell>
        </row>
        <row r="133">
          <cell r="A133" t="str">
            <v xml:space="preserve"> 3Q</v>
          </cell>
          <cell r="B133">
            <v>2563.1999999999994</v>
          </cell>
          <cell r="C133">
            <v>548.20000000000005</v>
          </cell>
          <cell r="D133">
            <v>2014.9999999999993</v>
          </cell>
          <cell r="E133">
            <v>696.4</v>
          </cell>
          <cell r="F133">
            <v>442.9</v>
          </cell>
          <cell r="G133">
            <v>875.69999999999948</v>
          </cell>
          <cell r="H133">
            <v>-8.8999999999999986</v>
          </cell>
          <cell r="I133">
            <v>0</v>
          </cell>
          <cell r="J133">
            <v>0</v>
          </cell>
          <cell r="L133">
            <v>-17.399999999999999</v>
          </cell>
          <cell r="M133">
            <v>-26.299999999999997</v>
          </cell>
          <cell r="N133">
            <v>849.39999999999952</v>
          </cell>
          <cell r="O133">
            <v>0.22568872145043573</v>
          </cell>
          <cell r="P133">
            <v>191.7</v>
          </cell>
          <cell r="Q133">
            <v>657.69999999999959</v>
          </cell>
          <cell r="R133">
            <v>1100.4480000000001</v>
          </cell>
          <cell r="S133">
            <v>0.59766567797842296</v>
          </cell>
          <cell r="U133">
            <v>0.23</v>
          </cell>
          <cell r="V133">
            <v>0.59766567797842296</v>
          </cell>
          <cell r="W133" t="str">
            <v xml:space="preserve">       --</v>
          </cell>
          <cell r="X133">
            <v>0.59766567797842296</v>
          </cell>
        </row>
        <row r="134">
          <cell r="A134" t="str">
            <v xml:space="preserve"> 4Q</v>
          </cell>
          <cell r="B134">
            <v>2715.7999999999997</v>
          </cell>
          <cell r="C134">
            <v>553</v>
          </cell>
          <cell r="D134">
            <v>2162.7999999999997</v>
          </cell>
          <cell r="E134">
            <v>818.7</v>
          </cell>
          <cell r="F134">
            <v>467.1</v>
          </cell>
          <cell r="G134">
            <v>876.99999999999966</v>
          </cell>
          <cell r="H134">
            <v>2.2999999999999972</v>
          </cell>
          <cell r="I134">
            <v>0</v>
          </cell>
          <cell r="J134">
            <v>0</v>
          </cell>
          <cell r="L134">
            <v>-32.1</v>
          </cell>
          <cell r="M134">
            <v>-29.800000000000004</v>
          </cell>
          <cell r="N134">
            <v>847.1999999999997</v>
          </cell>
          <cell r="O134">
            <v>0.22367799811142594</v>
          </cell>
          <cell r="P134">
            <v>189.5</v>
          </cell>
          <cell r="Q134">
            <v>657.6999999999997</v>
          </cell>
          <cell r="R134">
            <v>1100.0840000000001</v>
          </cell>
          <cell r="S134">
            <v>0.59786343588307767</v>
          </cell>
          <cell r="U134">
            <v>0.23</v>
          </cell>
          <cell r="V134">
            <v>0.59786343588307767</v>
          </cell>
          <cell r="W134" t="str">
            <v xml:space="preserve">       --</v>
          </cell>
          <cell r="X134">
            <v>0.59786343588307767</v>
          </cell>
        </row>
        <row r="136">
          <cell r="A136" t="str">
            <v>Year</v>
          </cell>
          <cell r="B136">
            <v>9864.2999999999975</v>
          </cell>
          <cell r="C136">
            <v>2085.8000000000002</v>
          </cell>
          <cell r="D136">
            <v>7778.4999999999982</v>
          </cell>
          <cell r="E136">
            <v>2757.6000000000004</v>
          </cell>
          <cell r="F136">
            <v>1783.6</v>
          </cell>
          <cell r="G136">
            <v>3237.2999999999988</v>
          </cell>
          <cell r="H136">
            <v>-25.4</v>
          </cell>
          <cell r="I136">
            <v>0</v>
          </cell>
          <cell r="J136">
            <v>0</v>
          </cell>
          <cell r="L136">
            <v>-33.299999999999997</v>
          </cell>
          <cell r="M136">
            <v>-58.7</v>
          </cell>
          <cell r="N136">
            <v>3178.599999999999</v>
          </cell>
          <cell r="O136">
            <v>0.22330585792487265</v>
          </cell>
          <cell r="P136">
            <v>709.8</v>
          </cell>
          <cell r="Q136">
            <v>2468.7999999999993</v>
          </cell>
          <cell r="R136">
            <v>1106.0550000000001</v>
          </cell>
          <cell r="S136">
            <v>2.2331776721953069</v>
          </cell>
          <cell r="U136">
            <v>0.92</v>
          </cell>
          <cell r="V136">
            <v>2.2331776721953069</v>
          </cell>
          <cell r="W136" t="str">
            <v xml:space="preserve">       --</v>
          </cell>
          <cell r="X136">
            <v>2.2331776721953069</v>
          </cell>
        </row>
        <row r="137">
          <cell r="C137" t="str">
            <v xml:space="preserve">  </v>
          </cell>
        </row>
        <row r="138">
          <cell r="A138" t="str">
            <v>2000/99</v>
          </cell>
        </row>
        <row r="139">
          <cell r="A139" t="str">
            <v xml:space="preserve"> 1QA</v>
          </cell>
          <cell r="B139">
            <v>0.1268886327363008</v>
          </cell>
          <cell r="C139">
            <v>5.5521783181357698E-2</v>
          </cell>
          <cell r="D139">
            <v>0.14687588672606555</v>
          </cell>
          <cell r="E139">
            <v>0.16090403103390116</v>
          </cell>
          <cell r="F139">
            <v>0.10990075042362624</v>
          </cell>
          <cell r="G139">
            <v>0.15607723846052135</v>
          </cell>
          <cell r="H139">
            <v>-2.5731707317073189</v>
          </cell>
          <cell r="I139" t="str">
            <v>NM</v>
          </cell>
          <cell r="J139" t="str">
            <v>NM</v>
          </cell>
          <cell r="L139" t="str">
            <v>NM</v>
          </cell>
          <cell r="M139" t="str">
            <v>NM</v>
          </cell>
          <cell r="N139">
            <v>0.17579811895615349</v>
          </cell>
          <cell r="O139">
            <v>-3.4592213871142974E-7</v>
          </cell>
          <cell r="P139">
            <v>0.17579771222155349</v>
          </cell>
          <cell r="Q139">
            <v>0.17579823369565273</v>
          </cell>
          <cell r="R139">
            <v>-1.5279892135605433E-2</v>
          </cell>
          <cell r="S139">
            <v>0.19404308321240382</v>
          </cell>
          <cell r="V139">
            <v>0.19404308321240382</v>
          </cell>
          <cell r="W139" t="e">
            <v>#VALUE!</v>
          </cell>
          <cell r="X139">
            <v>0.19404308321240382</v>
          </cell>
        </row>
        <row r="140">
          <cell r="A140" t="str">
            <v xml:space="preserve"> 2QA</v>
          </cell>
          <cell r="B140">
            <v>0.12520925441043906</v>
          </cell>
          <cell r="C140">
            <v>1.2217470983506562E-3</v>
          </cell>
          <cell r="D140">
            <v>0.15832698792559552</v>
          </cell>
          <cell r="E140">
            <v>0.22444581280788167</v>
          </cell>
          <cell r="F140">
            <v>0.10488599348534211</v>
          </cell>
          <cell r="G140">
            <v>0.13315030885380885</v>
          </cell>
          <cell r="H140">
            <v>-2.283018867924528</v>
          </cell>
          <cell r="I140" t="str">
            <v>NM</v>
          </cell>
          <cell r="J140" t="str">
            <v>NM</v>
          </cell>
          <cell r="L140" t="str">
            <v>NM</v>
          </cell>
          <cell r="M140" t="str">
            <v>NM</v>
          </cell>
          <cell r="N140">
            <v>0.17452895062577323</v>
          </cell>
          <cell r="O140">
            <v>-1.6119138357659657E-2</v>
          </cell>
          <cell r="P140">
            <v>0.15559655596555966</v>
          </cell>
          <cell r="Q140">
            <v>0.17998228520814852</v>
          </cell>
          <cell r="R140">
            <v>-1.0429968855392824E-2</v>
          </cell>
          <cell r="S140">
            <v>0.19241918011936665</v>
          </cell>
          <cell r="V140">
            <v>0.19241918011936665</v>
          </cell>
          <cell r="W140" t="e">
            <v>#VALUE!</v>
          </cell>
          <cell r="X140">
            <v>0.19241918011936665</v>
          </cell>
        </row>
        <row r="141">
          <cell r="A141" t="str">
            <v xml:space="preserve"> 3QA</v>
          </cell>
          <cell r="B141">
            <v>9.6984238451935267E-2</v>
          </cell>
          <cell r="C141">
            <v>-0.10598321780372133</v>
          </cell>
          <cell r="D141">
            <v>0.15220347394540967</v>
          </cell>
          <cell r="E141">
            <v>0.14919586444572075</v>
          </cell>
          <cell r="F141">
            <v>0.14269586814179291</v>
          </cell>
          <cell r="G141">
            <v>0.15940390544707128</v>
          </cell>
          <cell r="H141">
            <v>-3.7191011235955056</v>
          </cell>
          <cell r="I141" t="str">
            <v>NM</v>
          </cell>
          <cell r="J141" t="str">
            <v>NM</v>
          </cell>
          <cell r="L141" t="str">
            <v>NM</v>
          </cell>
          <cell r="M141" t="str">
            <v>NM</v>
          </cell>
          <cell r="N141">
            <v>0.1752884388980458</v>
          </cell>
          <cell r="O141">
            <v>-2.5311686740194572E-2</v>
          </cell>
          <cell r="P141">
            <v>0.14553990610328649</v>
          </cell>
          <cell r="Q141">
            <v>0.18395925193857399</v>
          </cell>
          <cell r="R141">
            <v>-2.0428043851231648E-3</v>
          </cell>
          <cell r="S141">
            <v>0.18638279992469475</v>
          </cell>
          <cell r="V141">
            <v>0.18638279992469475</v>
          </cell>
          <cell r="W141" t="e">
            <v>#VALUE!</v>
          </cell>
          <cell r="X141">
            <v>0.18638279992469475</v>
          </cell>
        </row>
        <row r="142">
          <cell r="A142" t="str">
            <v xml:space="preserve"> 4QA</v>
          </cell>
          <cell r="B142">
            <v>9.66197805434863E-2</v>
          </cell>
          <cell r="C142">
            <v>2.2061482820976641E-2</v>
          </cell>
          <cell r="D142">
            <v>0.11568337340484569</v>
          </cell>
          <cell r="E142">
            <v>0.15341394894344673</v>
          </cell>
          <cell r="F142">
            <v>0.16698779704560041</v>
          </cell>
          <cell r="G142">
            <v>5.3135689851767864E-2</v>
          </cell>
          <cell r="H142" t="str">
            <v>NM</v>
          </cell>
          <cell r="I142" t="str">
            <v>NM</v>
          </cell>
          <cell r="J142" t="str">
            <v>NM</v>
          </cell>
          <cell r="L142" t="str">
            <v>NM</v>
          </cell>
          <cell r="M142" t="str">
            <v>NM</v>
          </cell>
          <cell r="N142">
            <v>0.16170915958451415</v>
          </cell>
          <cell r="O142">
            <v>-1.7006539739493842E-2</v>
          </cell>
          <cell r="P142">
            <v>0.14195250659630609</v>
          </cell>
          <cell r="Q142">
            <v>0.16740155085905495</v>
          </cell>
          <cell r="R142">
            <v>-3.3488351798589555E-3</v>
          </cell>
          <cell r="S142">
            <v>0.17132412228678651</v>
          </cell>
          <cell r="V142">
            <v>0.17132412228678651</v>
          </cell>
          <cell r="W142" t="e">
            <v>#VALUE!</v>
          </cell>
          <cell r="X142">
            <v>0.17132412228678651</v>
          </cell>
        </row>
        <row r="144">
          <cell r="A144" t="str">
            <v>Year</v>
          </cell>
          <cell r="B144">
            <v>0.11038796468071732</v>
          </cell>
          <cell r="C144">
            <v>-8.5818391025028976E-3</v>
          </cell>
          <cell r="D144">
            <v>0.14228964453300783</v>
          </cell>
          <cell r="E144">
            <v>0.17069190600522188</v>
          </cell>
          <cell r="F144">
            <v>0.13169993272034097</v>
          </cell>
          <cell r="G144">
            <v>0.12393043585704148</v>
          </cell>
          <cell r="H144" t="str">
            <v>NM</v>
          </cell>
          <cell r="I144" t="str">
            <v>NM</v>
          </cell>
          <cell r="J144" t="str">
            <v>NM</v>
          </cell>
          <cell r="L144" t="str">
            <v>NM</v>
          </cell>
          <cell r="M144" t="str">
            <v>NM</v>
          </cell>
          <cell r="N144">
            <v>0.17161643490845047</v>
          </cell>
          <cell r="O144">
            <v>-1.4926823343105673E-2</v>
          </cell>
          <cell r="P144">
            <v>0.15412792335869271</v>
          </cell>
          <cell r="Q144">
            <v>0.17664452365521732</v>
          </cell>
          <cell r="R144">
            <v>-7.5538739031965115E-3</v>
          </cell>
          <cell r="S144">
            <v>0.18554021188242481</v>
          </cell>
          <cell r="V144" t="e">
            <v>#NULL!</v>
          </cell>
          <cell r="W144" t="str">
            <v>NM</v>
          </cell>
          <cell r="X144">
            <v>0.18554021188242481</v>
          </cell>
        </row>
        <row r="146">
          <cell r="A146">
            <v>2000</v>
          </cell>
        </row>
        <row r="147">
          <cell r="A147" t="str">
            <v xml:space="preserve"> 1QA</v>
          </cell>
          <cell r="B147">
            <v>2541.81</v>
          </cell>
          <cell r="C147">
            <v>520.9</v>
          </cell>
          <cell r="D147">
            <v>2020.9099999999999</v>
          </cell>
          <cell r="E147">
            <v>688.3</v>
          </cell>
          <cell r="F147">
            <v>458.5</v>
          </cell>
          <cell r="G147">
            <v>874.1099999999999</v>
          </cell>
          <cell r="H147">
            <v>12.900000000000006</v>
          </cell>
          <cell r="I147">
            <v>0</v>
          </cell>
          <cell r="J147">
            <v>0</v>
          </cell>
          <cell r="L147">
            <v>0.6</v>
          </cell>
          <cell r="M147">
            <v>13.500000000000005</v>
          </cell>
          <cell r="N147">
            <v>887.6099999999999</v>
          </cell>
          <cell r="O147">
            <v>0.22002906681988715</v>
          </cell>
          <cell r="P147">
            <v>195.3</v>
          </cell>
          <cell r="Q147">
            <v>692.31</v>
          </cell>
          <cell r="R147">
            <v>1097.7</v>
          </cell>
          <cell r="S147">
            <v>0.63069144575020486</v>
          </cell>
          <cell r="T147">
            <v>0.41224595918013618</v>
          </cell>
          <cell r="U147">
            <v>0.26</v>
          </cell>
          <cell r="V147">
            <v>0.63069144575020486</v>
          </cell>
          <cell r="W147" t="str">
            <v xml:space="preserve">       --</v>
          </cell>
          <cell r="X147">
            <v>0.63069144575020486</v>
          </cell>
        </row>
        <row r="148">
          <cell r="A148" t="str">
            <v xml:space="preserve"> 2QA</v>
          </cell>
          <cell r="B148">
            <v>2621.3999999999996</v>
          </cell>
          <cell r="C148">
            <v>491.7</v>
          </cell>
          <cell r="D148">
            <v>2129.6999999999998</v>
          </cell>
          <cell r="E148">
            <v>795.4</v>
          </cell>
          <cell r="F148">
            <v>508.8</v>
          </cell>
          <cell r="G148">
            <v>825.49999999999977</v>
          </cell>
          <cell r="H148">
            <v>13.600000000000001</v>
          </cell>
          <cell r="I148">
            <v>0</v>
          </cell>
          <cell r="J148">
            <v>0</v>
          </cell>
          <cell r="L148">
            <v>14.9</v>
          </cell>
          <cell r="M148">
            <v>28.5</v>
          </cell>
          <cell r="N148">
            <v>853.99999999999977</v>
          </cell>
          <cell r="O148">
            <v>0.22002341920374713</v>
          </cell>
          <cell r="P148">
            <v>187.9</v>
          </cell>
          <cell r="Q148">
            <v>666.0999999999998</v>
          </cell>
          <cell r="R148">
            <v>1096.5</v>
          </cell>
          <cell r="S148">
            <v>0.6074783401732784</v>
          </cell>
          <cell r="T148">
            <v>0.42799879897913246</v>
          </cell>
          <cell r="U148">
            <v>0.26</v>
          </cell>
          <cell r="V148">
            <v>0.6074783401732784</v>
          </cell>
          <cell r="W148" t="str">
            <v xml:space="preserve">       --</v>
          </cell>
          <cell r="X148">
            <v>0.6074783401732784</v>
          </cell>
        </row>
        <row r="149">
          <cell r="A149" t="str">
            <v xml:space="preserve"> 3QA</v>
          </cell>
          <cell r="B149">
            <v>2811.7899999999995</v>
          </cell>
          <cell r="C149">
            <v>490.1</v>
          </cell>
          <cell r="D149">
            <v>2321.6899999999996</v>
          </cell>
          <cell r="E149">
            <v>800.3</v>
          </cell>
          <cell r="F149">
            <v>506.1</v>
          </cell>
          <cell r="G149">
            <v>1015.2899999999996</v>
          </cell>
          <cell r="H149">
            <v>24.199999999999996</v>
          </cell>
          <cell r="I149">
            <v>0</v>
          </cell>
          <cell r="J149">
            <v>0</v>
          </cell>
          <cell r="L149">
            <v>-41.2</v>
          </cell>
          <cell r="M149">
            <v>-17.000000000000007</v>
          </cell>
          <cell r="N149">
            <v>998.28999999999962</v>
          </cell>
          <cell r="O149">
            <v>0.21997615923228728</v>
          </cell>
          <cell r="P149">
            <v>219.6</v>
          </cell>
          <cell r="Q149">
            <v>778.6899999999996</v>
          </cell>
          <cell r="R149">
            <v>1098.2</v>
          </cell>
          <cell r="S149">
            <v>0.70906028045893243</v>
          </cell>
          <cell r="T149">
            <v>0.36668250523314816</v>
          </cell>
          <cell r="U149">
            <v>0.26</v>
          </cell>
          <cell r="V149">
            <v>0.70906028045893243</v>
          </cell>
          <cell r="W149" t="str">
            <v xml:space="preserve">       --</v>
          </cell>
          <cell r="X149">
            <v>0.70906028045893243</v>
          </cell>
        </row>
        <row r="150">
          <cell r="A150" t="str">
            <v xml:space="preserve"> 4QA</v>
          </cell>
          <cell r="B150">
            <v>2978.2</v>
          </cell>
          <cell r="C150">
            <v>565.20000000000005</v>
          </cell>
          <cell r="D150">
            <v>2413</v>
          </cell>
          <cell r="E150">
            <v>944.3</v>
          </cell>
          <cell r="F150">
            <v>545.1</v>
          </cell>
          <cell r="G150">
            <v>923.6</v>
          </cell>
          <cell r="H150">
            <v>-45.9</v>
          </cell>
          <cell r="I150">
            <v>0</v>
          </cell>
          <cell r="J150">
            <v>0</v>
          </cell>
          <cell r="L150">
            <v>106.5</v>
          </cell>
          <cell r="M150">
            <v>60.6</v>
          </cell>
          <cell r="N150">
            <v>984.2</v>
          </cell>
          <cell r="O150">
            <v>0.21987400934769355</v>
          </cell>
          <cell r="P150">
            <v>216.4</v>
          </cell>
          <cell r="Q150">
            <v>767.80000000000007</v>
          </cell>
          <cell r="R150">
            <v>1096.4000000000001</v>
          </cell>
          <cell r="S150">
            <v>0.70029186428310841</v>
          </cell>
          <cell r="T150">
            <v>0.37127376921073196</v>
          </cell>
          <cell r="U150">
            <v>0.26</v>
          </cell>
          <cell r="V150">
            <v>0.70029186428310841</v>
          </cell>
          <cell r="W150" t="str">
            <v xml:space="preserve">       --</v>
          </cell>
          <cell r="X150">
            <v>0.70029186428310841</v>
          </cell>
        </row>
        <row r="152">
          <cell r="A152" t="str">
            <v>Year</v>
          </cell>
          <cell r="B152">
            <v>10953.199999999997</v>
          </cell>
          <cell r="C152">
            <v>2067.8999999999996</v>
          </cell>
          <cell r="D152">
            <v>8885.2999999999993</v>
          </cell>
          <cell r="E152">
            <v>3228.3</v>
          </cell>
          <cell r="F152">
            <v>2018.5</v>
          </cell>
          <cell r="G152">
            <v>3638.4999999999991</v>
          </cell>
          <cell r="H152">
            <v>4.8000000000000043</v>
          </cell>
          <cell r="I152">
            <v>0</v>
          </cell>
          <cell r="J152">
            <v>0</v>
          </cell>
          <cell r="L152">
            <v>80.8</v>
          </cell>
          <cell r="M152">
            <v>85.6</v>
          </cell>
          <cell r="N152">
            <v>3724.0999999999995</v>
          </cell>
          <cell r="O152">
            <v>0.21997261083214742</v>
          </cell>
          <cell r="P152">
            <v>819.2</v>
          </cell>
          <cell r="Q152">
            <v>2904.8999999999996</v>
          </cell>
          <cell r="R152">
            <v>1097.7</v>
          </cell>
          <cell r="S152">
            <v>2.6475219306655244</v>
          </cell>
          <cell r="T152">
            <v>0.39282016437860767</v>
          </cell>
          <cell r="U152">
            <v>1.04</v>
          </cell>
          <cell r="V152">
            <v>2.6475219306655244</v>
          </cell>
          <cell r="W152" t="str">
            <v xml:space="preserve">       --</v>
          </cell>
          <cell r="X152">
            <v>2.6475219306655244</v>
          </cell>
        </row>
        <row r="154">
          <cell r="A154" t="str">
            <v>2001/00</v>
          </cell>
        </row>
        <row r="155">
          <cell r="A155" t="str">
            <v xml:space="preserve"> 1QA</v>
          </cell>
          <cell r="B155">
            <v>0.10381971901912435</v>
          </cell>
          <cell r="C155">
            <v>2.68765598003462E-3</v>
          </cell>
          <cell r="D155">
            <v>0.12988703108995492</v>
          </cell>
          <cell r="E155">
            <v>0.11710010169984031</v>
          </cell>
          <cell r="F155">
            <v>0.12431842966194107</v>
          </cell>
          <cell r="G155">
            <v>0.142876754641865</v>
          </cell>
          <cell r="H155">
            <v>1.3720930232558128</v>
          </cell>
          <cell r="I155" t="str">
            <v>NM</v>
          </cell>
          <cell r="J155" t="str">
            <v>NM</v>
          </cell>
          <cell r="L155">
            <v>7</v>
          </cell>
          <cell r="M155">
            <v>1.6222222222222209</v>
          </cell>
          <cell r="N155">
            <v>0.16537668570656106</v>
          </cell>
          <cell r="O155">
            <v>8.4942791320763433E-6</v>
          </cell>
          <cell r="P155">
            <v>0.16538658474142331</v>
          </cell>
          <cell r="Q155">
            <v>0.16537389319813456</v>
          </cell>
          <cell r="R155">
            <v>-5.1006650268743403E-3</v>
          </cell>
          <cell r="S155">
            <v>0.17134854978027891</v>
          </cell>
          <cell r="U155">
            <v>7.6923076923077094E-2</v>
          </cell>
          <cell r="V155">
            <v>0.17134854978027891</v>
          </cell>
          <cell r="W155" t="e">
            <v>#VALUE!</v>
          </cell>
          <cell r="X155">
            <v>0.17134854978027891</v>
          </cell>
        </row>
        <row r="156">
          <cell r="A156" t="str">
            <v xml:space="preserve"> 2QA</v>
          </cell>
          <cell r="B156">
            <v>0.15720607309071477</v>
          </cell>
          <cell r="C156">
            <v>6.2029692902176192E-2</v>
          </cell>
          <cell r="D156">
            <v>0.17918016622059429</v>
          </cell>
          <cell r="E156">
            <v>0.13138043751571526</v>
          </cell>
          <cell r="F156">
            <v>0.10790094339622658</v>
          </cell>
          <cell r="G156">
            <v>0.26917019987886071</v>
          </cell>
          <cell r="H156">
            <v>1.1470588235294117</v>
          </cell>
          <cell r="I156" t="str">
            <v>NM</v>
          </cell>
          <cell r="J156" t="str">
            <v>NM</v>
          </cell>
          <cell r="L156" t="str">
            <v>NM</v>
          </cell>
          <cell r="M156">
            <v>-0.52982456140350886</v>
          </cell>
          <cell r="N156">
            <v>0.24250585480093623</v>
          </cell>
          <cell r="O156">
            <v>-2.863366557709357E-4</v>
          </cell>
          <cell r="P156">
            <v>0.24215007982969672</v>
          </cell>
          <cell r="Q156">
            <v>0.24260621528298976</v>
          </cell>
          <cell r="R156">
            <v>-3.7674418604651816E-3</v>
          </cell>
          <cell r="S156">
            <v>0.24730536573062634</v>
          </cell>
          <cell r="U156">
            <v>0</v>
          </cell>
          <cell r="V156">
            <v>0.24730536573062634</v>
          </cell>
          <cell r="W156" t="e">
            <v>#VALUE!</v>
          </cell>
          <cell r="X156">
            <v>0.24730536573062634</v>
          </cell>
        </row>
        <row r="157">
          <cell r="A157" t="str">
            <v xml:space="preserve"> 3QA</v>
          </cell>
          <cell r="B157">
            <v>2.2266954502292435E-2</v>
          </cell>
          <cell r="C157">
            <v>0.12017955519281776</v>
          </cell>
          <cell r="D157">
            <v>1.5979738897098361E-3</v>
          </cell>
          <cell r="E157">
            <v>8.1969261526927406E-2</v>
          </cell>
          <cell r="F157">
            <v>0.11835605611539224</v>
          </cell>
          <cell r="G157">
            <v>-0.11995587467620061</v>
          </cell>
          <cell r="H157">
            <v>0.36776859504132253</v>
          </cell>
          <cell r="I157" t="str">
            <v>NM</v>
          </cell>
          <cell r="J157" t="str">
            <v>NM</v>
          </cell>
          <cell r="L157" t="str">
            <v>NM</v>
          </cell>
          <cell r="M157" t="str">
            <v>NM</v>
          </cell>
          <cell r="N157">
            <v>-7.1211772130342466E-2</v>
          </cell>
          <cell r="O157">
            <v>1.8682489615562403E-4</v>
          </cell>
          <cell r="P157">
            <v>-7.1038251366120186E-2</v>
          </cell>
          <cell r="Q157">
            <v>-7.1260707084975561E-2</v>
          </cell>
          <cell r="R157">
            <v>-7.5651065379712668E-3</v>
          </cell>
          <cell r="S157">
            <v>-6.4181137691367796E-2</v>
          </cell>
          <cell r="U157">
            <v>0</v>
          </cell>
          <cell r="V157">
            <v>-6.4181137691367796E-2</v>
          </cell>
          <cell r="W157" t="e">
            <v>#VALUE!</v>
          </cell>
          <cell r="X157">
            <v>-6.4181137691367796E-2</v>
          </cell>
        </row>
        <row r="158">
          <cell r="A158" t="str">
            <v xml:space="preserve"> 4QA</v>
          </cell>
          <cell r="B158">
            <v>-5.0164528910079609E-2</v>
          </cell>
          <cell r="C158">
            <v>2.6539278131634259E-3</v>
          </cell>
          <cell r="D158">
            <v>-6.253626191462891E-2</v>
          </cell>
          <cell r="E158">
            <v>-6.5233506300963584E-2</v>
          </cell>
          <cell r="F158">
            <v>8.2186754723903688E-2</v>
          </cell>
          <cell r="G158">
            <v>-0.14519272412299666</v>
          </cell>
          <cell r="H158">
            <v>-1.925925925925926</v>
          </cell>
          <cell r="I158" t="str">
            <v>NM</v>
          </cell>
          <cell r="J158" t="str">
            <v>NM</v>
          </cell>
          <cell r="L158" t="str">
            <v>NM</v>
          </cell>
          <cell r="M158">
            <v>-0.14686468646864681</v>
          </cell>
          <cell r="N158">
            <v>-0.14529567161146073</v>
          </cell>
          <cell r="O158">
            <v>7.6765170432468999E-4</v>
          </cell>
          <cell r="P158">
            <v>-0.14463955637707948</v>
          </cell>
          <cell r="Q158">
            <v>-0.14548059390466228</v>
          </cell>
          <cell r="R158">
            <v>-5.4377964246624666E-3</v>
          </cell>
          <cell r="S158">
            <v>-0.14080848535824297</v>
          </cell>
          <cell r="U158">
            <v>0</v>
          </cell>
          <cell r="V158">
            <v>-0.14080848535824297</v>
          </cell>
          <cell r="W158" t="e">
            <v>#VALUE!</v>
          </cell>
          <cell r="X158">
            <v>-0.14080848535824297</v>
          </cell>
        </row>
        <row r="160">
          <cell r="A160" t="str">
            <v>2001/00A</v>
          </cell>
          <cell r="B160">
            <v>5.3792498995727522E-2</v>
          </cell>
          <cell r="C160">
            <v>4.4634653513226076E-2</v>
          </cell>
          <cell r="D160">
            <v>5.5923829246058265E-2</v>
          </cell>
          <cell r="E160">
            <v>5.8575720967691813E-2</v>
          </cell>
          <cell r="F160">
            <v>0.10730740648996773</v>
          </cell>
          <cell r="G160">
            <v>2.5065274151436362E-2</v>
          </cell>
          <cell r="H160" t="str">
            <v>NM</v>
          </cell>
          <cell r="I160" t="str">
            <v>NM</v>
          </cell>
          <cell r="J160" t="str">
            <v>NM</v>
          </cell>
          <cell r="L160">
            <v>-1.0148514851485149</v>
          </cell>
          <cell r="M160">
            <v>0.56775700934579432</v>
          </cell>
          <cell r="N160">
            <v>3.7539271233318294E-2</v>
          </cell>
          <cell r="O160">
            <v>1.7392626398337271E-4</v>
          </cell>
          <cell r="P160">
            <v>3.7719726562499972E-2</v>
          </cell>
          <cell r="Q160">
            <v>3.752280629281559E-2</v>
          </cell>
          <cell r="R160">
            <v>-6.2922474264372344E-3</v>
          </cell>
          <cell r="S160">
            <v>4.3129155662702347E-2</v>
          </cell>
          <cell r="U160">
            <v>1.9230769230769246E-2</v>
          </cell>
          <cell r="V160" t="e">
            <v>#NULL!</v>
          </cell>
          <cell r="W160" t="str">
            <v>NM</v>
          </cell>
          <cell r="X160">
            <v>4.3129155662702347E-2</v>
          </cell>
        </row>
        <row r="162">
          <cell r="A162">
            <v>2001</v>
          </cell>
        </row>
        <row r="163">
          <cell r="A163" t="str">
            <v xml:space="preserve"> 1QA</v>
          </cell>
          <cell r="B163">
            <v>2805.7000000000003</v>
          </cell>
          <cell r="C163">
            <v>522.29999999999995</v>
          </cell>
          <cell r="D163">
            <v>2283.4000000000005</v>
          </cell>
          <cell r="E163">
            <v>768.9</v>
          </cell>
          <cell r="F163">
            <v>515.5</v>
          </cell>
          <cell r="G163">
            <v>999.00000000000045</v>
          </cell>
          <cell r="H163">
            <v>30.6</v>
          </cell>
          <cell r="I163">
            <v>0</v>
          </cell>
          <cell r="J163">
            <v>0</v>
          </cell>
          <cell r="L163">
            <v>4.8</v>
          </cell>
          <cell r="M163">
            <v>35.4</v>
          </cell>
          <cell r="N163">
            <v>1034.4000000000005</v>
          </cell>
          <cell r="O163">
            <v>0.22003093580819788</v>
          </cell>
          <cell r="P163">
            <v>227.6</v>
          </cell>
          <cell r="Q163">
            <v>806.80000000000052</v>
          </cell>
          <cell r="R163">
            <v>1092.1010000000001</v>
          </cell>
          <cell r="S163">
            <v>0.73875951033832987</v>
          </cell>
          <cell r="T163">
            <v>0.37901373326722843</v>
          </cell>
          <cell r="U163">
            <v>0.28000000000000003</v>
          </cell>
          <cell r="V163">
            <v>0.73875951033832987</v>
          </cell>
          <cell r="W163" t="str">
            <v xml:space="preserve">       --</v>
          </cell>
          <cell r="X163">
            <v>0.73875951033832987</v>
          </cell>
        </row>
        <row r="164">
          <cell r="A164" t="str">
            <v xml:space="preserve"> 2QA</v>
          </cell>
          <cell r="B164">
            <v>3033.4999999999991</v>
          </cell>
          <cell r="C164">
            <v>522.20000000000005</v>
          </cell>
          <cell r="D164">
            <v>2511.2999999999993</v>
          </cell>
          <cell r="E164">
            <v>899.9</v>
          </cell>
          <cell r="F164">
            <v>563.70000000000005</v>
          </cell>
          <cell r="G164">
            <v>1047.6999999999991</v>
          </cell>
          <cell r="H164">
            <v>29.2</v>
          </cell>
          <cell r="I164">
            <v>0</v>
          </cell>
          <cell r="J164">
            <v>0</v>
          </cell>
          <cell r="L164">
            <v>-15.8</v>
          </cell>
          <cell r="M164">
            <v>13.399999999999999</v>
          </cell>
          <cell r="N164">
            <v>1061.0999999999992</v>
          </cell>
          <cell r="O164">
            <v>0.21996041843370104</v>
          </cell>
          <cell r="P164">
            <v>233.4</v>
          </cell>
          <cell r="Q164">
            <v>827.69999999999925</v>
          </cell>
          <cell r="R164">
            <v>1092.3689999999999</v>
          </cell>
          <cell r="S164">
            <v>0.75771099326326485</v>
          </cell>
          <cell r="T164">
            <v>0.34313874592243593</v>
          </cell>
          <cell r="U164">
            <v>0.26</v>
          </cell>
          <cell r="V164">
            <v>0.75771099326326485</v>
          </cell>
          <cell r="W164" t="str">
            <v xml:space="preserve">       --</v>
          </cell>
          <cell r="X164">
            <v>0.75771099326326485</v>
          </cell>
        </row>
        <row r="165">
          <cell r="A165" t="str">
            <v xml:space="preserve"> 3QA</v>
          </cell>
          <cell r="B165">
            <v>2874.4</v>
          </cell>
          <cell r="C165">
            <v>549</v>
          </cell>
          <cell r="D165">
            <v>2325.4</v>
          </cell>
          <cell r="E165">
            <v>865.9</v>
          </cell>
          <cell r="F165">
            <v>566</v>
          </cell>
          <cell r="G165">
            <v>893.5</v>
          </cell>
          <cell r="H165">
            <v>33.1</v>
          </cell>
          <cell r="I165">
            <v>0</v>
          </cell>
          <cell r="J165">
            <v>0</v>
          </cell>
          <cell r="L165">
            <v>0.6</v>
          </cell>
          <cell r="M165">
            <v>33.700000000000003</v>
          </cell>
          <cell r="N165">
            <v>927.2</v>
          </cell>
          <cell r="O165">
            <v>0.22001725625539256</v>
          </cell>
          <cell r="P165">
            <v>204</v>
          </cell>
          <cell r="Q165">
            <v>723.2</v>
          </cell>
          <cell r="R165">
            <v>1089.8920000000001</v>
          </cell>
          <cell r="S165">
            <v>0.66355198496731782</v>
          </cell>
          <cell r="T165">
            <v>0.39183064159292041</v>
          </cell>
          <cell r="U165">
            <v>0.26</v>
          </cell>
          <cell r="V165">
            <v>0.66355198496731782</v>
          </cell>
          <cell r="W165" t="str">
            <v xml:space="preserve">       --</v>
          </cell>
          <cell r="X165">
            <v>0.66355198496731782</v>
          </cell>
        </row>
        <row r="166">
          <cell r="A166" t="str">
            <v xml:space="preserve"> 4QA</v>
          </cell>
          <cell r="B166">
            <v>2828.8000000000006</v>
          </cell>
          <cell r="C166">
            <v>566.70000000000005</v>
          </cell>
          <cell r="D166">
            <v>2262.1000000000004</v>
          </cell>
          <cell r="E166">
            <v>882.7</v>
          </cell>
          <cell r="F166">
            <v>589.9</v>
          </cell>
          <cell r="G166">
            <v>789.50000000000034</v>
          </cell>
          <cell r="H166">
            <v>42.5</v>
          </cell>
          <cell r="I166">
            <v>0</v>
          </cell>
          <cell r="J166">
            <v>0</v>
          </cell>
          <cell r="L166">
            <v>9.1999999999999993</v>
          </cell>
          <cell r="M166">
            <v>51.7</v>
          </cell>
          <cell r="N166">
            <v>841.20000000000039</v>
          </cell>
          <cell r="O166">
            <v>0.22004279600570603</v>
          </cell>
          <cell r="P166">
            <v>185.1</v>
          </cell>
          <cell r="Q166">
            <v>656.10000000000036</v>
          </cell>
          <cell r="R166">
            <v>1090.4380000000001</v>
          </cell>
          <cell r="S166">
            <v>0.60168482756470365</v>
          </cell>
          <cell r="T166">
            <v>0.43211992074378885</v>
          </cell>
          <cell r="U166">
            <v>0.26</v>
          </cell>
          <cell r="V166">
            <v>0.60168482756470365</v>
          </cell>
          <cell r="W166" t="str">
            <v xml:space="preserve">       --</v>
          </cell>
          <cell r="X166">
            <v>0.60168482756470365</v>
          </cell>
        </row>
        <row r="168">
          <cell r="A168" t="str">
            <v>Year</v>
          </cell>
          <cell r="B168">
            <v>11542.4</v>
          </cell>
          <cell r="C168">
            <v>2160.1999999999998</v>
          </cell>
          <cell r="D168">
            <v>9382.2000000000007</v>
          </cell>
          <cell r="E168">
            <v>3417.3999999999996</v>
          </cell>
          <cell r="F168">
            <v>2235.1</v>
          </cell>
          <cell r="G168">
            <v>3729.7000000000003</v>
          </cell>
          <cell r="H168">
            <v>135.4</v>
          </cell>
          <cell r="I168">
            <v>0</v>
          </cell>
          <cell r="J168">
            <v>0</v>
          </cell>
          <cell r="L168">
            <v>-1.2000000000000011</v>
          </cell>
          <cell r="M168">
            <v>134.19999999999999</v>
          </cell>
          <cell r="N168">
            <v>3863.9</v>
          </cell>
          <cell r="O168">
            <v>0.22001086984652812</v>
          </cell>
          <cell r="P168">
            <v>850.1</v>
          </cell>
          <cell r="Q168">
            <v>3013.8999999999996</v>
          </cell>
          <cell r="R168">
            <v>1090.7929999999999</v>
          </cell>
          <cell r="S168">
            <v>2.7617073161336161</v>
          </cell>
          <cell r="T168">
            <v>0.38382054238969743</v>
          </cell>
          <cell r="U168">
            <v>1.06</v>
          </cell>
          <cell r="V168">
            <v>2.7617073161336161</v>
          </cell>
          <cell r="W168" t="str">
            <v xml:space="preserve">       --</v>
          </cell>
          <cell r="X168">
            <v>2.7617073161336161</v>
          </cell>
        </row>
        <row r="170">
          <cell r="A170" t="str">
            <v>2002/01</v>
          </cell>
        </row>
        <row r="171">
          <cell r="A171" t="str">
            <v xml:space="preserve"> 1QA</v>
          </cell>
          <cell r="B171">
            <v>-8.7179669957586414E-2</v>
          </cell>
          <cell r="C171">
            <v>1.4933946008041543E-2</v>
          </cell>
          <cell r="D171">
            <v>-0.11053691863011317</v>
          </cell>
          <cell r="E171">
            <v>1.0924697619976609E-2</v>
          </cell>
          <cell r="F171">
            <v>-2.4636275460717783E-2</v>
          </cell>
          <cell r="G171">
            <v>-0.24834834834834862</v>
          </cell>
          <cell r="H171">
            <v>0.28431372549019596</v>
          </cell>
          <cell r="I171" t="str">
            <v>NM</v>
          </cell>
          <cell r="J171" t="str">
            <v>NM</v>
          </cell>
          <cell r="L171">
            <v>2.4375</v>
          </cell>
          <cell r="M171">
            <v>0.57627118644067798</v>
          </cell>
          <cell r="N171">
            <v>-0.2201276102088171</v>
          </cell>
          <cell r="O171">
            <v>5.8821953141663386E-6</v>
          </cell>
          <cell r="P171">
            <v>-0.22012302284710017</v>
          </cell>
          <cell r="Q171">
            <v>-0.22012890431333709</v>
          </cell>
          <cell r="R171">
            <v>-3.5720139437653842E-3</v>
          </cell>
          <cell r="S171">
            <v>-0.2173332076176252</v>
          </cell>
          <cell r="U171">
            <v>0.21428571428571419</v>
          </cell>
          <cell r="V171">
            <v>-0.78051561021733384</v>
          </cell>
          <cell r="W171" t="e">
            <v>#VALUE!</v>
          </cell>
          <cell r="X171">
            <v>-0.78051561021733384</v>
          </cell>
        </row>
        <row r="172">
          <cell r="A172" t="str">
            <v xml:space="preserve"> 2QA</v>
          </cell>
          <cell r="B172">
            <v>-8.515576067249031E-2</v>
          </cell>
          <cell r="C172">
            <v>5.1704327843735687E-3</v>
          </cell>
          <cell r="D172">
            <v>-0.10393819933898762</v>
          </cell>
          <cell r="E172">
            <v>1.7001889098788858E-2</v>
          </cell>
          <cell r="F172">
            <v>-3.2286677310626288E-2</v>
          </cell>
          <cell r="G172">
            <v>-0.24636823518182649</v>
          </cell>
          <cell r="H172">
            <v>-0.26027397260273966</v>
          </cell>
          <cell r="I172" t="str">
            <v>NM</v>
          </cell>
          <cell r="J172" t="str">
            <v>NM</v>
          </cell>
          <cell r="L172" t="str">
            <v>NM</v>
          </cell>
          <cell r="M172">
            <v>3.0746268656716422</v>
          </cell>
          <cell r="N172">
            <v>-0.20442936575252069</v>
          </cell>
          <cell r="O172">
            <v>7.4394153563028809E-5</v>
          </cell>
          <cell r="P172">
            <v>-0.20437017994858619</v>
          </cell>
          <cell r="Q172">
            <v>-0.2044460553340578</v>
          </cell>
          <cell r="R172">
            <v>-5.507296527089145E-3</v>
          </cell>
          <cell r="S172">
            <v>-0.20004044083204031</v>
          </cell>
          <cell r="U172">
            <v>0.30769230769230771</v>
          </cell>
          <cell r="V172">
            <v>-0.78694779421401606</v>
          </cell>
          <cell r="W172" t="e">
            <v>#VALUE!</v>
          </cell>
          <cell r="X172">
            <v>-0.78694779421401606</v>
          </cell>
        </row>
        <row r="173">
          <cell r="A173" t="str">
            <v xml:space="preserve"> 3QE</v>
          </cell>
          <cell r="B173">
            <v>-3.0893403840801636E-2</v>
          </cell>
          <cell r="C173">
            <v>8.5610200364298894E-3</v>
          </cell>
          <cell r="D173">
            <v>-4.020813623462649E-2</v>
          </cell>
          <cell r="E173">
            <v>-6.374870077376138E-2</v>
          </cell>
          <cell r="F173">
            <v>-6.9434628975264978E-2</v>
          </cell>
          <cell r="G173">
            <v>1.1191941801897975E-3</v>
          </cell>
          <cell r="H173">
            <v>-0.30815709969788518</v>
          </cell>
          <cell r="I173" t="str">
            <v>NM</v>
          </cell>
          <cell r="J173" t="str">
            <v>NM</v>
          </cell>
          <cell r="L173" t="str">
            <v>NM</v>
          </cell>
          <cell r="M173" t="str">
            <v>NM</v>
          </cell>
          <cell r="N173">
            <v>2.1138912855909631E-2</v>
          </cell>
          <cell r="O173">
            <v>-5.9229437443963917E-5</v>
          </cell>
          <cell r="P173">
            <v>2.1078431372549167E-2</v>
          </cell>
          <cell r="Q173">
            <v>2.1155973451326693E-2</v>
          </cell>
          <cell r="R173">
            <v>-3.8279022141644026E-3</v>
          </cell>
          <cell r="S173">
            <v>2.5079878989807236E-2</v>
          </cell>
          <cell r="U173">
            <v>0.30769230769230771</v>
          </cell>
          <cell r="V173">
            <v>-1</v>
          </cell>
          <cell r="W173" t="e">
            <v>#VALUE!</v>
          </cell>
          <cell r="X173">
            <v>-1</v>
          </cell>
        </row>
        <row r="174">
          <cell r="A174" t="str">
            <v xml:space="preserve"> 4QA</v>
          </cell>
          <cell r="B174">
            <v>4.4824660633483671E-2</v>
          </cell>
          <cell r="C174">
            <v>1.9410622904534325E-3</v>
          </cell>
          <cell r="D174">
            <v>5.5567835197382509E-2</v>
          </cell>
          <cell r="E174">
            <v>4.316302254446569E-2</v>
          </cell>
          <cell r="F174">
            <v>-2.6445160196643558E-2</v>
          </cell>
          <cell r="G174">
            <v>0.13071564281190495</v>
          </cell>
          <cell r="H174">
            <v>-0.44705882352941173</v>
          </cell>
          <cell r="I174" t="str">
            <v>NM</v>
          </cell>
          <cell r="J174" t="str">
            <v>NM</v>
          </cell>
          <cell r="L174" t="str">
            <v>NM</v>
          </cell>
          <cell r="M174" t="str">
            <v>NM</v>
          </cell>
          <cell r="N174">
            <v>0.12220637184973704</v>
          </cell>
          <cell r="O174">
            <v>-9.8206191796235132E-5</v>
          </cell>
          <cell r="P174">
            <v>0.12209616423554825</v>
          </cell>
          <cell r="Q174">
            <v>0.122237463801248</v>
          </cell>
          <cell r="R174">
            <v>-5.9627415772379733E-3</v>
          </cell>
          <cell r="S174">
            <v>0.12896921548182316</v>
          </cell>
          <cell r="U174">
            <v>0.30769230769230771</v>
          </cell>
          <cell r="V174" t="e">
            <v>#DIV/0!</v>
          </cell>
          <cell r="W174" t="e">
            <v>#VALUE!</v>
          </cell>
          <cell r="X174" t="e">
            <v>#DIV/0!</v>
          </cell>
        </row>
        <row r="176">
          <cell r="A176" t="str">
            <v>2002A/01A</v>
          </cell>
          <cell r="B176">
            <v>-4.0279317992791802E-2</v>
          </cell>
          <cell r="C176">
            <v>7.5455976298491731E-3</v>
          </cell>
          <cell r="D176">
            <v>-5.1290742043444089E-2</v>
          </cell>
          <cell r="E176">
            <v>1.9312927956927073E-3</v>
          </cell>
          <cell r="F176">
            <v>-3.8387544181468281E-2</v>
          </cell>
          <cell r="G176">
            <v>-0.10778883020082079</v>
          </cell>
          <cell r="H176">
            <v>-0.20753323485967512</v>
          </cell>
          <cell r="I176" t="str">
            <v>NM</v>
          </cell>
          <cell r="J176" t="str">
            <v>NM</v>
          </cell>
          <cell r="L176" t="str">
            <v>NM</v>
          </cell>
          <cell r="M176">
            <v>0.59463487332339804</v>
          </cell>
          <cell r="N176">
            <v>-8.3392427340252498E-2</v>
          </cell>
          <cell r="O176">
            <v>-4.9405952240925582E-5</v>
          </cell>
          <cell r="P176">
            <v>-8.3401952711445682E-2</v>
          </cell>
          <cell r="Q176">
            <v>-8.3420153289757798E-2</v>
          </cell>
          <cell r="R176">
            <v>-5.2301399073884118E-3</v>
          </cell>
          <cell r="S176">
            <v>-7.8157914519644198E-2</v>
          </cell>
          <cell r="U176">
            <v>0.28301886792452835</v>
          </cell>
          <cell r="V176">
            <v>-7.8157914519644198E-2</v>
          </cell>
          <cell r="W176" t="str">
            <v>NM</v>
          </cell>
          <cell r="X176">
            <v>-7.8157914519644198E-2</v>
          </cell>
        </row>
        <row r="178">
          <cell r="A178">
            <v>2002</v>
          </cell>
        </row>
        <row r="179">
          <cell r="A179" t="str">
            <v xml:space="preserve"> 1QA</v>
          </cell>
          <cell r="B179">
            <v>2561.1</v>
          </cell>
          <cell r="C179">
            <v>530.1</v>
          </cell>
          <cell r="D179">
            <v>2031</v>
          </cell>
          <cell r="E179">
            <v>777.3</v>
          </cell>
          <cell r="F179">
            <v>502.8</v>
          </cell>
          <cell r="G179">
            <v>750.90000000000009</v>
          </cell>
          <cell r="H179">
            <v>39.299999999999997</v>
          </cell>
          <cell r="I179">
            <v>0</v>
          </cell>
          <cell r="J179">
            <v>0</v>
          </cell>
          <cell r="K179">
            <v>0</v>
          </cell>
          <cell r="L179">
            <v>16.5</v>
          </cell>
          <cell r="M179">
            <v>55.8</v>
          </cell>
          <cell r="N179">
            <v>806.7</v>
          </cell>
          <cell r="O179">
            <v>0.22003223007313746</v>
          </cell>
          <cell r="P179">
            <v>177.5</v>
          </cell>
          <cell r="Q179">
            <v>629.20000000000005</v>
          </cell>
          <cell r="R179">
            <v>1088.2</v>
          </cell>
          <cell r="S179">
            <v>0.57820253629847451</v>
          </cell>
          <cell r="T179">
            <v>0.58802924348378904</v>
          </cell>
          <cell r="U179">
            <v>0.34</v>
          </cell>
          <cell r="V179">
            <v>0.57820253629847451</v>
          </cell>
          <cell r="W179" t="str">
            <v xml:space="preserve">       --</v>
          </cell>
          <cell r="X179">
            <v>0.57820253629847451</v>
          </cell>
        </row>
        <row r="180">
          <cell r="A180" t="str">
            <v xml:space="preserve"> 2QA</v>
          </cell>
          <cell r="B180">
            <v>2775.18</v>
          </cell>
          <cell r="C180">
            <v>524.9</v>
          </cell>
          <cell r="D180">
            <v>2250.2799999999997</v>
          </cell>
          <cell r="E180">
            <v>915.2</v>
          </cell>
          <cell r="F180">
            <v>545.5</v>
          </cell>
          <cell r="G180">
            <v>789.5799999999997</v>
          </cell>
          <cell r="H180">
            <v>21.6</v>
          </cell>
          <cell r="I180">
            <v>0</v>
          </cell>
          <cell r="J180">
            <v>0</v>
          </cell>
          <cell r="K180">
            <v>0</v>
          </cell>
          <cell r="L180">
            <v>33</v>
          </cell>
          <cell r="M180">
            <v>54.6</v>
          </cell>
          <cell r="N180">
            <v>844.17999999999972</v>
          </cell>
          <cell r="O180">
            <v>0.2199767822028478</v>
          </cell>
          <cell r="P180">
            <v>185.7</v>
          </cell>
          <cell r="Q180">
            <v>658.47999999999979</v>
          </cell>
          <cell r="R180">
            <v>1086.3530000000001</v>
          </cell>
          <cell r="S180">
            <v>0.60613815214759825</v>
          </cell>
          <cell r="T180">
            <v>0.56092822864779512</v>
          </cell>
          <cell r="U180">
            <v>0.34</v>
          </cell>
          <cell r="V180">
            <v>0.60613815214759825</v>
          </cell>
          <cell r="W180" t="str">
            <v xml:space="preserve">       --</v>
          </cell>
          <cell r="X180">
            <v>0.60613815214759825</v>
          </cell>
        </row>
        <row r="181">
          <cell r="A181" t="str">
            <v xml:space="preserve"> 3QA</v>
          </cell>
          <cell r="B181">
            <v>2785.6</v>
          </cell>
          <cell r="C181">
            <v>553.70000000000005</v>
          </cell>
          <cell r="D181">
            <v>2231.8999999999996</v>
          </cell>
          <cell r="E181">
            <v>810.7</v>
          </cell>
          <cell r="F181">
            <v>526.70000000000005</v>
          </cell>
          <cell r="G181">
            <v>894.49999999999955</v>
          </cell>
          <cell r="H181">
            <v>22.900000000000002</v>
          </cell>
          <cell r="I181">
            <v>0</v>
          </cell>
          <cell r="J181">
            <v>0</v>
          </cell>
          <cell r="K181">
            <v>0</v>
          </cell>
          <cell r="L181">
            <v>29.4</v>
          </cell>
          <cell r="M181">
            <v>52.3</v>
          </cell>
          <cell r="N181">
            <v>946.7999999999995</v>
          </cell>
          <cell r="O181">
            <v>0.22000422475707659</v>
          </cell>
          <cell r="P181">
            <v>208.3</v>
          </cell>
          <cell r="Q181">
            <v>738.49999999999955</v>
          </cell>
          <cell r="R181">
            <v>1085.72</v>
          </cell>
          <cell r="S181">
            <v>0.68019378845374456</v>
          </cell>
          <cell r="T181">
            <v>0.49985754908598545</v>
          </cell>
          <cell r="U181">
            <v>0.34</v>
          </cell>
          <cell r="V181">
            <v>0.68019378845374456</v>
          </cell>
          <cell r="W181" t="str">
            <v xml:space="preserve">       --</v>
          </cell>
          <cell r="X181">
            <v>0.68019378845374456</v>
          </cell>
        </row>
        <row r="182">
          <cell r="A182" t="str">
            <v xml:space="preserve"> 4QA</v>
          </cell>
          <cell r="B182">
            <v>2955.5999999999995</v>
          </cell>
          <cell r="C182">
            <v>567.79999999999995</v>
          </cell>
          <cell r="D182">
            <v>2387.7999999999993</v>
          </cell>
          <cell r="E182">
            <v>920.8</v>
          </cell>
          <cell r="F182">
            <v>574.29999999999995</v>
          </cell>
          <cell r="G182">
            <v>892.69999999999936</v>
          </cell>
          <cell r="H182">
            <v>23.5</v>
          </cell>
          <cell r="I182">
            <v>0</v>
          </cell>
          <cell r="J182">
            <v>0</v>
          </cell>
          <cell r="K182">
            <v>-10</v>
          </cell>
          <cell r="L182">
            <v>37.799999999999997</v>
          </cell>
          <cell r="M182">
            <v>51.3</v>
          </cell>
          <cell r="N182">
            <v>943.99999999999932</v>
          </cell>
          <cell r="O182">
            <v>0.22002118644067811</v>
          </cell>
          <cell r="P182">
            <v>207.7</v>
          </cell>
          <cell r="Q182">
            <v>736.29999999999927</v>
          </cell>
          <cell r="R182">
            <v>1083.9359999999999</v>
          </cell>
          <cell r="S182">
            <v>0.67928364774303951</v>
          </cell>
          <cell r="T182">
            <v>0.50052728507401922</v>
          </cell>
          <cell r="U182">
            <v>0.34</v>
          </cell>
          <cell r="V182">
            <v>0.67928364774303951</v>
          </cell>
          <cell r="W182" t="str">
            <v xml:space="preserve">       --</v>
          </cell>
          <cell r="X182">
            <v>0.67928364774303951</v>
          </cell>
        </row>
        <row r="184">
          <cell r="A184" t="str">
            <v>Year</v>
          </cell>
          <cell r="B184">
            <v>11077.48</v>
          </cell>
          <cell r="C184">
            <v>2176.5</v>
          </cell>
          <cell r="D184">
            <v>8900.98</v>
          </cell>
          <cell r="E184">
            <v>3424</v>
          </cell>
          <cell r="F184">
            <v>2149.3000000000002</v>
          </cell>
          <cell r="G184">
            <v>3327.6799999999989</v>
          </cell>
          <cell r="H184">
            <v>107.3</v>
          </cell>
          <cell r="I184">
            <v>0</v>
          </cell>
          <cell r="J184">
            <v>0</v>
          </cell>
          <cell r="K184">
            <v>-10</v>
          </cell>
          <cell r="L184">
            <v>116.7</v>
          </cell>
          <cell r="M184">
            <v>214</v>
          </cell>
          <cell r="N184">
            <v>3541.6799999999985</v>
          </cell>
          <cell r="O184">
            <v>0.22</v>
          </cell>
          <cell r="P184">
            <v>779.2</v>
          </cell>
          <cell r="Q184">
            <v>2762.4799999999987</v>
          </cell>
          <cell r="R184">
            <v>1085.088</v>
          </cell>
          <cell r="S184">
            <v>2.5458580317909689</v>
          </cell>
          <cell r="T184">
            <v>0.53420103674958763</v>
          </cell>
          <cell r="U184">
            <v>1.36</v>
          </cell>
          <cell r="V184">
            <v>2.5458580317909689</v>
          </cell>
          <cell r="W184" t="str">
            <v xml:space="preserve">       --</v>
          </cell>
          <cell r="X184">
            <v>2.5458580317909689</v>
          </cell>
        </row>
        <row r="185">
          <cell r="I185">
            <v>0</v>
          </cell>
          <cell r="J185">
            <v>0</v>
          </cell>
        </row>
        <row r="186">
          <cell r="A186">
            <v>2003</v>
          </cell>
        </row>
        <row r="187">
          <cell r="A187" t="str">
            <v xml:space="preserve"> 1QE</v>
          </cell>
          <cell r="B187">
            <v>8.4827222677755776E-2</v>
          </cell>
          <cell r="C187">
            <v>0.12685430107526874</v>
          </cell>
          <cell r="D187">
            <v>7.3857968980797661E-2</v>
          </cell>
          <cell r="E187">
            <v>0.12234943265148601</v>
          </cell>
          <cell r="F187">
            <v>8.8574278042959476E-2</v>
          </cell>
          <cell r="G187">
            <v>1.3807662804634413E-2</v>
          </cell>
          <cell r="H187">
            <v>-0.31297709923664119</v>
          </cell>
          <cell r="I187" t="e">
            <v>#DIV/0!</v>
          </cell>
          <cell r="J187" t="e">
            <v>#DIV/0!</v>
          </cell>
          <cell r="K187" t="str">
            <v>NM</v>
          </cell>
          <cell r="L187">
            <v>0.51515151515151514</v>
          </cell>
          <cell r="M187">
            <v>-0.24731182795698925</v>
          </cell>
          <cell r="N187">
            <v>-4.2541539605801537E-3</v>
          </cell>
          <cell r="O187">
            <v>-1.4647887323937514E-4</v>
          </cell>
          <cell r="P187">
            <v>-4.4000096901407604E-3</v>
          </cell>
          <cell r="Q187">
            <v>-4.2130074380165583E-3</v>
          </cell>
          <cell r="R187">
            <v>-3.9183973534278049E-3</v>
          </cell>
          <cell r="S187">
            <v>-2.9576902515404679E-4</v>
          </cell>
        </row>
        <row r="188">
          <cell r="A188" t="str">
            <v xml:space="preserve"> 2QE</v>
          </cell>
          <cell r="B188">
            <v>6.6296600580863174E-2</v>
          </cell>
          <cell r="C188">
            <v>0.20080423890264787</v>
          </cell>
          <cell r="D188">
            <v>3.4921367563147454E-2</v>
          </cell>
          <cell r="E188">
            <v>5.0839843749999725E-2</v>
          </cell>
          <cell r="F188">
            <v>6.3238020164986031E-2</v>
          </cell>
          <cell r="G188">
            <v>-3.0929228197268399E-3</v>
          </cell>
          <cell r="H188">
            <v>0.20370370370370372</v>
          </cell>
          <cell r="I188" t="e">
            <v>#DIV/0!</v>
          </cell>
          <cell r="J188" t="e">
            <v>#DIV/0!</v>
          </cell>
          <cell r="K188" t="str">
            <v>NM</v>
          </cell>
          <cell r="L188">
            <v>-0.24242424242424243</v>
          </cell>
          <cell r="M188">
            <v>-6.5934065934065922E-2</v>
          </cell>
          <cell r="N188">
            <v>-7.1573716505958229E-3</v>
          </cell>
          <cell r="O188">
            <v>1.0554658050598853E-4</v>
          </cell>
          <cell r="P188">
            <v>-7.0525805061930624E-3</v>
          </cell>
          <cell r="Q188">
            <v>-7.1869241282955798E-3</v>
          </cell>
          <cell r="R188">
            <v>-2.2248753397837717E-3</v>
          </cell>
          <cell r="S188">
            <v>-4.9731133457566745E-3</v>
          </cell>
        </row>
        <row r="189">
          <cell r="A189" t="str">
            <v xml:space="preserve"> 3QE</v>
          </cell>
          <cell r="B189">
            <v>7.7179063756461774E-2</v>
          </cell>
          <cell r="C189">
            <v>0.15428150623081072</v>
          </cell>
          <cell r="D189">
            <v>5.8051135803575571E-2</v>
          </cell>
          <cell r="E189">
            <v>0.15108361909460943</v>
          </cell>
          <cell r="F189">
            <v>0.10521067021074604</v>
          </cell>
          <cell r="G189">
            <v>-5.4034231414197498E-2</v>
          </cell>
          <cell r="H189">
            <v>0.17903930131004353</v>
          </cell>
          <cell r="I189" t="e">
            <v>#DIV/0!</v>
          </cell>
          <cell r="J189" t="e">
            <v>#DIV/0!</v>
          </cell>
          <cell r="K189" t="str">
            <v>NM</v>
          </cell>
          <cell r="L189">
            <v>-0.14965986394557818</v>
          </cell>
          <cell r="M189">
            <v>8.9866156787762996E-2</v>
          </cell>
          <cell r="N189">
            <v>-4.6085361216729681E-2</v>
          </cell>
          <cell r="O189">
            <v>-1.9203072492146589E-5</v>
          </cell>
          <cell r="P189">
            <v>-4.6103679308689527E-2</v>
          </cell>
          <cell r="Q189">
            <v>-4.6080194448205436E-2</v>
          </cell>
          <cell r="R189">
            <v>-1.6431492465830422E-3</v>
          </cell>
          <cell r="S189">
            <v>-4.4510182073762228E-2</v>
          </cell>
        </row>
        <row r="190">
          <cell r="A190" t="str">
            <v xml:space="preserve"> 4QE</v>
          </cell>
          <cell r="B190">
            <v>8.8861618622276595E-2</v>
          </cell>
          <cell r="C190">
            <v>0.19747849630151459</v>
          </cell>
          <cell r="D190">
            <v>6.3033382109054736E-2</v>
          </cell>
          <cell r="E190">
            <v>0.10433209176802816</v>
          </cell>
          <cell r="F190">
            <v>8.3129733588716892E-2</v>
          </cell>
          <cell r="G190">
            <v>7.5061204211943622E-3</v>
          </cell>
          <cell r="H190">
            <v>0.16170212765957426</v>
          </cell>
          <cell r="I190" t="e">
            <v>#DIV/0!</v>
          </cell>
          <cell r="J190" t="e">
            <v>#DIV/0!</v>
          </cell>
          <cell r="K190" t="str">
            <v>NM</v>
          </cell>
          <cell r="L190">
            <v>-0.33862433862433861</v>
          </cell>
          <cell r="M190">
            <v>0.18139936730304829</v>
          </cell>
          <cell r="N190">
            <v>1.6956039451956118E-2</v>
          </cell>
          <cell r="O190">
            <v>-9.6292729899527529E-5</v>
          </cell>
          <cell r="P190">
            <v>1.6858113978729605E-2</v>
          </cell>
          <cell r="Q190">
            <v>1.6983662867397165E-2</v>
          </cell>
          <cell r="R190">
            <v>0</v>
          </cell>
          <cell r="S190">
            <v>1.6983662867397387E-2</v>
          </cell>
        </row>
        <row r="192">
          <cell r="A192" t="str">
            <v xml:space="preserve">2003E/02E </v>
          </cell>
          <cell r="B192">
            <v>7.9338026338120274E-2</v>
          </cell>
          <cell r="C192">
            <v>0.17009031481736728</v>
          </cell>
          <cell r="D192">
            <v>5.714694671822651E-2</v>
          </cell>
          <cell r="E192">
            <v>0.10519372637266357</v>
          </cell>
          <cell r="F192">
            <v>8.4765901921555753E-2</v>
          </cell>
          <cell r="G192">
            <v>-1.0129231867246872E-2</v>
          </cell>
          <cell r="H192" t="str">
            <v>NM</v>
          </cell>
          <cell r="I192" t="str">
            <v>NM</v>
          </cell>
          <cell r="J192" t="str">
            <v>NM</v>
          </cell>
          <cell r="K192" t="str">
            <v>NM</v>
          </cell>
          <cell r="L192">
            <v>-0.14310197086546705</v>
          </cell>
          <cell r="M192" t="str">
            <v>NM</v>
          </cell>
          <cell r="N192">
            <v>-1.0475552494113891E-2</v>
          </cell>
          <cell r="O192">
            <v>0</v>
          </cell>
          <cell r="P192">
            <v>-1.0514158170711097E-2</v>
          </cell>
          <cell r="Q192">
            <v>-1.0464663168868385E-2</v>
          </cell>
          <cell r="R192">
            <v>-1.061665044678417E-3</v>
          </cell>
          <cell r="S192">
            <v>-9.4129915683039897E-3</v>
          </cell>
          <cell r="U192">
            <v>0.11764705882352934</v>
          </cell>
          <cell r="V192">
            <v>-9.4129915683039897E-3</v>
          </cell>
          <cell r="W192" t="str">
            <v>NM</v>
          </cell>
          <cell r="X192">
            <v>-9.4129915683039897E-3</v>
          </cell>
        </row>
        <row r="194">
          <cell r="A194">
            <v>2003</v>
          </cell>
        </row>
        <row r="195">
          <cell r="A195" t="str">
            <v xml:space="preserve"> 1QE</v>
          </cell>
          <cell r="B195">
            <v>2778.3510000000001</v>
          </cell>
          <cell r="C195">
            <v>597.34546499999999</v>
          </cell>
          <cell r="D195">
            <v>2181.0055350000002</v>
          </cell>
          <cell r="E195">
            <v>872.40221400000007</v>
          </cell>
          <cell r="F195">
            <v>547.33514700000001</v>
          </cell>
          <cell r="G195">
            <v>761.26817400000004</v>
          </cell>
          <cell r="H195">
            <v>27</v>
          </cell>
          <cell r="I195">
            <v>0</v>
          </cell>
          <cell r="J195">
            <v>0</v>
          </cell>
          <cell r="K195">
            <v>-10</v>
          </cell>
          <cell r="L195">
            <v>25</v>
          </cell>
          <cell r="M195">
            <v>42</v>
          </cell>
          <cell r="N195">
            <v>803.26817400000004</v>
          </cell>
          <cell r="O195">
            <v>0.22</v>
          </cell>
          <cell r="P195">
            <v>176.71899828000002</v>
          </cell>
          <cell r="Q195">
            <v>626.54917571999999</v>
          </cell>
          <cell r="R195">
            <v>1083.9359999999999</v>
          </cell>
          <cell r="S195">
            <v>0.57803152189797191</v>
          </cell>
        </row>
        <row r="196">
          <cell r="A196" t="str">
            <v xml:space="preserve"> 2QE</v>
          </cell>
          <cell r="B196">
            <v>2959.1649999999995</v>
          </cell>
          <cell r="C196">
            <v>630.30214499999988</v>
          </cell>
          <cell r="D196">
            <v>2328.8628549999994</v>
          </cell>
          <cell r="E196">
            <v>961.72862499999985</v>
          </cell>
          <cell r="F196">
            <v>579.99633999999992</v>
          </cell>
          <cell r="G196">
            <v>787.13788999999974</v>
          </cell>
          <cell r="H196">
            <v>26</v>
          </cell>
          <cell r="I196">
            <v>0</v>
          </cell>
          <cell r="J196">
            <v>0</v>
          </cell>
          <cell r="K196">
            <v>0</v>
          </cell>
          <cell r="L196">
            <v>25</v>
          </cell>
          <cell r="M196">
            <v>51</v>
          </cell>
          <cell r="N196">
            <v>838.13788999999974</v>
          </cell>
          <cell r="O196">
            <v>0.22</v>
          </cell>
          <cell r="P196">
            <v>184.39033579999995</v>
          </cell>
          <cell r="Q196">
            <v>653.74755419999974</v>
          </cell>
          <cell r="R196">
            <v>1083.9359999999999</v>
          </cell>
          <cell r="S196">
            <v>0.60312375841378074</v>
          </cell>
        </row>
        <row r="197">
          <cell r="A197" t="str">
            <v xml:space="preserve"> 3QE</v>
          </cell>
          <cell r="B197">
            <v>3000.5899999999997</v>
          </cell>
          <cell r="C197">
            <v>639.1256699999999</v>
          </cell>
          <cell r="D197">
            <v>2361.4643299999998</v>
          </cell>
          <cell r="E197">
            <v>933.18348999999989</v>
          </cell>
          <cell r="F197">
            <v>582.11446000000001</v>
          </cell>
          <cell r="G197">
            <v>846.16637999999989</v>
          </cell>
          <cell r="H197">
            <v>27</v>
          </cell>
          <cell r="I197">
            <v>0</v>
          </cell>
          <cell r="J197">
            <v>0</v>
          </cell>
          <cell r="K197">
            <v>5</v>
          </cell>
          <cell r="L197">
            <v>25</v>
          </cell>
          <cell r="M197">
            <v>57</v>
          </cell>
          <cell r="N197">
            <v>903.16637999999989</v>
          </cell>
          <cell r="O197">
            <v>0.22</v>
          </cell>
          <cell r="P197">
            <v>198.69660359999997</v>
          </cell>
          <cell r="Q197">
            <v>704.46977639999989</v>
          </cell>
          <cell r="R197">
            <v>1083.9359999999999</v>
          </cell>
          <cell r="S197">
            <v>0.6499182390842263</v>
          </cell>
        </row>
        <row r="198">
          <cell r="A198" t="str">
            <v xml:space="preserve"> 4QE</v>
          </cell>
          <cell r="B198">
            <v>3218.2393999999999</v>
          </cell>
          <cell r="C198">
            <v>679.92829019999999</v>
          </cell>
          <cell r="D198">
            <v>2538.3111097999999</v>
          </cell>
          <cell r="E198">
            <v>1016.8689901000002</v>
          </cell>
          <cell r="F198">
            <v>622.04140600000005</v>
          </cell>
          <cell r="G198">
            <v>899.40071369999964</v>
          </cell>
          <cell r="H198">
            <v>27.299999999999997</v>
          </cell>
          <cell r="I198">
            <v>0</v>
          </cell>
          <cell r="J198">
            <v>0</v>
          </cell>
          <cell r="K198">
            <v>8.3057875426463728</v>
          </cell>
          <cell r="L198">
            <v>25</v>
          </cell>
          <cell r="M198">
            <v>60.605787542646368</v>
          </cell>
          <cell r="N198">
            <v>960.00650124264598</v>
          </cell>
          <cell r="O198">
            <v>0.22</v>
          </cell>
          <cell r="P198">
            <v>211.20143027338213</v>
          </cell>
          <cell r="Q198">
            <v>748.80507096926385</v>
          </cell>
          <cell r="R198">
            <v>1083.9359999999999</v>
          </cell>
          <cell r="S198">
            <v>0.69082037220764314</v>
          </cell>
        </row>
        <row r="200">
          <cell r="A200" t="str">
            <v>2003E</v>
          </cell>
          <cell r="B200">
            <v>11956.3454</v>
          </cell>
          <cell r="C200">
            <v>2546.7015701999999</v>
          </cell>
          <cell r="D200">
            <v>9409.6438297999994</v>
          </cell>
          <cell r="E200">
            <v>3784.1833191000001</v>
          </cell>
          <cell r="F200">
            <v>2331.487353</v>
          </cell>
          <cell r="G200">
            <v>3293.9731576999989</v>
          </cell>
          <cell r="H200">
            <v>107.3</v>
          </cell>
          <cell r="I200">
            <v>0</v>
          </cell>
          <cell r="J200">
            <v>0</v>
          </cell>
          <cell r="K200">
            <v>3.3057875426463723</v>
          </cell>
          <cell r="L200">
            <v>100</v>
          </cell>
          <cell r="M200">
            <v>210.60578754264637</v>
          </cell>
          <cell r="N200">
            <v>3504.5789452426452</v>
          </cell>
          <cell r="O200">
            <v>0.22</v>
          </cell>
          <cell r="P200">
            <v>771.00736795338196</v>
          </cell>
          <cell r="Q200">
            <v>2733.5715772892631</v>
          </cell>
          <cell r="R200">
            <v>1083.9359999999999</v>
          </cell>
          <cell r="S200">
            <v>2.5218938916036215</v>
          </cell>
          <cell r="T200">
            <v>0.60272163117595035</v>
          </cell>
          <cell r="U200">
            <v>1.52</v>
          </cell>
          <cell r="V200">
            <v>2.5218938916036215</v>
          </cell>
          <cell r="W200" t="str">
            <v xml:space="preserve">       --</v>
          </cell>
          <cell r="X200">
            <v>2.5218938916036215</v>
          </cell>
        </row>
        <row r="202">
          <cell r="A202" t="str">
            <v xml:space="preserve">2004E/03E </v>
          </cell>
          <cell r="B202">
            <v>0.11164647853013696</v>
          </cell>
          <cell r="C202">
            <v>0.10120848342656764</v>
          </cell>
          <cell r="D202">
            <v>0.11447150134724021</v>
          </cell>
          <cell r="E202">
            <v>9.9353389510056345E-2</v>
          </cell>
          <cell r="F202">
            <v>9.4544225014288677E-2</v>
          </cell>
          <cell r="G202">
            <v>0.14594410127970589</v>
          </cell>
          <cell r="H202" t="str">
            <v>NM</v>
          </cell>
          <cell r="I202" t="str">
            <v>NM</v>
          </cell>
          <cell r="J202" t="str">
            <v>NM</v>
          </cell>
          <cell r="K202" t="str">
            <v>NM</v>
          </cell>
          <cell r="L202">
            <v>-0.30000000000000004</v>
          </cell>
          <cell r="M202" t="str">
            <v>NM</v>
          </cell>
          <cell r="N202">
            <v>0.15994332614347706</v>
          </cell>
          <cell r="O202">
            <v>0</v>
          </cell>
          <cell r="P202">
            <v>0.15994332614347703</v>
          </cell>
          <cell r="Q202">
            <v>0.15994332614347712</v>
          </cell>
          <cell r="R202">
            <v>0</v>
          </cell>
          <cell r="S202">
            <v>0.15994332614347723</v>
          </cell>
          <cell r="U202">
            <v>0.10526315789473679</v>
          </cell>
          <cell r="V202">
            <v>0.15994332614347723</v>
          </cell>
          <cell r="W202" t="str">
            <v>NM</v>
          </cell>
          <cell r="X202">
            <v>0.15994332614347723</v>
          </cell>
        </row>
        <row r="203">
          <cell r="A203" t="str">
            <v xml:space="preserve">2005E/04E </v>
          </cell>
          <cell r="B203">
            <v>0.12468073480511163</v>
          </cell>
          <cell r="C203">
            <v>0.10869001345717165</v>
          </cell>
          <cell r="D203">
            <v>0.12895708740893347</v>
          </cell>
          <cell r="E203">
            <v>0.10671458888170739</v>
          </cell>
          <cell r="F203">
            <v>0.11296531048422513</v>
          </cell>
          <cell r="G203">
            <v>0.16428216912923532</v>
          </cell>
          <cell r="H203" t="str">
            <v>NM</v>
          </cell>
          <cell r="I203" t="str">
            <v>NM</v>
          </cell>
          <cell r="J203" t="str">
            <v>NM</v>
          </cell>
          <cell r="K203" t="str">
            <v>NM</v>
          </cell>
          <cell r="L203">
            <v>-0.2857142857142857</v>
          </cell>
          <cell r="M203" t="str">
            <v>NM</v>
          </cell>
          <cell r="N203">
            <v>0.16630573498800549</v>
          </cell>
          <cell r="O203">
            <v>0</v>
          </cell>
          <cell r="P203">
            <v>0.16630573498800538</v>
          </cell>
          <cell r="Q203">
            <v>0.16630573498800552</v>
          </cell>
          <cell r="R203">
            <v>0</v>
          </cell>
          <cell r="S203">
            <v>0.16630573498800555</v>
          </cell>
          <cell r="U203">
            <v>0.10714285714285725</v>
          </cell>
          <cell r="V203">
            <v>0.16630573498800555</v>
          </cell>
          <cell r="W203" t="str">
            <v>NM</v>
          </cell>
          <cell r="X203">
            <v>0.16630573498800555</v>
          </cell>
        </row>
        <row r="204">
          <cell r="A204" t="str">
            <v>2006/05E</v>
          </cell>
          <cell r="B204">
            <v>9.2822572858335825E-2</v>
          </cell>
          <cell r="C204">
            <v>8.2314663503928673E-2</v>
          </cell>
          <cell r="D204">
            <v>9.5582225820099273E-2</v>
          </cell>
          <cell r="E204">
            <v>7.5081946675570582E-2</v>
          </cell>
          <cell r="F204">
            <v>6.6939932974848862E-2</v>
          </cell>
          <cell r="G204">
            <v>0.1355690340415702</v>
          </cell>
          <cell r="H204" t="str">
            <v>NM</v>
          </cell>
          <cell r="I204" t="str">
            <v>NM</v>
          </cell>
          <cell r="J204" t="str">
            <v>NM</v>
          </cell>
          <cell r="K204" t="str">
            <v>NM</v>
          </cell>
          <cell r="L204">
            <v>0</v>
          </cell>
          <cell r="M204" t="str">
            <v>NM</v>
          </cell>
          <cell r="N204">
            <v>0.14137121405095526</v>
          </cell>
          <cell r="O204">
            <v>0</v>
          </cell>
          <cell r="P204">
            <v>0.14137121405095535</v>
          </cell>
          <cell r="Q204">
            <v>0.14137121405095515</v>
          </cell>
          <cell r="R204">
            <v>0</v>
          </cell>
          <cell r="S204">
            <v>0.14137121405095512</v>
          </cell>
          <cell r="U204">
            <v>0.11</v>
          </cell>
          <cell r="V204">
            <v>0.14137121405095512</v>
          </cell>
          <cell r="W204" t="str">
            <v>NM</v>
          </cell>
          <cell r="X204">
            <v>0.14137121405095512</v>
          </cell>
        </row>
        <row r="205">
          <cell r="A205" t="str">
            <v>2006/05E</v>
          </cell>
          <cell r="B205">
            <v>9.5139825497598154E-2</v>
          </cell>
          <cell r="C205">
            <v>8.4507400007330188E-2</v>
          </cell>
          <cell r="D205">
            <v>9.7898364100866789E-2</v>
          </cell>
          <cell r="E205">
            <v>9.3332664069384355E-2</v>
          </cell>
          <cell r="F205">
            <v>9.2187966129680193E-2</v>
          </cell>
          <cell r="G205">
            <v>0.10589406273652731</v>
          </cell>
          <cell r="H205" t="str">
            <v>NM</v>
          </cell>
          <cell r="I205" t="str">
            <v>NM</v>
          </cell>
          <cell r="J205" t="str">
            <v>NM</v>
          </cell>
          <cell r="K205" t="str">
            <v>NM</v>
          </cell>
          <cell r="L205">
            <v>0</v>
          </cell>
          <cell r="M205" t="str">
            <v>NM</v>
          </cell>
          <cell r="N205">
            <v>0.10305561510623458</v>
          </cell>
          <cell r="O205">
            <v>0</v>
          </cell>
          <cell r="P205">
            <v>0.10305561510623457</v>
          </cell>
          <cell r="Q205">
            <v>0.10305561510623464</v>
          </cell>
          <cell r="R205">
            <v>0</v>
          </cell>
          <cell r="S205">
            <v>0.10305561510623455</v>
          </cell>
          <cell r="U205">
            <v>0.11</v>
          </cell>
          <cell r="V205">
            <v>0.10305561510623455</v>
          </cell>
          <cell r="W205" t="str">
            <v>NM</v>
          </cell>
          <cell r="X205">
            <v>0.10305561510623455</v>
          </cell>
        </row>
        <row r="207">
          <cell r="A207" t="str">
            <v>2001E</v>
          </cell>
          <cell r="B207">
            <v>11542.4</v>
          </cell>
          <cell r="C207">
            <v>2160.1999999999998</v>
          </cell>
          <cell r="D207">
            <v>9382.2000000000007</v>
          </cell>
          <cell r="E207">
            <v>3417.3999999999996</v>
          </cell>
          <cell r="F207">
            <v>2235.1</v>
          </cell>
          <cell r="G207">
            <v>3729.7000000000003</v>
          </cell>
          <cell r="H207">
            <v>135.4</v>
          </cell>
          <cell r="I207">
            <v>0</v>
          </cell>
          <cell r="J207">
            <v>0</v>
          </cell>
          <cell r="L207">
            <v>-1.2000000000000011</v>
          </cell>
          <cell r="M207">
            <v>134.19999999999999</v>
          </cell>
          <cell r="N207">
            <v>3863.9</v>
          </cell>
          <cell r="O207">
            <v>0.22001086984652812</v>
          </cell>
          <cell r="P207">
            <v>850.1</v>
          </cell>
          <cell r="Q207">
            <v>3013.8999999999996</v>
          </cell>
          <cell r="R207">
            <v>1090.7929999999999</v>
          </cell>
          <cell r="S207">
            <v>2.7617073161336161</v>
          </cell>
          <cell r="U207">
            <v>1.2</v>
          </cell>
          <cell r="V207">
            <v>2.7617073161336161</v>
          </cell>
          <cell r="W207" t="str">
            <v xml:space="preserve">       --</v>
          </cell>
          <cell r="X207">
            <v>2.7617073161336161</v>
          </cell>
        </row>
        <row r="208">
          <cell r="A208" t="str">
            <v>2004E</v>
          </cell>
          <cell r="B208">
            <v>13291.229260000002</v>
          </cell>
          <cell r="C208">
            <v>2804.4493738600004</v>
          </cell>
          <cell r="D208">
            <v>10486.779886140001</v>
          </cell>
          <cell r="E208">
            <v>4160.1547583800002</v>
          </cell>
          <cell r="F208">
            <v>2551.9160179200003</v>
          </cell>
          <cell r="G208">
            <v>3774.7091098400001</v>
          </cell>
          <cell r="H208">
            <v>100</v>
          </cell>
          <cell r="I208">
            <v>0</v>
          </cell>
          <cell r="J208">
            <v>0</v>
          </cell>
          <cell r="K208">
            <v>120.40384863715227</v>
          </cell>
          <cell r="L208">
            <v>70</v>
          </cell>
          <cell r="M208">
            <v>290.40384863715224</v>
          </cell>
          <cell r="N208">
            <v>4065.1129584771525</v>
          </cell>
          <cell r="O208">
            <v>0.22</v>
          </cell>
          <cell r="P208">
            <v>894.32485086497354</v>
          </cell>
          <cell r="Q208">
            <v>3170.7881076121789</v>
          </cell>
          <cell r="R208">
            <v>1083.9359999999999</v>
          </cell>
          <cell r="S208">
            <v>2.9252539888076226</v>
          </cell>
          <cell r="T208">
            <v>0.57430910492828458</v>
          </cell>
          <cell r="U208">
            <v>1.68</v>
          </cell>
          <cell r="V208">
            <v>2.9252539888076226</v>
          </cell>
          <cell r="W208" t="str">
            <v xml:space="preserve">       --</v>
          </cell>
          <cell r="X208">
            <v>2.9252539888076226</v>
          </cell>
        </row>
        <row r="209">
          <cell r="A209" t="str">
            <v>2005E</v>
          </cell>
          <cell r="B209">
            <v>14948.389490600002</v>
          </cell>
          <cell r="C209">
            <v>3109.2650140448004</v>
          </cell>
          <cell r="D209">
            <v>11839.124476555202</v>
          </cell>
          <cell r="E209">
            <v>4604.1039631048006</v>
          </cell>
          <cell r="F209">
            <v>2840.1940032140005</v>
          </cell>
          <cell r="G209">
            <v>4394.8265102364003</v>
          </cell>
          <cell r="H209">
            <v>100</v>
          </cell>
          <cell r="I209">
            <v>0</v>
          </cell>
          <cell r="J209">
            <v>0</v>
          </cell>
          <cell r="K209">
            <v>196.33804660956059</v>
          </cell>
          <cell r="L209">
            <v>50</v>
          </cell>
          <cell r="M209">
            <v>346.33804660956059</v>
          </cell>
          <cell r="N209">
            <v>4741.1645568459608</v>
          </cell>
          <cell r="O209">
            <v>0.22</v>
          </cell>
          <cell r="P209">
            <v>1043.0562025061113</v>
          </cell>
          <cell r="Q209">
            <v>3698.1083543398495</v>
          </cell>
          <cell r="R209">
            <v>1083.9359999999999</v>
          </cell>
          <cell r="S209">
            <v>3.4117405034428692</v>
          </cell>
          <cell r="T209">
            <v>0.54517628117467598</v>
          </cell>
          <cell r="U209">
            <v>1.86</v>
          </cell>
          <cell r="V209">
            <v>3.4117405034428692</v>
          </cell>
          <cell r="W209" t="str">
            <v xml:space="preserve">       --</v>
          </cell>
          <cell r="X209">
            <v>3.4117405034428692</v>
          </cell>
        </row>
        <row r="210">
          <cell r="A210" t="str">
            <v>2006E</v>
          </cell>
          <cell r="B210">
            <v>16335.937463206003</v>
          </cell>
          <cell r="C210">
            <v>3365.2031174204362</v>
          </cell>
          <cell r="D210">
            <v>12970.734345785566</v>
          </cell>
          <cell r="E210">
            <v>4949.7890513514185</v>
          </cell>
          <cell r="F210">
            <v>3030.3163994247134</v>
          </cell>
          <cell r="G210">
            <v>4990.628895009434</v>
          </cell>
          <cell r="H210">
            <v>100</v>
          </cell>
          <cell r="I210">
            <v>0</v>
          </cell>
          <cell r="J210">
            <v>0</v>
          </cell>
          <cell r="K210">
            <v>270.79985125319928</v>
          </cell>
          <cell r="L210">
            <v>50</v>
          </cell>
          <cell r="M210">
            <v>420.79985125319928</v>
          </cell>
          <cell r="N210">
            <v>5411.4287462626335</v>
          </cell>
          <cell r="O210">
            <v>0.22</v>
          </cell>
          <cell r="P210">
            <v>1190.5143241777794</v>
          </cell>
          <cell r="Q210">
            <v>4220.9144220848539</v>
          </cell>
          <cell r="R210">
            <v>1083.9359999999999</v>
          </cell>
          <cell r="S210">
            <v>3.8940624004414044</v>
          </cell>
          <cell r="T210">
            <v>0.53019181196633403</v>
          </cell>
          <cell r="U210">
            <v>2.0646000000000004</v>
          </cell>
          <cell r="V210">
            <v>3.8940624004414044</v>
          </cell>
          <cell r="W210" t="str">
            <v xml:space="preserve">       --</v>
          </cell>
          <cell r="X210">
            <v>3.8940624004414044</v>
          </cell>
        </row>
        <row r="211">
          <cell r="A211" t="str">
            <v>2007E</v>
          </cell>
          <cell r="B211">
            <v>17890.135702795098</v>
          </cell>
          <cell r="C211">
            <v>3649.5876833701996</v>
          </cell>
          <cell r="D211">
            <v>14240.548019424899</v>
          </cell>
          <cell r="E211">
            <v>5411.7660500955171</v>
          </cell>
          <cell r="F211">
            <v>3309.6751050170933</v>
          </cell>
          <cell r="G211">
            <v>5519.106864312289</v>
          </cell>
          <cell r="H211">
            <v>100</v>
          </cell>
          <cell r="I211">
            <v>0</v>
          </cell>
          <cell r="J211">
            <v>0</v>
          </cell>
          <cell r="K211">
            <v>300</v>
          </cell>
          <cell r="L211">
            <v>50</v>
          </cell>
          <cell r="M211">
            <v>450</v>
          </cell>
          <cell r="N211">
            <v>5969.106864312289</v>
          </cell>
          <cell r="O211">
            <v>0.22</v>
          </cell>
          <cell r="P211">
            <v>1313.2035101487036</v>
          </cell>
          <cell r="Q211">
            <v>4655.9033541635854</v>
          </cell>
          <cell r="R211">
            <v>1083.9359999999999</v>
          </cell>
          <cell r="S211">
            <v>4.2953673963809536</v>
          </cell>
          <cell r="T211">
            <v>0.53352968175222193</v>
          </cell>
          <cell r="U211">
            <v>2.2917060000000005</v>
          </cell>
          <cell r="V211">
            <v>4.2953673963809536</v>
          </cell>
          <cell r="W211" t="str">
            <v xml:space="preserve">       --</v>
          </cell>
          <cell r="X211">
            <v>4.2953673963809536</v>
          </cell>
        </row>
        <row r="213">
          <cell r="A213" t="str">
            <v>See footnotes on Quarterly Margin Analysis table.</v>
          </cell>
        </row>
        <row r="214">
          <cell r="A214" t="str">
            <v xml:space="preserve">E = Morgan Stanley Research Estimates       A = Actual       NM = Not Meaningful         </v>
          </cell>
        </row>
      </sheetData>
      <sheetData sheetId="8" refreshError="1">
        <row r="1">
          <cell r="A1" t="str">
            <v>Table 4</v>
          </cell>
        </row>
        <row r="2">
          <cell r="A2" t="str">
            <v>Eli Lilly</v>
          </cell>
        </row>
        <row r="3">
          <cell r="A3" t="str">
            <v>Quarterly Margin Analysis, 2000-2007E</v>
          </cell>
        </row>
        <row r="4">
          <cell r="H4" t="str">
            <v>Non-Operating Items</v>
          </cell>
        </row>
        <row r="5">
          <cell r="D5" t="str">
            <v xml:space="preserve">  Gross</v>
          </cell>
          <cell r="G5" t="str">
            <v xml:space="preserve">  Oper</v>
          </cell>
          <cell r="H5" t="str">
            <v xml:space="preserve">  Net Int</v>
          </cell>
          <cell r="I5" t="str">
            <v xml:space="preserve">   Dow</v>
          </cell>
          <cell r="J5" t="str">
            <v>PCS</v>
          </cell>
          <cell r="K5" t="str">
            <v>Actos</v>
          </cell>
          <cell r="N5" t="str">
            <v xml:space="preserve"> Pretax</v>
          </cell>
          <cell r="O5" t="str">
            <v>Net</v>
          </cell>
        </row>
        <row r="6">
          <cell r="B6" t="str">
            <v xml:space="preserve">  Sales</v>
          </cell>
          <cell r="C6" t="str">
            <v xml:space="preserve">   COGS</v>
          </cell>
          <cell r="D6" t="str">
            <v xml:space="preserve">  Margin</v>
          </cell>
          <cell r="E6" t="str">
            <v xml:space="preserve">   SG&amp;A</v>
          </cell>
          <cell r="F6" t="str">
            <v xml:space="preserve">   R&amp;D</v>
          </cell>
          <cell r="G6" t="str">
            <v xml:space="preserve"> Income</v>
          </cell>
          <cell r="H6" t="str">
            <v>Inc.</v>
          </cell>
          <cell r="I6" t="str">
            <v xml:space="preserve">  Elanco</v>
          </cell>
          <cell r="J6" t="str">
            <v>Goodwill</v>
          </cell>
          <cell r="K6" t="str">
            <v>Revs (a)</v>
          </cell>
          <cell r="L6" t="str">
            <v xml:space="preserve">  Other</v>
          </cell>
          <cell r="M6" t="str">
            <v xml:space="preserve">  Total</v>
          </cell>
          <cell r="N6" t="str">
            <v xml:space="preserve"> Income</v>
          </cell>
          <cell r="O6" t="str">
            <v>Income</v>
          </cell>
        </row>
        <row r="8">
          <cell r="A8">
            <v>1994</v>
          </cell>
        </row>
        <row r="9">
          <cell r="A9" t="str">
            <v xml:space="preserve"> 1Q (a)</v>
          </cell>
          <cell r="B9">
            <v>1</v>
          </cell>
          <cell r="C9">
            <v>0.29187991750057296</v>
          </cell>
          <cell r="D9">
            <v>0.70812008249942704</v>
          </cell>
          <cell r="E9">
            <v>0.21388740355969751</v>
          </cell>
          <cell r="F9">
            <v>0.13543655946833705</v>
          </cell>
          <cell r="G9">
            <v>0.35879611947139251</v>
          </cell>
          <cell r="H9">
            <v>-2.7499809029103966E-3</v>
          </cell>
          <cell r="I9">
            <v>2.7499809029103966E-2</v>
          </cell>
          <cell r="J9" t="str">
            <v>NM</v>
          </cell>
          <cell r="K9" t="str">
            <v>NM</v>
          </cell>
          <cell r="L9">
            <v>-1.0159651669085633E-2</v>
          </cell>
          <cell r="M9">
            <v>1.4590176457107936E-2</v>
          </cell>
          <cell r="N9">
            <v>0.37338629592850042</v>
          </cell>
          <cell r="O9">
            <v>0.25576961271102278</v>
          </cell>
        </row>
        <row r="10">
          <cell r="A10" t="str">
            <v xml:space="preserve"> 2Q (b)</v>
          </cell>
          <cell r="B10">
            <v>1</v>
          </cell>
          <cell r="C10">
            <v>0.28645678645678646</v>
          </cell>
          <cell r="D10">
            <v>0.71354321354321359</v>
          </cell>
          <cell r="E10">
            <v>0.24547074547074549</v>
          </cell>
          <cell r="F10">
            <v>0.15013365013365013</v>
          </cell>
          <cell r="G10">
            <v>0.31793881793881795</v>
          </cell>
          <cell r="H10">
            <v>-8.9100089100089055E-4</v>
          </cell>
          <cell r="I10">
            <v>3.2298782298782303E-2</v>
          </cell>
          <cell r="J10" t="str">
            <v>NM</v>
          </cell>
          <cell r="K10" t="str">
            <v>NM</v>
          </cell>
          <cell r="L10">
            <v>0</v>
          </cell>
          <cell r="M10">
            <v>3.1407781407781409E-2</v>
          </cell>
          <cell r="N10">
            <v>0.34934659934659934</v>
          </cell>
          <cell r="O10">
            <v>0.24209719334719337</v>
          </cell>
        </row>
        <row r="11">
          <cell r="A11" t="str">
            <v xml:space="preserve"> 3Q (c)</v>
          </cell>
          <cell r="B11">
            <v>1</v>
          </cell>
          <cell r="C11">
            <v>0.29947588403104891</v>
          </cell>
          <cell r="D11">
            <v>0.70052411596895103</v>
          </cell>
          <cell r="E11">
            <v>0.23956743846613152</v>
          </cell>
          <cell r="F11">
            <v>0.14516022026139455</v>
          </cell>
          <cell r="G11">
            <v>0.31579645724142502</v>
          </cell>
          <cell r="H11">
            <v>1.2605320772241747E-3</v>
          </cell>
          <cell r="I11">
            <v>1.3268758707622903E-3</v>
          </cell>
          <cell r="J11" t="str">
            <v>NM</v>
          </cell>
          <cell r="K11" t="str">
            <v>NM</v>
          </cell>
          <cell r="L11">
            <v>3.5162210575200689E-3</v>
          </cell>
          <cell r="M11">
            <v>6.1036290055065346E-3</v>
          </cell>
          <cell r="N11">
            <v>0.32190008624693162</v>
          </cell>
          <cell r="O11">
            <v>0.22307675976912361</v>
          </cell>
        </row>
        <row r="12">
          <cell r="A12" t="str">
            <v xml:space="preserve"> 4Q </v>
          </cell>
          <cell r="B12">
            <v>1</v>
          </cell>
          <cell r="C12">
            <v>0.29733918884009297</v>
          </cell>
          <cell r="D12">
            <v>0.70266081115990708</v>
          </cell>
          <cell r="E12">
            <v>0.27551020408163263</v>
          </cell>
          <cell r="F12">
            <v>0.15525703952467063</v>
          </cell>
          <cell r="G12">
            <v>0.27189356755360383</v>
          </cell>
          <cell r="H12">
            <v>-2.2151898734177212E-2</v>
          </cell>
          <cell r="I12">
            <v>-3.874967708602428E-3</v>
          </cell>
          <cell r="J12">
            <v>-7.2332730560578651E-3</v>
          </cell>
          <cell r="K12" t="e">
            <v>#NULL!</v>
          </cell>
          <cell r="L12">
            <v>5.8124515629036418E-3</v>
          </cell>
          <cell r="M12">
            <v>-2.7447687935933867E-2</v>
          </cell>
          <cell r="N12">
            <v>0.24444587961766984</v>
          </cell>
          <cell r="O12">
            <v>0.17404546628778095</v>
          </cell>
        </row>
        <row r="14">
          <cell r="A14">
            <v>1993</v>
          </cell>
        </row>
        <row r="15">
          <cell r="A15" t="str">
            <v xml:space="preserve"> 1Q </v>
          </cell>
          <cell r="B15">
            <v>1</v>
          </cell>
          <cell r="C15">
            <v>0.25624261520283576</v>
          </cell>
          <cell r="D15">
            <v>0.74375738479716424</v>
          </cell>
          <cell r="E15">
            <v>0.23300512012603389</v>
          </cell>
          <cell r="F15">
            <v>0.13367467506892478</v>
          </cell>
          <cell r="G15">
            <v>0.37707758960220555</v>
          </cell>
          <cell r="H15">
            <v>-3.7022449783379284E-3</v>
          </cell>
          <cell r="I15">
            <v>2.520677432059866E-2</v>
          </cell>
          <cell r="J15" t="str">
            <v>NM</v>
          </cell>
          <cell r="K15" t="str">
            <v>NM</v>
          </cell>
          <cell r="L15">
            <v>-6.301693580149665E-3</v>
          </cell>
          <cell r="M15">
            <v>1.5202835762111068E-2</v>
          </cell>
          <cell r="N15">
            <v>0.39228042536431668</v>
          </cell>
          <cell r="O15">
            <v>0.26916108704214259</v>
          </cell>
        </row>
        <row r="16">
          <cell r="A16" t="str">
            <v xml:space="preserve"> 2Q</v>
          </cell>
          <cell r="B16">
            <v>1</v>
          </cell>
          <cell r="C16">
            <v>0.27706422018348625</v>
          </cell>
          <cell r="D16">
            <v>0.72293577981651369</v>
          </cell>
          <cell r="E16">
            <v>0.24898284802552853</v>
          </cell>
          <cell r="F16">
            <v>0.14567211806940566</v>
          </cell>
          <cell r="G16">
            <v>0.32828081372157952</v>
          </cell>
          <cell r="H16">
            <v>-4.3877143996808934E-3</v>
          </cell>
          <cell r="I16">
            <v>2.3932987634623055E-2</v>
          </cell>
          <cell r="J16" t="str">
            <v>NM</v>
          </cell>
          <cell r="K16" t="str">
            <v>NM</v>
          </cell>
          <cell r="L16">
            <v>7.9776625448743522E-3</v>
          </cell>
          <cell r="M16">
            <v>2.7522935779816515E-2</v>
          </cell>
          <cell r="N16">
            <v>0.35580374950139609</v>
          </cell>
          <cell r="O16">
            <v>0.24004786597526923</v>
          </cell>
        </row>
        <row r="17">
          <cell r="A17" t="str">
            <v xml:space="preserve"> 3Q</v>
          </cell>
          <cell r="B17">
            <v>1</v>
          </cell>
          <cell r="C17">
            <v>0.27823374917925148</v>
          </cell>
          <cell r="D17">
            <v>0.72176625082074852</v>
          </cell>
          <cell r="E17">
            <v>0.26715364412344056</v>
          </cell>
          <cell r="F17">
            <v>0.14937623112278398</v>
          </cell>
          <cell r="G17">
            <v>0.30523637557452399</v>
          </cell>
          <cell r="H17">
            <v>-3.2829940906106366E-3</v>
          </cell>
          <cell r="I17">
            <v>2.4622455679579776E-3</v>
          </cell>
          <cell r="J17" t="str">
            <v>NM</v>
          </cell>
          <cell r="K17" t="str">
            <v>NM</v>
          </cell>
          <cell r="L17">
            <v>-3.6112934996717005E-3</v>
          </cell>
          <cell r="M17">
            <v>-4.43204202232436E-3</v>
          </cell>
          <cell r="N17">
            <v>0.3008043335521996</v>
          </cell>
          <cell r="O17">
            <v>0.19968811556139199</v>
          </cell>
        </row>
        <row r="18">
          <cell r="A18" t="str">
            <v xml:space="preserve"> 4Q</v>
          </cell>
          <cell r="B18">
            <v>1</v>
          </cell>
          <cell r="C18">
            <v>0.29949900487269232</v>
          </cell>
          <cell r="D18">
            <v>0.70050099512730768</v>
          </cell>
          <cell r="E18">
            <v>0.27390021275135545</v>
          </cell>
          <cell r="F18">
            <v>0.15139660970420699</v>
          </cell>
          <cell r="G18">
            <v>0.27520417267174524</v>
          </cell>
          <cell r="H18">
            <v>-4.1177681696520484E-3</v>
          </cell>
          <cell r="I18">
            <v>-6.8629469494200818E-4</v>
          </cell>
          <cell r="J18" t="str">
            <v>NM</v>
          </cell>
          <cell r="K18" t="str">
            <v>NM</v>
          </cell>
          <cell r="L18">
            <v>-6.1766522544780735E-3</v>
          </cell>
          <cell r="M18">
            <v>-1.0980715119072131E-2</v>
          </cell>
          <cell r="N18">
            <v>0.26422345755267312</v>
          </cell>
          <cell r="O18">
            <v>0.17335803994235124</v>
          </cell>
        </row>
        <row r="20">
          <cell r="A20" t="str">
            <v>1993</v>
          </cell>
          <cell r="B20">
            <v>1</v>
          </cell>
          <cell r="C20">
            <v>0.27854188708281236</v>
          </cell>
          <cell r="D20">
            <v>0.72145811291718764</v>
          </cell>
          <cell r="E20">
            <v>0.25632393959796096</v>
          </cell>
          <cell r="F20">
            <v>0.14521496585553526</v>
          </cell>
          <cell r="G20">
            <v>0.3199192074636914</v>
          </cell>
          <cell r="H20">
            <v>-3.885736270077907E-3</v>
          </cell>
          <cell r="I20">
            <v>1.2311243627969606E-2</v>
          </cell>
          <cell r="J20" t="str">
            <v>NM</v>
          </cell>
          <cell r="K20" t="str">
            <v>NM</v>
          </cell>
          <cell r="L20">
            <v>-2.1929402712320863E-3</v>
          </cell>
          <cell r="M20">
            <v>6.2325670866596131E-3</v>
          </cell>
          <cell r="N20">
            <v>0.32615177455035105</v>
          </cell>
          <cell r="O20">
            <v>0.21900548235067807</v>
          </cell>
        </row>
        <row r="22">
          <cell r="A22" t="str">
            <v>1994</v>
          </cell>
          <cell r="B22">
            <v>1</v>
          </cell>
          <cell r="C22">
            <v>0.29408572028853563</v>
          </cell>
          <cell r="D22">
            <v>0.70591427971146437</v>
          </cell>
          <cell r="E22">
            <v>0.24481756425519996</v>
          </cell>
          <cell r="F22">
            <v>0.14684151551229074</v>
          </cell>
          <cell r="G22">
            <v>0.31425519994397361</v>
          </cell>
          <cell r="H22">
            <v>-6.5130611387352044E-3</v>
          </cell>
          <cell r="I22">
            <v>1.3218712795013656E-2</v>
          </cell>
          <cell r="J22">
            <v>-1.9609216331675887E-3</v>
          </cell>
          <cell r="K22" t="e">
            <v>#NULL!</v>
          </cell>
          <cell r="L22">
            <v>1.7508228867567756E-4</v>
          </cell>
          <cell r="M22">
            <v>4.9198123117865384E-3</v>
          </cell>
          <cell r="N22">
            <v>0.31917501225576017</v>
          </cell>
          <cell r="O22">
            <v>0.22176274599061555</v>
          </cell>
        </row>
        <row r="24">
          <cell r="A24">
            <v>1995</v>
          </cell>
        </row>
        <row r="25">
          <cell r="A25" t="str">
            <v xml:space="preserve"> 1Q</v>
          </cell>
          <cell r="B25">
            <v>1</v>
          </cell>
          <cell r="C25">
            <v>0.29843358760845512</v>
          </cell>
          <cell r="D25">
            <v>0.70156641239154482</v>
          </cell>
          <cell r="E25">
            <v>0.23711640365690329</v>
          </cell>
          <cell r="F25">
            <v>0.13783264426716357</v>
          </cell>
          <cell r="G25">
            <v>0.32661736446747797</v>
          </cell>
          <cell r="H25">
            <v>-3.0454783672043326E-2</v>
          </cell>
          <cell r="I25">
            <v>2.0380830373260352E-2</v>
          </cell>
          <cell r="J25">
            <v>-1.455773598090025E-2</v>
          </cell>
          <cell r="K25" t="e">
            <v>#NULL!</v>
          </cell>
          <cell r="L25">
            <v>5.2407849531240901E-3</v>
          </cell>
          <cell r="M25">
            <v>-1.9390904326559138E-2</v>
          </cell>
          <cell r="N25">
            <v>0.30722646014091887</v>
          </cell>
          <cell r="O25">
            <v>0.21807488499388569</v>
          </cell>
        </row>
        <row r="26">
          <cell r="A26" t="str">
            <v xml:space="preserve"> 2Q</v>
          </cell>
          <cell r="B26">
            <v>1</v>
          </cell>
          <cell r="C26">
            <v>0.28449343571959373</v>
          </cell>
          <cell r="D26">
            <v>0.71550656428040627</v>
          </cell>
          <cell r="E26">
            <v>0.27018825860787715</v>
          </cell>
          <cell r="F26">
            <v>0.1613202873420857</v>
          </cell>
          <cell r="G26">
            <v>0.28399801833044347</v>
          </cell>
          <cell r="H26">
            <v>-3.2325984642060941E-2</v>
          </cell>
          <cell r="I26">
            <v>2.4770869457517958E-2</v>
          </cell>
          <cell r="J26">
            <v>-1.5481793410948725E-2</v>
          </cell>
          <cell r="K26" t="e">
            <v>#NULL!</v>
          </cell>
          <cell r="L26">
            <v>9.2890760465692349E-3</v>
          </cell>
          <cell r="M26">
            <v>-1.374783254892247E-2</v>
          </cell>
          <cell r="N26">
            <v>0.27025018578152105</v>
          </cell>
          <cell r="O26">
            <v>0.19178845677483289</v>
          </cell>
        </row>
        <row r="27">
          <cell r="A27" t="str">
            <v xml:space="preserve"> 3Q</v>
          </cell>
          <cell r="B27">
            <v>1</v>
          </cell>
          <cell r="C27">
            <v>0.25735294117647056</v>
          </cell>
          <cell r="D27">
            <v>0.74264705882352944</v>
          </cell>
          <cell r="E27">
            <v>0.27205882352941174</v>
          </cell>
          <cell r="F27">
            <v>0.15992647058823528</v>
          </cell>
          <cell r="G27">
            <v>0.31066176470588236</v>
          </cell>
          <cell r="H27">
            <v>-3.1924019607843135E-2</v>
          </cell>
          <cell r="I27">
            <v>0</v>
          </cell>
          <cell r="J27">
            <v>-1.5318627450980392E-2</v>
          </cell>
          <cell r="K27" t="e">
            <v>#NULL!</v>
          </cell>
          <cell r="L27">
            <v>4.2892156862745102E-3</v>
          </cell>
          <cell r="M27">
            <v>-4.2953431372549013E-2</v>
          </cell>
          <cell r="N27">
            <v>0.26770833333333333</v>
          </cell>
          <cell r="O27">
            <v>0.18988970588235293</v>
          </cell>
        </row>
        <row r="28">
          <cell r="A28" t="str">
            <v xml:space="preserve"> 4Q</v>
          </cell>
          <cell r="B28">
            <v>1</v>
          </cell>
          <cell r="C28">
            <v>0.27453050338926549</v>
          </cell>
          <cell r="D28">
            <v>0.72546949661073445</v>
          </cell>
          <cell r="E28">
            <v>0.31470163351483499</v>
          </cell>
          <cell r="F28">
            <v>0.1580731192354706</v>
          </cell>
          <cell r="G28">
            <v>0.25269474386042884</v>
          </cell>
          <cell r="H28">
            <v>-2.8003111456828537E-2</v>
          </cell>
          <cell r="I28">
            <v>0</v>
          </cell>
          <cell r="J28">
            <v>-1.4390487831981331E-2</v>
          </cell>
          <cell r="K28" t="e">
            <v>#NULL!</v>
          </cell>
          <cell r="L28">
            <v>-8.1120124458273143E-3</v>
          </cell>
          <cell r="M28">
            <v>-5.0505611734637176E-2</v>
          </cell>
          <cell r="N28">
            <v>0.20218913212579168</v>
          </cell>
          <cell r="O28">
            <v>0.17301922435826195</v>
          </cell>
        </row>
        <row r="30">
          <cell r="A30" t="str">
            <v>Year</v>
          </cell>
          <cell r="B30">
            <v>1</v>
          </cell>
          <cell r="C30">
            <v>0.27883321752243528</v>
          </cell>
          <cell r="D30">
            <v>0.72116678247756472</v>
          </cell>
          <cell r="E30">
            <v>0.27408743476396752</v>
          </cell>
          <cell r="F30">
            <v>0.15415662561539939</v>
          </cell>
          <cell r="G30">
            <v>0.2929227220981977</v>
          </cell>
          <cell r="H30">
            <v>-3.0603645825633137E-2</v>
          </cell>
          <cell r="I30">
            <v>1.1088277473055484E-2</v>
          </cell>
          <cell r="J30">
            <v>-1.4917429293750646E-2</v>
          </cell>
          <cell r="K30" t="e">
            <v>#NULL!</v>
          </cell>
          <cell r="L30">
            <v>2.4246366741081326E-3</v>
          </cell>
          <cell r="M30">
            <v>-3.2008160972220166E-2</v>
          </cell>
          <cell r="N30">
            <v>0.26091456112597761</v>
          </cell>
          <cell r="O30">
            <v>0.1930099498809858</v>
          </cell>
        </row>
        <row r="32">
          <cell r="A32">
            <v>1996</v>
          </cell>
        </row>
        <row r="33">
          <cell r="A33" t="str">
            <v xml:space="preserve"> 1Q (b)</v>
          </cell>
          <cell r="B33">
            <v>1</v>
          </cell>
          <cell r="C33">
            <v>0.29047271911624517</v>
          </cell>
          <cell r="D33">
            <v>0.70952728088375483</v>
          </cell>
          <cell r="E33">
            <v>0.25794874670554591</v>
          </cell>
          <cell r="F33">
            <v>0.15476924802332753</v>
          </cell>
          <cell r="G33">
            <v>0.29680928615488139</v>
          </cell>
          <cell r="H33">
            <v>-2.8879044468120903E-2</v>
          </cell>
          <cell r="I33">
            <v>1.8505018785397859E-2</v>
          </cell>
          <cell r="J33">
            <v>-1.4018953625301409E-2</v>
          </cell>
          <cell r="K33" t="e">
            <v>#NULL!</v>
          </cell>
          <cell r="L33">
            <v>6.1683395951326195E-3</v>
          </cell>
          <cell r="M33">
            <v>-1.8224639712891833E-2</v>
          </cell>
          <cell r="N33">
            <v>0.27858464644198955</v>
          </cell>
          <cell r="O33">
            <v>0.20698839230639823</v>
          </cell>
        </row>
        <row r="34">
          <cell r="A34" t="str">
            <v xml:space="preserve"> 2Q (c)</v>
          </cell>
          <cell r="B34">
            <v>1</v>
          </cell>
          <cell r="C34">
            <v>0.29741506212094448</v>
          </cell>
          <cell r="D34">
            <v>0.70258493787905552</v>
          </cell>
          <cell r="E34">
            <v>0.28204675263498796</v>
          </cell>
          <cell r="F34">
            <v>0.16098451392569038</v>
          </cell>
          <cell r="G34">
            <v>0.25955367131837709</v>
          </cell>
          <cell r="H34">
            <v>-2.9617853147264912E-2</v>
          </cell>
          <cell r="I34">
            <v>2.2375316492963551E-2</v>
          </cell>
          <cell r="J34">
            <v>-1.4720602955897074E-2</v>
          </cell>
          <cell r="K34" t="e">
            <v>#NULL!</v>
          </cell>
          <cell r="L34">
            <v>2.6497085320614733E-2</v>
          </cell>
          <cell r="M34">
            <v>4.5339457104163006E-3</v>
          </cell>
          <cell r="N34">
            <v>0.26408761702879341</v>
          </cell>
          <cell r="O34">
            <v>0.19621709945239352</v>
          </cell>
        </row>
        <row r="35">
          <cell r="A35" t="str">
            <v xml:space="preserve"> 3Q (d)</v>
          </cell>
          <cell r="B35">
            <v>1</v>
          </cell>
          <cell r="C35">
            <v>0.27878485503631018</v>
          </cell>
          <cell r="D35">
            <v>0.72121514496368988</v>
          </cell>
          <cell r="E35">
            <v>0.25394977548644604</v>
          </cell>
          <cell r="F35">
            <v>0.16115083984699816</v>
          </cell>
          <cell r="G35">
            <v>0.3061145296302456</v>
          </cell>
          <cell r="H35">
            <v>-2.9159044292920887E-2</v>
          </cell>
          <cell r="I35">
            <v>0</v>
          </cell>
          <cell r="J35">
            <v>-1.3858861355950994E-2</v>
          </cell>
          <cell r="K35" t="e">
            <v>#NULL!</v>
          </cell>
          <cell r="L35">
            <v>5.5435445423803976E-3</v>
          </cell>
          <cell r="M35">
            <v>-3.7474361106491487E-2</v>
          </cell>
          <cell r="N35">
            <v>0.26864016852375411</v>
          </cell>
          <cell r="O35">
            <v>0.1995996452131493</v>
          </cell>
        </row>
        <row r="36">
          <cell r="A36" t="str">
            <v xml:space="preserve"> 4Q</v>
          </cell>
          <cell r="B36">
            <v>1</v>
          </cell>
          <cell r="C36">
            <v>0.28741933918781232</v>
          </cell>
          <cell r="D36">
            <v>0.71258066081218763</v>
          </cell>
          <cell r="E36">
            <v>0.28130609868516809</v>
          </cell>
          <cell r="F36">
            <v>0.16952112949395953</v>
          </cell>
          <cell r="G36">
            <v>0.26175343263305995</v>
          </cell>
          <cell r="H36">
            <v>-2.542331764591723E-2</v>
          </cell>
          <cell r="I36">
            <v>0</v>
          </cell>
          <cell r="J36">
            <v>-1.2129445441754403E-2</v>
          </cell>
          <cell r="K36" t="e">
            <v>#NULL!</v>
          </cell>
          <cell r="L36">
            <v>1.0188734171073698E-2</v>
          </cell>
          <cell r="M36">
            <v>-2.7364028916597938E-2</v>
          </cell>
          <cell r="N36">
            <v>0.23438940371646205</v>
          </cell>
          <cell r="O36">
            <v>0.18111687933627671</v>
          </cell>
        </row>
        <row r="38">
          <cell r="A38" t="str">
            <v>Year</v>
          </cell>
          <cell r="B38">
            <v>1</v>
          </cell>
          <cell r="C38">
            <v>0.28835107396618842</v>
          </cell>
          <cell r="D38">
            <v>0.71164892603381158</v>
          </cell>
          <cell r="E38">
            <v>0.26909046361582228</v>
          </cell>
          <cell r="F38">
            <v>0.1619116325919473</v>
          </cell>
          <cell r="G38">
            <v>0.28064682982604189</v>
          </cell>
          <cell r="H38">
            <v>-2.8149075762937958E-2</v>
          </cell>
          <cell r="I38">
            <v>9.6643345220918508E-3</v>
          </cell>
          <cell r="J38">
            <v>-1.361173876350965E-2</v>
          </cell>
          <cell r="K38" t="e">
            <v>#NULL!</v>
          </cell>
          <cell r="L38">
            <v>1.1842212724253396E-2</v>
          </cell>
          <cell r="M38">
            <v>-2.0254267280102361E-2</v>
          </cell>
          <cell r="N38">
            <v>0.26039256254593957</v>
          </cell>
          <cell r="O38">
            <v>0.1954258704706939</v>
          </cell>
        </row>
        <row r="40">
          <cell r="A40">
            <v>1997</v>
          </cell>
        </row>
        <row r="41">
          <cell r="A41" t="str">
            <v xml:space="preserve"> 1Q (a)</v>
          </cell>
          <cell r="B41">
            <v>1</v>
          </cell>
          <cell r="C41">
            <v>0.27716333845366103</v>
          </cell>
          <cell r="D41">
            <v>0.72283666154633897</v>
          </cell>
          <cell r="E41">
            <v>0.2415258576548899</v>
          </cell>
          <cell r="F41">
            <v>0.15422427035330261</v>
          </cell>
          <cell r="G41">
            <v>0.32708653353814643</v>
          </cell>
          <cell r="H41">
            <v>-2.3502304147465441E-2</v>
          </cell>
          <cell r="I41">
            <v>1.0752688172043012E-2</v>
          </cell>
          <cell r="J41">
            <v>-1.2800819252432157E-2</v>
          </cell>
          <cell r="K41" t="e">
            <v>#NULL!</v>
          </cell>
          <cell r="L41">
            <v>6.0419866871479775E-3</v>
          </cell>
          <cell r="M41">
            <v>-1.9508448540706609E-2</v>
          </cell>
          <cell r="N41">
            <v>0.30757808499743983</v>
          </cell>
          <cell r="O41">
            <v>0.23067076292882741</v>
          </cell>
        </row>
        <row r="42">
          <cell r="A42" t="str">
            <v xml:space="preserve"> 2Q (b)</v>
          </cell>
          <cell r="B42">
            <v>1</v>
          </cell>
          <cell r="C42">
            <v>0.27595916930658215</v>
          </cell>
          <cell r="D42">
            <v>0.72404083069341785</v>
          </cell>
          <cell r="E42">
            <v>0.27771911298838436</v>
          </cell>
          <cell r="F42">
            <v>0.16427817166993514</v>
          </cell>
          <cell r="G42">
            <v>0.28204354603509835</v>
          </cell>
          <cell r="H42">
            <v>-2.2678131442650979E-2</v>
          </cell>
          <cell r="I42">
            <v>1.9107959973852263E-2</v>
          </cell>
          <cell r="J42">
            <v>-1.2571026298587017E-2</v>
          </cell>
          <cell r="K42" t="e">
            <v>#NULL!</v>
          </cell>
          <cell r="L42">
            <v>1.4079549454417459E-2</v>
          </cell>
          <cell r="M42">
            <v>-2.0616483129682712E-3</v>
          </cell>
          <cell r="N42">
            <v>0.27998189772213006</v>
          </cell>
          <cell r="O42">
            <v>0.21003670739679189</v>
          </cell>
        </row>
        <row r="43">
          <cell r="A43" t="str">
            <v xml:space="preserve"> 3Q</v>
          </cell>
          <cell r="B43">
            <v>1</v>
          </cell>
          <cell r="C43">
            <v>0.27211703161890655</v>
          </cell>
          <cell r="D43">
            <v>0.72788296838109345</v>
          </cell>
          <cell r="E43">
            <v>0.27183926670061576</v>
          </cell>
          <cell r="F43">
            <v>0.15990000462941531</v>
          </cell>
          <cell r="G43">
            <v>0.29614369705106242</v>
          </cell>
          <cell r="H43">
            <v>-1.4999305587704273E-2</v>
          </cell>
          <cell r="I43">
            <v>0</v>
          </cell>
          <cell r="J43">
            <v>-3.4720614786352484E-3</v>
          </cell>
          <cell r="K43" t="e">
            <v>#NULL!</v>
          </cell>
          <cell r="L43">
            <v>-5.0923568353316987E-4</v>
          </cell>
          <cell r="M43">
            <v>-1.8980602749872691E-2</v>
          </cell>
          <cell r="N43">
            <v>0.27716309430118974</v>
          </cell>
          <cell r="O43">
            <v>0.20786074718763017</v>
          </cell>
        </row>
        <row r="44">
          <cell r="A44" t="str">
            <v xml:space="preserve"> 4Q</v>
          </cell>
          <cell r="B44">
            <v>1</v>
          </cell>
          <cell r="C44">
            <v>0.28354996274526034</v>
          </cell>
          <cell r="D44">
            <v>0.71645003725473966</v>
          </cell>
          <cell r="E44">
            <v>0.28263929133206389</v>
          </cell>
          <cell r="F44">
            <v>0.16917791207881444</v>
          </cell>
          <cell r="G44">
            <v>0.26463283384386133</v>
          </cell>
          <cell r="H44">
            <v>-8.7341667356569258E-3</v>
          </cell>
          <cell r="I44">
            <v>0</v>
          </cell>
          <cell r="J44">
            <v>-3.1045616358970113E-3</v>
          </cell>
          <cell r="K44" t="e">
            <v>#NULL!</v>
          </cell>
          <cell r="L44">
            <v>-2.8975908601705438E-4</v>
          </cell>
          <cell r="M44">
            <v>-1.212848745757099E-2</v>
          </cell>
          <cell r="N44">
            <v>0.25250434638629032</v>
          </cell>
          <cell r="O44">
            <v>0.18937825978971778</v>
          </cell>
        </row>
        <row r="46">
          <cell r="A46" t="str">
            <v>Year</v>
          </cell>
          <cell r="B46">
            <v>1</v>
          </cell>
          <cell r="C46">
            <v>0.27741382549074856</v>
          </cell>
          <cell r="D46">
            <v>0.72258617450925144</v>
          </cell>
          <cell r="E46">
            <v>0.26932469240161555</v>
          </cell>
          <cell r="F46">
            <v>0.16225227763689304</v>
          </cell>
          <cell r="G46">
            <v>0.29100920447074302</v>
          </cell>
          <cell r="H46">
            <v>-1.6964872734103506E-2</v>
          </cell>
          <cell r="I46">
            <v>6.926833849910774E-3</v>
          </cell>
          <cell r="J46">
            <v>-7.6312576312576328E-3</v>
          </cell>
          <cell r="K46" t="e">
            <v>#NULL!</v>
          </cell>
          <cell r="L46">
            <v>4.4613506151967687E-3</v>
          </cell>
          <cell r="M46">
            <v>-1.3207945900253596E-2</v>
          </cell>
          <cell r="N46">
            <v>0.27780125857048943</v>
          </cell>
          <cell r="O46">
            <v>0.20835681412604495</v>
          </cell>
        </row>
        <row r="48">
          <cell r="A48" t="str">
            <v>1998R</v>
          </cell>
        </row>
        <row r="49">
          <cell r="A49" t="str">
            <v xml:space="preserve"> 1Q (a)</v>
          </cell>
          <cell r="B49">
            <v>1</v>
          </cell>
          <cell r="C49">
            <v>0.21911835170100624</v>
          </cell>
          <cell r="D49">
            <v>0.78088164829899376</v>
          </cell>
          <cell r="E49">
            <v>0.26042165788212746</v>
          </cell>
          <cell r="F49">
            <v>0.17388596070915188</v>
          </cell>
          <cell r="G49">
            <v>0.34657402970771445</v>
          </cell>
          <cell r="H49">
            <v>-1.1451844753234307E-2</v>
          </cell>
          <cell r="I49">
            <v>0</v>
          </cell>
          <cell r="J49">
            <v>0</v>
          </cell>
          <cell r="K49" t="e">
            <v>#NULL!</v>
          </cell>
          <cell r="L49">
            <v>1.8687110685194058E-3</v>
          </cell>
          <cell r="M49">
            <v>-9.5831336847149017E-3</v>
          </cell>
          <cell r="N49">
            <v>0.33699089602299953</v>
          </cell>
          <cell r="O49">
            <v>0.25471969333972216</v>
          </cell>
        </row>
        <row r="50">
          <cell r="A50" t="str">
            <v xml:space="preserve"> 2Q </v>
          </cell>
          <cell r="B50">
            <v>1</v>
          </cell>
          <cell r="C50">
            <v>0.22208816705336429</v>
          </cell>
          <cell r="D50">
            <v>0.77791183294663568</v>
          </cell>
          <cell r="E50">
            <v>0.29577726218097444</v>
          </cell>
          <cell r="F50">
            <v>0.19336426914153132</v>
          </cell>
          <cell r="G50">
            <v>0.28877030162412992</v>
          </cell>
          <cell r="H50">
            <v>-8.8167053364269134E-3</v>
          </cell>
          <cell r="I50">
            <v>0</v>
          </cell>
          <cell r="J50">
            <v>0</v>
          </cell>
          <cell r="K50" t="e">
            <v>#NULL!</v>
          </cell>
          <cell r="L50">
            <v>2.0417633410672854E-2</v>
          </cell>
          <cell r="M50">
            <v>1.1600928074245939E-2</v>
          </cell>
          <cell r="N50">
            <v>0.30037122969837587</v>
          </cell>
          <cell r="O50">
            <v>0.22779582366589327</v>
          </cell>
        </row>
        <row r="51">
          <cell r="A51" t="str">
            <v xml:space="preserve"> 3Q (b)</v>
          </cell>
          <cell r="B51">
            <v>1</v>
          </cell>
          <cell r="C51">
            <v>0.21009578706450791</v>
          </cell>
          <cell r="D51">
            <v>0.78990421293549207</v>
          </cell>
          <cell r="E51">
            <v>0.28295329321013818</v>
          </cell>
          <cell r="F51">
            <v>0.18644570653555986</v>
          </cell>
          <cell r="G51">
            <v>0.32050521318979397</v>
          </cell>
          <cell r="H51">
            <v>-9.875392048825973E-3</v>
          </cell>
          <cell r="I51">
            <v>0</v>
          </cell>
          <cell r="J51">
            <v>0</v>
          </cell>
          <cell r="K51" t="e">
            <v>#NULL!</v>
          </cell>
          <cell r="L51">
            <v>-2.6701703823005848E-3</v>
          </cell>
          <cell r="M51">
            <v>-1.2545562431126558E-2</v>
          </cell>
          <cell r="N51">
            <v>0.30795965075866738</v>
          </cell>
          <cell r="O51">
            <v>0.24963973891667368</v>
          </cell>
        </row>
        <row r="52">
          <cell r="A52" t="str">
            <v xml:space="preserve"> 4Q</v>
          </cell>
          <cell r="B52">
            <v>1</v>
          </cell>
          <cell r="C52">
            <v>0.22140851483645746</v>
          </cell>
          <cell r="D52">
            <v>0.77859148516354248</v>
          </cell>
          <cell r="E52">
            <v>0.30727783258708352</v>
          </cell>
          <cell r="F52">
            <v>0.1970858313728466</v>
          </cell>
          <cell r="G52">
            <v>0.27422782120361239</v>
          </cell>
          <cell r="H52">
            <v>-6.6783031038931458E-3</v>
          </cell>
          <cell r="I52">
            <v>0</v>
          </cell>
          <cell r="J52">
            <v>0</v>
          </cell>
          <cell r="K52" t="e">
            <v>#NULL!</v>
          </cell>
          <cell r="L52">
            <v>3.8703802079380735E-3</v>
          </cell>
          <cell r="M52">
            <v>-2.8079228959550727E-3</v>
          </cell>
          <cell r="N52">
            <v>0.27141989830765734</v>
          </cell>
          <cell r="O52">
            <v>0.21309858086059047</v>
          </cell>
        </row>
        <row r="54">
          <cell r="A54" t="str">
            <v>Year</v>
          </cell>
          <cell r="B54">
            <v>1</v>
          </cell>
          <cell r="C54">
            <v>0.21815996882037073</v>
          </cell>
          <cell r="D54">
            <v>0.78184003117962941</v>
          </cell>
          <cell r="E54">
            <v>0.28779447427680588</v>
          </cell>
          <cell r="F54">
            <v>0.18825783821236794</v>
          </cell>
          <cell r="G54">
            <v>0.30578771869045557</v>
          </cell>
          <cell r="H54">
            <v>-9.0724060280616674E-3</v>
          </cell>
          <cell r="I54">
            <v>0</v>
          </cell>
          <cell r="J54">
            <v>0</v>
          </cell>
          <cell r="K54" t="e">
            <v>#NULL!</v>
          </cell>
          <cell r="L54">
            <v>5.6080027715226053E-3</v>
          </cell>
          <cell r="M54">
            <v>-3.4644032565390613E-3</v>
          </cell>
          <cell r="N54">
            <v>0.30232331543391655</v>
          </cell>
          <cell r="O54">
            <v>0.23526545989953238</v>
          </cell>
        </row>
        <row r="56">
          <cell r="A56">
            <v>1999</v>
          </cell>
        </row>
        <row r="57">
          <cell r="A57" t="str">
            <v xml:space="preserve"> 1Q</v>
          </cell>
          <cell r="B57">
            <v>1</v>
          </cell>
          <cell r="C57">
            <v>0.21878879233906723</v>
          </cell>
          <cell r="D57">
            <v>0.78121120766093277</v>
          </cell>
          <cell r="E57">
            <v>0.26285688951941832</v>
          </cell>
          <cell r="F57">
            <v>0.18314417449902468</v>
          </cell>
          <cell r="G57">
            <v>0.33521014364248974</v>
          </cell>
          <cell r="H57">
            <v>-3.6353963468700105E-3</v>
          </cell>
          <cell r="I57">
            <v>0</v>
          </cell>
          <cell r="J57">
            <v>0</v>
          </cell>
          <cell r="K57" t="e">
            <v>#NULL!</v>
          </cell>
          <cell r="L57">
            <v>3.10338712537684E-3</v>
          </cell>
          <cell r="M57">
            <v>-5.3200922149317066E-4</v>
          </cell>
          <cell r="N57">
            <v>0.33467813442099653</v>
          </cell>
          <cell r="O57">
            <v>0.26103919134598325</v>
          </cell>
        </row>
        <row r="58">
          <cell r="A58" t="str">
            <v xml:space="preserve"> 2Q</v>
          </cell>
          <cell r="B58">
            <v>1</v>
          </cell>
          <cell r="C58">
            <v>0.21079967377773964</v>
          </cell>
          <cell r="D58">
            <v>0.78920032622226033</v>
          </cell>
          <cell r="E58">
            <v>0.27883418465896898</v>
          </cell>
          <cell r="F58">
            <v>0.19766493539940766</v>
          </cell>
          <cell r="G58">
            <v>0.3127012061638838</v>
          </cell>
          <cell r="H58">
            <v>-4.5499420526248025E-3</v>
          </cell>
          <cell r="I58">
            <v>0</v>
          </cell>
          <cell r="J58">
            <v>0</v>
          </cell>
          <cell r="K58" t="e">
            <v>#NULL!</v>
          </cell>
          <cell r="L58">
            <v>3.9490063098252997E-3</v>
          </cell>
          <cell r="M58">
            <v>-6.0093574279950304E-4</v>
          </cell>
          <cell r="N58">
            <v>0.31210027042108429</v>
          </cell>
          <cell r="O58">
            <v>0.24230587629308498</v>
          </cell>
        </row>
        <row r="59">
          <cell r="A59" t="str">
            <v xml:space="preserve"> 3Q</v>
          </cell>
          <cell r="B59">
            <v>1</v>
          </cell>
          <cell r="C59">
            <v>0.21387328339575537</v>
          </cell>
          <cell r="D59">
            <v>0.7861267166042446</v>
          </cell>
          <cell r="E59">
            <v>0.27169163545568048</v>
          </cell>
          <cell r="F59">
            <v>0.17279182272159804</v>
          </cell>
          <cell r="G59">
            <v>0.34164325842696619</v>
          </cell>
          <cell r="H59">
            <v>-3.4722222222222225E-3</v>
          </cell>
          <cell r="I59">
            <v>0</v>
          </cell>
          <cell r="J59">
            <v>0</v>
          </cell>
          <cell r="K59" t="e">
            <v>#NULL!</v>
          </cell>
          <cell r="L59">
            <v>-6.7883895131086152E-3</v>
          </cell>
          <cell r="M59">
            <v>-1.0260611735330837E-2</v>
          </cell>
          <cell r="N59">
            <v>0.33138264669163536</v>
          </cell>
          <cell r="O59">
            <v>0.25659332084893871</v>
          </cell>
        </row>
        <row r="60">
          <cell r="A60" t="str">
            <v xml:space="preserve"> 4Q</v>
          </cell>
          <cell r="B60">
            <v>1</v>
          </cell>
          <cell r="C60">
            <v>0.20362324177038074</v>
          </cell>
          <cell r="D60">
            <v>0.79637675822961929</v>
          </cell>
          <cell r="E60">
            <v>0.30145813388320203</v>
          </cell>
          <cell r="F60">
            <v>0.17199351940496357</v>
          </cell>
          <cell r="G60">
            <v>0.3229251049414536</v>
          </cell>
          <cell r="H60">
            <v>8.4689594226378877E-4</v>
          </cell>
          <cell r="I60">
            <v>0</v>
          </cell>
          <cell r="J60">
            <v>0</v>
          </cell>
          <cell r="K60" t="e">
            <v>#NULL!</v>
          </cell>
          <cell r="L60">
            <v>-1.1819721628985936E-2</v>
          </cell>
          <cell r="M60">
            <v>-1.0972825686722146E-2</v>
          </cell>
          <cell r="N60">
            <v>0.31195227925473151</v>
          </cell>
          <cell r="O60">
            <v>0.24217541792473665</v>
          </cell>
        </row>
        <row r="62">
          <cell r="A62" t="str">
            <v>Year</v>
          </cell>
          <cell r="B62">
            <v>1</v>
          </cell>
          <cell r="C62">
            <v>0.21144936792271127</v>
          </cell>
          <cell r="D62">
            <v>0.78855063207728882</v>
          </cell>
          <cell r="E62">
            <v>0.27955354155895512</v>
          </cell>
          <cell r="F62">
            <v>0.18081364110986084</v>
          </cell>
          <cell r="G62">
            <v>0.32818344940847294</v>
          </cell>
          <cell r="H62">
            <v>-2.5749419624301779E-3</v>
          </cell>
          <cell r="I62">
            <v>0</v>
          </cell>
          <cell r="J62">
            <v>0</v>
          </cell>
          <cell r="K62" t="e">
            <v>#NULL!</v>
          </cell>
          <cell r="L62">
            <v>-3.3758097381466506E-3</v>
          </cell>
          <cell r="M62">
            <v>-5.950751700576829E-3</v>
          </cell>
          <cell r="N62">
            <v>0.32223269770789614</v>
          </cell>
          <cell r="O62">
            <v>0.25027624869478826</v>
          </cell>
        </row>
        <row r="65">
          <cell r="A65">
            <v>2000</v>
          </cell>
        </row>
        <row r="66">
          <cell r="A66" t="str">
            <v xml:space="preserve"> 1QA</v>
          </cell>
          <cell r="B66">
            <v>1</v>
          </cell>
          <cell r="C66">
            <v>0.20493270543431649</v>
          </cell>
          <cell r="D66">
            <v>0.79506729456568348</v>
          </cell>
          <cell r="E66">
            <v>0.27079128652416978</v>
          </cell>
          <cell r="F66">
            <v>0.18038327018935327</v>
          </cell>
          <cell r="G66">
            <v>0.34389273785216046</v>
          </cell>
          <cell r="H66">
            <v>5.0751236323722092E-3</v>
          </cell>
          <cell r="I66">
            <v>0</v>
          </cell>
          <cell r="J66">
            <v>0</v>
          </cell>
          <cell r="L66">
            <v>2.3605226197080033E-4</v>
          </cell>
          <cell r="M66">
            <v>5.3111758943430098E-3</v>
          </cell>
          <cell r="N66">
            <v>0.34920391374650345</v>
          </cell>
          <cell r="O66">
            <v>0.27236890247500795</v>
          </cell>
        </row>
        <row r="67">
          <cell r="A67" t="str">
            <v xml:space="preserve"> 2QA</v>
          </cell>
          <cell r="B67">
            <v>1</v>
          </cell>
          <cell r="C67">
            <v>0.18757152666514079</v>
          </cell>
          <cell r="D67">
            <v>0.81242847333485924</v>
          </cell>
          <cell r="E67">
            <v>0.30342565041580838</v>
          </cell>
          <cell r="F67">
            <v>0.19409475852597852</v>
          </cell>
          <cell r="G67">
            <v>0.31490806439307234</v>
          </cell>
          <cell r="H67">
            <v>5.1880674448767849E-3</v>
          </cell>
          <cell r="I67">
            <v>0</v>
          </cell>
          <cell r="J67">
            <v>0</v>
          </cell>
          <cell r="L67">
            <v>5.6839856565194177E-3</v>
          </cell>
          <cell r="M67">
            <v>1.0872053101396202E-2</v>
          </cell>
          <cell r="N67">
            <v>0.32578011749446856</v>
          </cell>
          <cell r="O67">
            <v>0.25410086213473709</v>
          </cell>
        </row>
        <row r="68">
          <cell r="A68" t="str">
            <v xml:space="preserve"> 3QA</v>
          </cell>
          <cell r="B68">
            <v>1</v>
          </cell>
          <cell r="C68">
            <v>0.17430177929361726</v>
          </cell>
          <cell r="D68">
            <v>0.82569822070638277</v>
          </cell>
          <cell r="E68">
            <v>0.28462296259677999</v>
          </cell>
          <cell r="F68">
            <v>0.17999210467353541</v>
          </cell>
          <cell r="G68">
            <v>0.36108315343606734</v>
          </cell>
          <cell r="H68">
            <v>8.606617137126172E-3</v>
          </cell>
          <cell r="I68">
            <v>0</v>
          </cell>
          <cell r="J68">
            <v>0</v>
          </cell>
          <cell r="L68">
            <v>-1.4652587853289189E-2</v>
          </cell>
          <cell r="M68">
            <v>-6.0459707161630172E-3</v>
          </cell>
          <cell r="N68">
            <v>0.35503718271990431</v>
          </cell>
          <cell r="O68">
            <v>0.27693746688052795</v>
          </cell>
        </row>
        <row r="69">
          <cell r="A69" t="str">
            <v xml:space="preserve"> 4QA</v>
          </cell>
          <cell r="B69">
            <v>1</v>
          </cell>
          <cell r="C69">
            <v>0.18977906117789273</v>
          </cell>
          <cell r="D69">
            <v>0.81022093882210733</v>
          </cell>
          <cell r="E69">
            <v>0.31707071385400576</v>
          </cell>
          <cell r="F69">
            <v>0.18303001813175745</v>
          </cell>
          <cell r="G69">
            <v>0.31012020683634411</v>
          </cell>
          <cell r="H69">
            <v>-1.541199382177154E-2</v>
          </cell>
          <cell r="I69">
            <v>0</v>
          </cell>
          <cell r="J69">
            <v>0</v>
          </cell>
          <cell r="L69">
            <v>3.57598549459405E-2</v>
          </cell>
          <cell r="M69">
            <v>2.0347861124168962E-2</v>
          </cell>
          <cell r="N69">
            <v>0.33046806796051309</v>
          </cell>
          <cell r="O69">
            <v>0.25780672889664902</v>
          </cell>
        </row>
        <row r="71">
          <cell r="A71" t="str">
            <v>YearA</v>
          </cell>
          <cell r="B71">
            <v>1</v>
          </cell>
          <cell r="C71">
            <v>0.18879414235109376</v>
          </cell>
          <cell r="D71">
            <v>0.8112058576489064</v>
          </cell>
          <cell r="E71">
            <v>0.29473578497608016</v>
          </cell>
          <cell r="F71">
            <v>0.18428404484534205</v>
          </cell>
          <cell r="G71">
            <v>0.33218602782748419</v>
          </cell>
          <cell r="H71">
            <v>4.3822809772486632E-4</v>
          </cell>
          <cell r="I71">
            <v>0</v>
          </cell>
          <cell r="J71">
            <v>0</v>
          </cell>
          <cell r="K71">
            <v>-3.3758097381466506E-3</v>
          </cell>
          <cell r="L71">
            <v>7.3768396450352427E-3</v>
          </cell>
          <cell r="M71">
            <v>7.8150677427601088E-3</v>
          </cell>
          <cell r="N71">
            <v>0.34000109557024433</v>
          </cell>
          <cell r="O71">
            <v>0.26521016689186727</v>
          </cell>
        </row>
        <row r="73">
          <cell r="A73">
            <v>2001</v>
          </cell>
        </row>
        <row r="74">
          <cell r="A74" t="str">
            <v xml:space="preserve"> 1QA</v>
          </cell>
          <cell r="B74">
            <v>1</v>
          </cell>
          <cell r="C74">
            <v>0.18615675232562282</v>
          </cell>
          <cell r="D74">
            <v>0.81384324767437721</v>
          </cell>
          <cell r="E74">
            <v>0.2740492568699433</v>
          </cell>
          <cell r="F74">
            <v>0.1837331147307267</v>
          </cell>
          <cell r="G74">
            <v>0.35606087607370723</v>
          </cell>
          <cell r="H74">
            <v>1.0906369177032469E-2</v>
          </cell>
          <cell r="I74">
            <v>0</v>
          </cell>
          <cell r="J74">
            <v>0</v>
          </cell>
          <cell r="K74">
            <v>1.7108030081619558E-3</v>
          </cell>
          <cell r="L74">
            <v>1.7108030081619558E-3</v>
          </cell>
          <cell r="M74">
            <v>1.2617172185194423E-2</v>
          </cell>
          <cell r="N74">
            <v>0.36867804825890166</v>
          </cell>
          <cell r="O74">
            <v>0.2875574722885556</v>
          </cell>
        </row>
        <row r="75">
          <cell r="A75" t="str">
            <v xml:space="preserve"> 2QA</v>
          </cell>
          <cell r="B75">
            <v>1</v>
          </cell>
          <cell r="C75">
            <v>0.17214438767100715</v>
          </cell>
          <cell r="D75">
            <v>0.82785561232899285</v>
          </cell>
          <cell r="E75">
            <v>0.29665402999835183</v>
          </cell>
          <cell r="F75">
            <v>0.18582495467282026</v>
          </cell>
          <cell r="G75">
            <v>0.34537662765782084</v>
          </cell>
          <cell r="H75">
            <v>9.625844733805837E-3</v>
          </cell>
          <cell r="I75">
            <v>0</v>
          </cell>
          <cell r="J75">
            <v>0</v>
          </cell>
          <cell r="K75">
            <v>-5.2085050271963099E-3</v>
          </cell>
          <cell r="L75">
            <v>-5.2085050271963099E-3</v>
          </cell>
          <cell r="M75">
            <v>4.417339706609528E-3</v>
          </cell>
          <cell r="N75">
            <v>0.34979396736443036</v>
          </cell>
          <cell r="O75">
            <v>0.27285313993736593</v>
          </cell>
        </row>
        <row r="76">
          <cell r="A76" t="str">
            <v xml:space="preserve"> 3QA</v>
          </cell>
          <cell r="B76">
            <v>1</v>
          </cell>
          <cell r="C76">
            <v>0.19099638185360424</v>
          </cell>
          <cell r="D76">
            <v>0.80900361814639576</v>
          </cell>
          <cell r="E76">
            <v>0.30124547731700529</v>
          </cell>
          <cell r="F76">
            <v>0.19691065961591983</v>
          </cell>
          <cell r="G76">
            <v>0.31084748121347061</v>
          </cell>
          <cell r="H76">
            <v>1.1515446701920401E-2</v>
          </cell>
          <cell r="I76">
            <v>0</v>
          </cell>
          <cell r="J76">
            <v>0</v>
          </cell>
          <cell r="K76">
            <v>2.0873921514055107E-4</v>
          </cell>
          <cell r="L76">
            <v>2.0873921514055107E-4</v>
          </cell>
          <cell r="M76">
            <v>1.1724185917060953E-2</v>
          </cell>
          <cell r="N76">
            <v>0.32257166713053159</v>
          </cell>
          <cell r="O76">
            <v>0.25160033398274423</v>
          </cell>
        </row>
        <row r="77">
          <cell r="A77" t="str">
            <v>4QA</v>
          </cell>
          <cell r="B77">
            <v>1</v>
          </cell>
          <cell r="C77">
            <v>0.20033229638009048</v>
          </cell>
          <cell r="D77">
            <v>0.79966770361990958</v>
          </cell>
          <cell r="E77">
            <v>0.31204044117647051</v>
          </cell>
          <cell r="F77">
            <v>0.2085336538461538</v>
          </cell>
          <cell r="G77">
            <v>0.2790936085972851</v>
          </cell>
          <cell r="H77">
            <v>1.5024038461538458E-2</v>
          </cell>
          <cell r="I77">
            <v>0</v>
          </cell>
          <cell r="J77">
            <v>0</v>
          </cell>
          <cell r="K77">
            <v>3.2522624434389129E-3</v>
          </cell>
          <cell r="L77">
            <v>3.2522624434389129E-3</v>
          </cell>
          <cell r="M77">
            <v>1.8276300904977373E-2</v>
          </cell>
          <cell r="N77">
            <v>0.2973699095022625</v>
          </cell>
          <cell r="O77">
            <v>0.23193580316742088</v>
          </cell>
        </row>
        <row r="79">
          <cell r="A79" t="str">
            <v>Year A</v>
          </cell>
          <cell r="B79">
            <v>1</v>
          </cell>
          <cell r="C79">
            <v>0.18715345162184641</v>
          </cell>
          <cell r="D79">
            <v>0.81284654837815362</v>
          </cell>
          <cell r="E79">
            <v>0.29607360687551981</v>
          </cell>
          <cell r="F79">
            <v>0.19364257000277238</v>
          </cell>
          <cell r="G79">
            <v>0.3231303714998614</v>
          </cell>
          <cell r="H79">
            <v>1.173066260049903E-2</v>
          </cell>
          <cell r="I79">
            <v>0</v>
          </cell>
          <cell r="J79">
            <v>0</v>
          </cell>
          <cell r="K79">
            <v>-1.0396451344607717E-4</v>
          </cell>
          <cell r="L79">
            <v>-1.0396451344607717E-4</v>
          </cell>
          <cell r="M79">
            <v>1.1626698087052951E-2</v>
          </cell>
          <cell r="N79">
            <v>0.33475706958691437</v>
          </cell>
          <cell r="O79">
            <v>0.26111553922927638</v>
          </cell>
        </row>
        <row r="81">
          <cell r="A81">
            <v>2002</v>
          </cell>
        </row>
        <row r="82">
          <cell r="A82" t="str">
            <v xml:space="preserve"> 1QA</v>
          </cell>
          <cell r="B82">
            <v>1</v>
          </cell>
          <cell r="C82">
            <v>0.20698137519034793</v>
          </cell>
          <cell r="D82">
            <v>0.79301862480965202</v>
          </cell>
          <cell r="E82">
            <v>0.30350240131193629</v>
          </cell>
          <cell r="F82">
            <v>0.1963218929366288</v>
          </cell>
          <cell r="G82">
            <v>0.29319433056108707</v>
          </cell>
          <cell r="H82">
            <v>1.534496895865058E-2</v>
          </cell>
          <cell r="I82">
            <v>0</v>
          </cell>
          <cell r="J82">
            <v>0</v>
          </cell>
          <cell r="K82">
            <v>6.4425442192807781E-3</v>
          </cell>
          <cell r="L82">
            <v>6.4425442192807781E-3</v>
          </cell>
          <cell r="M82">
            <v>2.1787513177931359E-2</v>
          </cell>
          <cell r="N82">
            <v>0.31498184373901844</v>
          </cell>
          <cell r="O82">
            <v>0.24567568622857369</v>
          </cell>
        </row>
        <row r="83">
          <cell r="A83" t="str">
            <v xml:space="preserve"> 2QA</v>
          </cell>
          <cell r="B83">
            <v>1</v>
          </cell>
          <cell r="C83">
            <v>0.18914088455523606</v>
          </cell>
          <cell r="D83">
            <v>0.81085911544476397</v>
          </cell>
          <cell r="E83">
            <v>0.32978041064003061</v>
          </cell>
          <cell r="F83">
            <v>0.19656382649053397</v>
          </cell>
          <cell r="G83">
            <v>0.28451487831419936</v>
          </cell>
          <cell r="H83">
            <v>7.7832789224482743E-3</v>
          </cell>
          <cell r="I83">
            <v>0</v>
          </cell>
          <cell r="J83">
            <v>0</v>
          </cell>
          <cell r="K83">
            <v>1.189112057596264E-2</v>
          </cell>
          <cell r="L83">
            <v>1.189112057596264E-2</v>
          </cell>
          <cell r="M83">
            <v>1.9674399498410915E-2</v>
          </cell>
          <cell r="N83">
            <v>0.30418927781261029</v>
          </cell>
          <cell r="O83">
            <v>0.23727469929878417</v>
          </cell>
        </row>
        <row r="84">
          <cell r="A84" t="str">
            <v xml:space="preserve"> 3QA</v>
          </cell>
          <cell r="B84">
            <v>1</v>
          </cell>
          <cell r="C84">
            <v>0.19877225732337739</v>
          </cell>
          <cell r="D84">
            <v>0.80122774267662256</v>
          </cell>
          <cell r="E84">
            <v>0.29103245261344057</v>
          </cell>
          <cell r="F84">
            <v>0.18907955198161977</v>
          </cell>
          <cell r="G84">
            <v>0.32111573808156219</v>
          </cell>
          <cell r="H84">
            <v>8.2208500861573816E-3</v>
          </cell>
          <cell r="I84">
            <v>0</v>
          </cell>
          <cell r="J84">
            <v>0</v>
          </cell>
          <cell r="K84">
            <v>1.0554279149913843E-2</v>
          </cell>
          <cell r="L84">
            <v>1.0554279149913843E-2</v>
          </cell>
          <cell r="M84">
            <v>1.8775129236071223E-2</v>
          </cell>
          <cell r="N84">
            <v>0.33989086731763335</v>
          </cell>
          <cell r="O84">
            <v>0.26511344055140706</v>
          </cell>
        </row>
        <row r="85">
          <cell r="A85" t="str">
            <v xml:space="preserve"> 4QA</v>
          </cell>
          <cell r="B85">
            <v>1</v>
          </cell>
          <cell r="C85">
            <v>0.19210989308431453</v>
          </cell>
          <cell r="D85">
            <v>0.80789010691568541</v>
          </cell>
          <cell r="E85">
            <v>0.31154418730545408</v>
          </cell>
          <cell r="F85">
            <v>0.1943091081337123</v>
          </cell>
          <cell r="G85">
            <v>0.30203681147651901</v>
          </cell>
          <cell r="H85">
            <v>7.9510082555149554E-3</v>
          </cell>
          <cell r="I85">
            <v>0</v>
          </cell>
          <cell r="J85">
            <v>0</v>
          </cell>
          <cell r="K85">
            <v>1.2789281364190013E-2</v>
          </cell>
          <cell r="L85">
            <v>1.2789281364190013E-2</v>
          </cell>
          <cell r="M85">
            <v>1.7356881851400732E-2</v>
          </cell>
          <cell r="N85">
            <v>0.31939369332791973</v>
          </cell>
          <cell r="O85">
            <v>0.2491203139802407</v>
          </cell>
        </row>
        <row r="87">
          <cell r="A87" t="str">
            <v>Year A</v>
          </cell>
          <cell r="B87">
            <v>1</v>
          </cell>
          <cell r="C87">
            <v>0.19647970477039906</v>
          </cell>
          <cell r="D87">
            <v>0.803520295229601</v>
          </cell>
          <cell r="E87">
            <v>0.3090955704727068</v>
          </cell>
          <cell r="F87">
            <v>0.19402427266851308</v>
          </cell>
          <cell r="G87">
            <v>0.30040045208838101</v>
          </cell>
          <cell r="H87">
            <v>9.6863185489840659E-3</v>
          </cell>
          <cell r="I87">
            <v>0</v>
          </cell>
          <cell r="J87">
            <v>0</v>
          </cell>
          <cell r="K87" t="e">
            <v>#NULL!</v>
          </cell>
          <cell r="L87">
            <v>1.0534886995959371E-2</v>
          </cell>
          <cell r="M87">
            <v>1.9318473154544175E-2</v>
          </cell>
          <cell r="N87">
            <v>0.31971892524292517</v>
          </cell>
          <cell r="O87">
            <v>0.24937801738301479</v>
          </cell>
        </row>
        <row r="89">
          <cell r="A89">
            <v>2003</v>
          </cell>
        </row>
        <row r="90">
          <cell r="A90" t="str">
            <v xml:space="preserve"> 1QE</v>
          </cell>
          <cell r="B90">
            <v>1</v>
          </cell>
          <cell r="C90">
            <v>0.215</v>
          </cell>
          <cell r="D90">
            <v>0.78500000000000003</v>
          </cell>
          <cell r="E90">
            <v>0.314</v>
          </cell>
          <cell r="F90">
            <v>0.19700000000000001</v>
          </cell>
          <cell r="G90">
            <v>0.27400000000000002</v>
          </cell>
          <cell r="H90">
            <v>9.7179945946354509E-3</v>
          </cell>
          <cell r="L90">
            <v>8.9981431431809724E-3</v>
          </cell>
        </row>
        <row r="91">
          <cell r="A91" t="str">
            <v xml:space="preserve"> 2QE</v>
          </cell>
          <cell r="B91">
            <v>1</v>
          </cell>
          <cell r="C91">
            <v>0.21299999999999999</v>
          </cell>
          <cell r="D91">
            <v>0.78700000000000003</v>
          </cell>
          <cell r="E91">
            <v>0.32500000000000001</v>
          </cell>
          <cell r="F91">
            <v>0.19600000000000001</v>
          </cell>
          <cell r="G91">
            <v>0.26599999999999996</v>
          </cell>
          <cell r="H91">
            <v>8.7862623408968415E-3</v>
          </cell>
          <cell r="L91">
            <v>8.4483291739392719E-3</v>
          </cell>
        </row>
        <row r="92">
          <cell r="A92" t="str">
            <v xml:space="preserve"> 3QE</v>
          </cell>
          <cell r="B92">
            <v>1</v>
          </cell>
          <cell r="C92">
            <v>0.21299999999999999</v>
          </cell>
          <cell r="D92">
            <v>0.78700000000000003</v>
          </cell>
          <cell r="E92">
            <v>0.311</v>
          </cell>
          <cell r="F92">
            <v>0.19400000000000001</v>
          </cell>
          <cell r="G92">
            <v>0.28199999999999997</v>
          </cell>
          <cell r="H92">
            <v>8.9982303480315544E-3</v>
          </cell>
          <cell r="L92">
            <v>8.3316947666958845E-3</v>
          </cell>
        </row>
        <row r="93">
          <cell r="A93" t="str">
            <v xml:space="preserve"> 4QE</v>
          </cell>
          <cell r="B93">
            <v>1</v>
          </cell>
          <cell r="C93">
            <v>0.21127337208039898</v>
          </cell>
          <cell r="D93">
            <v>0.78872662791960102</v>
          </cell>
          <cell r="E93">
            <v>0.315970586308775</v>
          </cell>
          <cell r="F93">
            <v>0.19328624402522698</v>
          </cell>
          <cell r="G93">
            <v>0.27946979758559903</v>
          </cell>
          <cell r="H93">
            <v>8.4828990658681255E-3</v>
          </cell>
          <cell r="L93">
            <v>7.7682225877913251E-3</v>
          </cell>
        </row>
        <row r="95">
          <cell r="A95" t="str">
            <v>2003E</v>
          </cell>
          <cell r="B95">
            <v>1</v>
          </cell>
          <cell r="C95">
            <v>0.21299999999999999</v>
          </cell>
          <cell r="D95">
            <v>0.78700000000000003</v>
          </cell>
          <cell r="E95">
            <v>0.3165</v>
          </cell>
          <cell r="F95">
            <v>0.19500000000000001</v>
          </cell>
          <cell r="G95">
            <v>0.27549999999999991</v>
          </cell>
          <cell r="H95">
            <v>8.9743141746306525E-3</v>
          </cell>
          <cell r="I95">
            <v>0</v>
          </cell>
          <cell r="J95">
            <v>0</v>
          </cell>
          <cell r="K95" t="e">
            <v>#NULL!</v>
          </cell>
          <cell r="L95">
            <v>8.3637597154060141E-3</v>
          </cell>
          <cell r="M95">
            <v>1.7614562016805432E-2</v>
          </cell>
          <cell r="N95">
            <v>0.29311456201680536</v>
          </cell>
          <cell r="O95">
            <v>0.22862935837310816</v>
          </cell>
        </row>
        <row r="97">
          <cell r="A97" t="str">
            <v>2004E</v>
          </cell>
          <cell r="B97">
            <v>1</v>
          </cell>
          <cell r="C97">
            <v>0.21099999999999999</v>
          </cell>
          <cell r="D97">
            <v>0.78900000000000003</v>
          </cell>
          <cell r="E97">
            <v>0.313</v>
          </cell>
          <cell r="F97">
            <v>0.192</v>
          </cell>
          <cell r="G97">
            <v>0.28399999999999997</v>
          </cell>
          <cell r="H97">
            <v>7.5237585661809573E-3</v>
          </cell>
          <cell r="I97">
            <v>0</v>
          </cell>
          <cell r="J97">
            <v>0</v>
          </cell>
          <cell r="K97" t="e">
            <v>#NULL!</v>
          </cell>
          <cell r="L97">
            <v>5.26663099632667E-3</v>
          </cell>
          <cell r="M97">
            <v>2.1849284438356924E-2</v>
          </cell>
          <cell r="N97">
            <v>0.30584928443835691</v>
          </cell>
          <cell r="O97">
            <v>0.23856244186191838</v>
          </cell>
        </row>
        <row r="98">
          <cell r="A98" t="str">
            <v>2005E</v>
          </cell>
          <cell r="B98">
            <v>1</v>
          </cell>
          <cell r="C98">
            <v>0.20799999999999999</v>
          </cell>
          <cell r="D98">
            <v>0.79200000000000004</v>
          </cell>
          <cell r="E98">
            <v>0.308</v>
          </cell>
          <cell r="F98">
            <v>0.19</v>
          </cell>
          <cell r="G98">
            <v>0.29399999999999998</v>
          </cell>
          <cell r="H98">
            <v>6.6896838661370858E-3</v>
          </cell>
          <cell r="I98">
            <v>0</v>
          </cell>
          <cell r="J98">
            <v>0</v>
          </cell>
          <cell r="K98" t="e">
            <v>#NULL!</v>
          </cell>
          <cell r="L98">
            <v>3.3448419330685429E-3</v>
          </cell>
          <cell r="M98">
            <v>2.3168920426334113E-2</v>
          </cell>
          <cell r="N98">
            <v>0.3171689204263341</v>
          </cell>
          <cell r="O98">
            <v>0.24739175793254059</v>
          </cell>
        </row>
        <row r="99">
          <cell r="A99" t="str">
            <v>2006E</v>
          </cell>
          <cell r="B99">
            <v>1</v>
          </cell>
          <cell r="C99">
            <v>0.20599999999999999</v>
          </cell>
          <cell r="D99">
            <v>0.79400000000000004</v>
          </cell>
          <cell r="E99">
            <v>0.30299999999999999</v>
          </cell>
          <cell r="F99">
            <v>0.1855</v>
          </cell>
          <cell r="G99">
            <v>0.30549999999999999</v>
          </cell>
          <cell r="H99">
            <v>6.1214729932232825E-3</v>
          </cell>
          <cell r="I99">
            <v>0</v>
          </cell>
          <cell r="J99">
            <v>0</v>
          </cell>
          <cell r="L99">
            <v>3.0607364966116412E-3</v>
          </cell>
          <cell r="M99">
            <v>2.5759149249988338E-2</v>
          </cell>
          <cell r="N99">
            <v>0.33125914924998834</v>
          </cell>
          <cell r="O99">
            <v>0.25838213641499091</v>
          </cell>
        </row>
        <row r="100">
          <cell r="A100" t="str">
            <v>2007E</v>
          </cell>
          <cell r="B100">
            <v>1</v>
          </cell>
          <cell r="C100">
            <v>0.20399999999999999</v>
          </cell>
          <cell r="D100">
            <v>0.79600000000000004</v>
          </cell>
          <cell r="E100">
            <v>0.30249999999999999</v>
          </cell>
          <cell r="F100">
            <v>0.185</v>
          </cell>
          <cell r="G100">
            <v>0.30850000000000005</v>
          </cell>
          <cell r="H100">
            <v>5.5896725246402865E-3</v>
          </cell>
          <cell r="I100">
            <v>0</v>
          </cell>
          <cell r="J100">
            <v>0</v>
          </cell>
          <cell r="L100">
            <v>2.7948362623201432E-3</v>
          </cell>
          <cell r="M100">
            <v>2.5153526360881289E-2</v>
          </cell>
          <cell r="N100">
            <v>0.33365352636088136</v>
          </cell>
          <cell r="O100">
            <v>0.26024975056148747</v>
          </cell>
        </row>
        <row r="102">
          <cell r="A102" t="str">
            <v xml:space="preserve">E = Morgan Stanley Research Estimates        A = Actual       NM = Not Meaningful      </v>
          </cell>
        </row>
        <row r="103">
          <cell r="A103" t="str">
            <v>(a) Actos Revenues include royalty payments (we assume 20%) from Takeda.</v>
          </cell>
        </row>
        <row r="104">
          <cell r="A104" t="str">
            <v>(a) 1Q97 includes $24.1 million ($18.1 million after-tax) in other income ($0.03 per share) due to Somatogen charge.</v>
          </cell>
        </row>
        <row r="105">
          <cell r="A105" t="str">
            <v>(b) 2Q97 excludes $4.41 charge for the PCS write-down, $0.03 for the pricing litigation settlement, and a $0.54 gain of the Dow Elanco sale.</v>
          </cell>
        </row>
        <row r="107">
          <cell r="A107" t="str">
            <v>(a)  1Q98 excludes $7.2 million after-tax ($0.01 per share) one-time charge related to the early extinguishment of debt in ESOP plan.</v>
          </cell>
        </row>
        <row r="108">
          <cell r="A108" t="str">
            <v>(b)  3Q98 excludes $127.5 million pretax ($0.07 per share) one-time charge related to the Icos collaboration.</v>
          </cell>
        </row>
      </sheetData>
      <sheetData sheetId="9" refreshError="1">
        <row r="1">
          <cell r="A1" t="str">
            <v>Table 5</v>
          </cell>
          <cell r="T1" t="str">
            <v>Table 5</v>
          </cell>
          <cell r="AU1" t="str">
            <v>Table 5</v>
          </cell>
          <cell r="AV1" t="str">
            <v>(continued)</v>
          </cell>
        </row>
        <row r="2">
          <cell r="A2" t="str">
            <v>Eli Lilly</v>
          </cell>
          <cell r="B2" t="str">
            <v>.</v>
          </cell>
          <cell r="T2" t="str">
            <v>Eli Lilly</v>
          </cell>
          <cell r="AU2" t="str">
            <v>Eli Lilly</v>
          </cell>
        </row>
        <row r="3">
          <cell r="A3" t="str">
            <v>Quarterly Sales Analysis, 2000-2007E</v>
          </cell>
          <cell r="T3" t="str">
            <v>Quarterly Sales Analysis, 2000-2007E</v>
          </cell>
          <cell r="AU3" t="str">
            <v>Quarterly Sales Analysis, 2000-2006E</v>
          </cell>
        </row>
        <row r="4">
          <cell r="A4" t="str">
            <v>($ Millions Except EPS)</v>
          </cell>
          <cell r="T4" t="str">
            <v>($ Millions Except EPS)</v>
          </cell>
          <cell r="AU4" t="str">
            <v>($ Millions Except EPS)</v>
          </cell>
        </row>
        <row r="5">
          <cell r="U5" t="str">
            <v>Antibiotics</v>
          </cell>
        </row>
        <row r="6">
          <cell r="B6" t="str">
            <v>Central Nervous System</v>
          </cell>
          <cell r="Y6" t="str">
            <v>Dyna-</v>
          </cell>
          <cell r="AB6" t="str">
            <v>Other</v>
          </cell>
          <cell r="AF6" t="str">
            <v>Cardiovascular</v>
          </cell>
          <cell r="AV6" t="str">
            <v>Hormones/ Diabetes</v>
          </cell>
          <cell r="BK6" t="str">
            <v>Ulcer</v>
          </cell>
          <cell r="BO6" t="str">
            <v>Oncology</v>
          </cell>
          <cell r="BX6" t="str">
            <v>Other</v>
          </cell>
        </row>
        <row r="7">
          <cell r="B7" t="str">
            <v>Prozac &amp; Sarafem</v>
          </cell>
          <cell r="F7" t="str">
            <v>Zyprexa</v>
          </cell>
          <cell r="J7" t="str">
            <v>Dar-</v>
          </cell>
          <cell r="L7" t="str">
            <v>Per-</v>
          </cell>
          <cell r="N7" t="str">
            <v>Straterra</v>
          </cell>
          <cell r="U7" t="str">
            <v>Ceclor</v>
          </cell>
          <cell r="Y7" t="str">
            <v xml:space="preserve">abac </v>
          </cell>
          <cell r="Z7" t="str">
            <v>Keflex/</v>
          </cell>
          <cell r="AA7" t="str">
            <v>Van-</v>
          </cell>
          <cell r="AB7" t="str">
            <v>Injecta-</v>
          </cell>
          <cell r="AF7" t="str">
            <v>Dobu-</v>
          </cell>
          <cell r="AG7" t="str">
            <v>ReoPro</v>
          </cell>
          <cell r="AI7" t="str">
            <v>Xigris</v>
          </cell>
          <cell r="AM7" t="str">
            <v>Evista</v>
          </cell>
          <cell r="AV7" t="str">
            <v>Huma-</v>
          </cell>
          <cell r="AX7" t="str">
            <v>Humulin</v>
          </cell>
          <cell r="BD7" t="str">
            <v>Other</v>
          </cell>
          <cell r="BF7" t="str">
            <v>Humalog</v>
          </cell>
          <cell r="BK7" t="str">
            <v>Axid</v>
          </cell>
          <cell r="BO7" t="str">
            <v>Gemzar</v>
          </cell>
          <cell r="BV7" t="str">
            <v>New</v>
          </cell>
          <cell r="BX7" t="str">
            <v>Pharma</v>
          </cell>
          <cell r="BY7" t="str">
            <v xml:space="preserve">Total </v>
          </cell>
          <cell r="BZ7" t="str">
            <v>Animal/</v>
          </cell>
          <cell r="CA7" t="str">
            <v>Grand</v>
          </cell>
        </row>
        <row r="8">
          <cell r="B8" t="str">
            <v>U.S.</v>
          </cell>
          <cell r="C8" t="str">
            <v>Intl</v>
          </cell>
          <cell r="D8" t="str">
            <v>Total</v>
          </cell>
          <cell r="F8" t="str">
            <v>U.S.</v>
          </cell>
          <cell r="G8" t="str">
            <v>Intl</v>
          </cell>
          <cell r="H8" t="str">
            <v>Total</v>
          </cell>
          <cell r="J8" t="str">
            <v>von</v>
          </cell>
          <cell r="L8" t="str">
            <v>max</v>
          </cell>
          <cell r="N8" t="str">
            <v>U.S.</v>
          </cell>
          <cell r="O8" t="str">
            <v>Intl</v>
          </cell>
          <cell r="P8" t="str">
            <v>Total</v>
          </cell>
          <cell r="R8" t="str">
            <v>Total</v>
          </cell>
          <cell r="U8" t="str">
            <v>U.S.</v>
          </cell>
          <cell r="V8" t="str">
            <v>Intl</v>
          </cell>
          <cell r="W8" t="str">
            <v>Total</v>
          </cell>
          <cell r="Y8" t="str">
            <v>(a)</v>
          </cell>
          <cell r="Z8" t="str">
            <v>Keftab</v>
          </cell>
          <cell r="AA8" t="str">
            <v>cocin</v>
          </cell>
          <cell r="AB8" t="str">
            <v>bles (b)</v>
          </cell>
          <cell r="AD8" t="str">
            <v>Total</v>
          </cell>
          <cell r="AF8" t="str">
            <v>trex</v>
          </cell>
          <cell r="AG8" t="str">
            <v xml:space="preserve">(c)   </v>
          </cell>
          <cell r="AI8" t="str">
            <v>U.S.</v>
          </cell>
          <cell r="AJ8" t="str">
            <v>Intl</v>
          </cell>
          <cell r="AK8" t="str">
            <v>Total</v>
          </cell>
          <cell r="AM8" t="str">
            <v>U.S.</v>
          </cell>
          <cell r="AN8" t="str">
            <v>Intl</v>
          </cell>
          <cell r="AO8" t="str">
            <v>Total</v>
          </cell>
          <cell r="AV8" t="str">
            <v xml:space="preserve">trope  </v>
          </cell>
          <cell r="AX8" t="str">
            <v>U.S.</v>
          </cell>
          <cell r="AY8" t="str">
            <v>Intl</v>
          </cell>
          <cell r="AZ8" t="str">
            <v>Total</v>
          </cell>
          <cell r="BB8" t="str">
            <v>Actos</v>
          </cell>
          <cell r="BD8" t="str">
            <v>Diabetes</v>
          </cell>
          <cell r="BF8" t="str">
            <v>U.S.</v>
          </cell>
          <cell r="BG8" t="str">
            <v>Intl</v>
          </cell>
          <cell r="BH8" t="str">
            <v>Total</v>
          </cell>
          <cell r="BI8" t="str">
            <v>Total</v>
          </cell>
          <cell r="BK8" t="str">
            <v>U.S.</v>
          </cell>
          <cell r="BL8" t="str">
            <v>Intl</v>
          </cell>
          <cell r="BM8" t="str">
            <v>Total</v>
          </cell>
          <cell r="BO8" t="str">
            <v>U.S.</v>
          </cell>
          <cell r="BP8" t="str">
            <v>Intl</v>
          </cell>
          <cell r="BQ8" t="str">
            <v>Total</v>
          </cell>
          <cell r="BS8" t="str">
            <v>Other</v>
          </cell>
          <cell r="BT8" t="str">
            <v>Total</v>
          </cell>
          <cell r="BV8" t="str">
            <v>Prods</v>
          </cell>
          <cell r="BX8" t="str">
            <v>(d)</v>
          </cell>
          <cell r="BY8" t="str">
            <v>Pharm.</v>
          </cell>
          <cell r="BZ8" t="str">
            <v>Indust.</v>
          </cell>
          <cell r="CA8" t="str">
            <v>Total</v>
          </cell>
        </row>
        <row r="10">
          <cell r="A10">
            <v>1994</v>
          </cell>
          <cell r="T10">
            <v>1994</v>
          </cell>
          <cell r="AU10">
            <v>1994</v>
          </cell>
        </row>
        <row r="11">
          <cell r="A11" t="str">
            <v xml:space="preserve"> 1Q</v>
          </cell>
          <cell r="B11">
            <v>234.8</v>
          </cell>
          <cell r="C11">
            <v>100.9</v>
          </cell>
          <cell r="D11">
            <v>335.70000000000005</v>
          </cell>
          <cell r="F11">
            <v>0</v>
          </cell>
          <cell r="G11">
            <v>0</v>
          </cell>
          <cell r="H11">
            <v>0</v>
          </cell>
          <cell r="J11">
            <v>21.4</v>
          </cell>
          <cell r="L11">
            <v>4.1999999999999673</v>
          </cell>
          <cell r="R11">
            <v>361.3</v>
          </cell>
          <cell r="T11" t="str">
            <v xml:space="preserve"> 1Q</v>
          </cell>
          <cell r="U11">
            <v>118.9</v>
          </cell>
          <cell r="V11">
            <v>91.2</v>
          </cell>
          <cell r="W11">
            <v>210.10000000000002</v>
          </cell>
          <cell r="Y11">
            <v>0</v>
          </cell>
          <cell r="Z11">
            <v>30.4</v>
          </cell>
          <cell r="AA11">
            <v>73.599999999999994</v>
          </cell>
          <cell r="AB11">
            <v>62</v>
          </cell>
          <cell r="AD11">
            <v>376.1</v>
          </cell>
          <cell r="AF11">
            <v>30.1</v>
          </cell>
          <cell r="AG11">
            <v>0</v>
          </cell>
          <cell r="AU11" t="str">
            <v xml:space="preserve"> 1Q</v>
          </cell>
          <cell r="AV11">
            <v>49.7</v>
          </cell>
          <cell r="AX11">
            <v>98.7</v>
          </cell>
          <cell r="AY11">
            <v>48</v>
          </cell>
          <cell r="AZ11">
            <v>146.69999999999999</v>
          </cell>
          <cell r="BD11">
            <v>18.2</v>
          </cell>
          <cell r="BF11">
            <v>0</v>
          </cell>
          <cell r="BG11">
            <v>0</v>
          </cell>
          <cell r="BH11">
            <v>0</v>
          </cell>
          <cell r="BI11">
            <v>214.59999999999997</v>
          </cell>
          <cell r="BK11">
            <v>79.2</v>
          </cell>
          <cell r="BL11">
            <v>30.6</v>
          </cell>
          <cell r="BM11">
            <v>109.80000000000001</v>
          </cell>
          <cell r="BO11">
            <v>0</v>
          </cell>
          <cell r="BP11">
            <v>0</v>
          </cell>
          <cell r="BQ11">
            <v>0</v>
          </cell>
          <cell r="BS11">
            <v>0</v>
          </cell>
          <cell r="BT11">
            <v>0</v>
          </cell>
          <cell r="BV11">
            <v>0</v>
          </cell>
          <cell r="BX11">
            <v>66.92</v>
          </cell>
          <cell r="BY11">
            <v>1158.8200000000002</v>
          </cell>
          <cell r="BZ11">
            <v>108.10000000000001</v>
          </cell>
          <cell r="CA11">
            <v>1266.92</v>
          </cell>
        </row>
        <row r="12">
          <cell r="A12" t="str">
            <v xml:space="preserve"> 2Q</v>
          </cell>
          <cell r="B12">
            <v>289.60000000000002</v>
          </cell>
          <cell r="C12">
            <v>121</v>
          </cell>
          <cell r="D12">
            <v>410.6</v>
          </cell>
          <cell r="F12">
            <v>0</v>
          </cell>
          <cell r="G12">
            <v>0</v>
          </cell>
          <cell r="H12">
            <v>0</v>
          </cell>
          <cell r="J12">
            <v>26.200000000000003</v>
          </cell>
          <cell r="L12">
            <v>5.3999999999999631</v>
          </cell>
          <cell r="R12">
            <v>442.2</v>
          </cell>
          <cell r="T12" t="str">
            <v xml:space="preserve"> 2Q</v>
          </cell>
          <cell r="U12">
            <v>83.5</v>
          </cell>
          <cell r="V12">
            <v>88.8</v>
          </cell>
          <cell r="W12">
            <v>172.3</v>
          </cell>
          <cell r="Y12">
            <v>0</v>
          </cell>
          <cell r="Z12">
            <v>31.9</v>
          </cell>
          <cell r="AA12">
            <v>54.4</v>
          </cell>
          <cell r="AB12">
            <v>53.7</v>
          </cell>
          <cell r="AD12">
            <v>312.3</v>
          </cell>
          <cell r="AF12">
            <v>24.4</v>
          </cell>
          <cell r="AG12">
            <v>0</v>
          </cell>
          <cell r="AU12" t="str">
            <v xml:space="preserve"> 2Q</v>
          </cell>
          <cell r="AV12">
            <v>53.9</v>
          </cell>
          <cell r="AX12">
            <v>115.5</v>
          </cell>
          <cell r="AY12">
            <v>52.3</v>
          </cell>
          <cell r="AZ12">
            <v>167.8</v>
          </cell>
          <cell r="BD12">
            <v>20.099999999999998</v>
          </cell>
          <cell r="BF12">
            <v>0</v>
          </cell>
          <cell r="BG12">
            <v>0</v>
          </cell>
          <cell r="BH12">
            <v>0</v>
          </cell>
          <cell r="BI12">
            <v>241.8</v>
          </cell>
          <cell r="BK12">
            <v>87.3</v>
          </cell>
          <cell r="BL12">
            <v>29.5</v>
          </cell>
          <cell r="BM12">
            <v>116.8</v>
          </cell>
          <cell r="BO12">
            <v>0</v>
          </cell>
          <cell r="BP12">
            <v>0</v>
          </cell>
          <cell r="BQ12">
            <v>0</v>
          </cell>
          <cell r="BS12">
            <v>0</v>
          </cell>
          <cell r="BT12">
            <v>0</v>
          </cell>
          <cell r="BV12">
            <v>0</v>
          </cell>
          <cell r="BX12">
            <v>77.12</v>
          </cell>
          <cell r="BY12">
            <v>1214.6199999999999</v>
          </cell>
          <cell r="BZ12">
            <v>104.6</v>
          </cell>
          <cell r="CA12">
            <v>1319.2199999999998</v>
          </cell>
        </row>
        <row r="13">
          <cell r="A13" t="str">
            <v xml:space="preserve"> 3Q</v>
          </cell>
          <cell r="B13">
            <v>420.9</v>
          </cell>
          <cell r="C13">
            <v>122.9</v>
          </cell>
          <cell r="D13">
            <v>543.79999999999995</v>
          </cell>
          <cell r="F13">
            <v>0</v>
          </cell>
          <cell r="G13">
            <v>0</v>
          </cell>
          <cell r="H13">
            <v>0</v>
          </cell>
          <cell r="J13">
            <v>28.599999999999998</v>
          </cell>
          <cell r="L13">
            <v>6.1000000000000476</v>
          </cell>
          <cell r="R13">
            <v>578.5</v>
          </cell>
          <cell r="T13" t="str">
            <v xml:space="preserve"> 3Q</v>
          </cell>
          <cell r="U13">
            <v>63.4</v>
          </cell>
          <cell r="V13">
            <v>99.7</v>
          </cell>
          <cell r="W13">
            <v>163.1</v>
          </cell>
          <cell r="Y13">
            <v>0</v>
          </cell>
          <cell r="Z13">
            <v>38.6</v>
          </cell>
          <cell r="AA13">
            <v>65.2</v>
          </cell>
          <cell r="AB13">
            <v>57.9</v>
          </cell>
          <cell r="AD13">
            <v>324.79999999999995</v>
          </cell>
          <cell r="AF13">
            <v>24.7</v>
          </cell>
          <cell r="AG13">
            <v>0</v>
          </cell>
          <cell r="AU13" t="str">
            <v xml:space="preserve"> 3Q</v>
          </cell>
          <cell r="AV13">
            <v>57.4</v>
          </cell>
          <cell r="AX13">
            <v>114.1</v>
          </cell>
          <cell r="AY13">
            <v>54.9</v>
          </cell>
          <cell r="AZ13">
            <v>169</v>
          </cell>
          <cell r="BD13">
            <v>18.7</v>
          </cell>
          <cell r="BF13">
            <v>0</v>
          </cell>
          <cell r="BG13">
            <v>0</v>
          </cell>
          <cell r="BH13">
            <v>0</v>
          </cell>
          <cell r="BI13">
            <v>245.1</v>
          </cell>
          <cell r="BK13">
            <v>92.85</v>
          </cell>
          <cell r="BL13">
            <v>39</v>
          </cell>
          <cell r="BM13">
            <v>131.85</v>
          </cell>
          <cell r="BO13">
            <v>0</v>
          </cell>
          <cell r="BP13">
            <v>0</v>
          </cell>
          <cell r="BQ13">
            <v>0</v>
          </cell>
          <cell r="BS13">
            <v>0</v>
          </cell>
          <cell r="BT13">
            <v>0</v>
          </cell>
          <cell r="BV13">
            <v>0</v>
          </cell>
          <cell r="BX13">
            <v>65.22</v>
          </cell>
          <cell r="BY13">
            <v>1370.1699999999998</v>
          </cell>
          <cell r="BZ13">
            <v>118.1</v>
          </cell>
          <cell r="CA13">
            <v>1488.2699999999998</v>
          </cell>
        </row>
        <row r="14">
          <cell r="A14" t="str">
            <v xml:space="preserve"> 4Q</v>
          </cell>
          <cell r="B14">
            <v>235</v>
          </cell>
          <cell r="C14">
            <v>141</v>
          </cell>
          <cell r="D14">
            <v>376</v>
          </cell>
          <cell r="F14">
            <v>0</v>
          </cell>
          <cell r="G14">
            <v>0</v>
          </cell>
          <cell r="H14">
            <v>0</v>
          </cell>
          <cell r="J14">
            <v>26.6</v>
          </cell>
          <cell r="L14">
            <v>9.3999999999999986</v>
          </cell>
          <cell r="R14">
            <v>412</v>
          </cell>
          <cell r="T14" t="str">
            <v xml:space="preserve"> 4Q</v>
          </cell>
          <cell r="U14">
            <v>127.9</v>
          </cell>
          <cell r="V14">
            <v>138.69999999999999</v>
          </cell>
          <cell r="W14">
            <v>266.60000000000002</v>
          </cell>
          <cell r="Y14">
            <v>0</v>
          </cell>
          <cell r="Z14">
            <v>39.200000000000003</v>
          </cell>
          <cell r="AA14">
            <v>55.7</v>
          </cell>
          <cell r="AB14">
            <v>58.3</v>
          </cell>
          <cell r="AD14">
            <v>419.8</v>
          </cell>
          <cell r="AF14">
            <v>22.8</v>
          </cell>
          <cell r="AG14">
            <v>0</v>
          </cell>
          <cell r="AU14" t="str">
            <v xml:space="preserve"> 4Q</v>
          </cell>
          <cell r="AV14">
            <v>64.7</v>
          </cell>
          <cell r="AX14">
            <v>124</v>
          </cell>
          <cell r="AY14">
            <v>57.5</v>
          </cell>
          <cell r="AZ14">
            <v>181.5</v>
          </cell>
          <cell r="BD14">
            <v>21.1</v>
          </cell>
          <cell r="BF14">
            <v>0</v>
          </cell>
          <cell r="BG14">
            <v>0</v>
          </cell>
          <cell r="BH14">
            <v>0</v>
          </cell>
          <cell r="BI14">
            <v>267.3</v>
          </cell>
          <cell r="BK14">
            <v>104.8</v>
          </cell>
          <cell r="BL14">
            <v>24.15</v>
          </cell>
          <cell r="BM14">
            <v>128.94999999999999</v>
          </cell>
          <cell r="BO14">
            <v>0</v>
          </cell>
          <cell r="BP14">
            <v>0</v>
          </cell>
          <cell r="BQ14">
            <v>0</v>
          </cell>
          <cell r="BS14">
            <v>0</v>
          </cell>
          <cell r="BT14">
            <v>0</v>
          </cell>
          <cell r="BV14">
            <v>0</v>
          </cell>
          <cell r="BX14">
            <v>90.2</v>
          </cell>
          <cell r="BY14">
            <v>1341.05</v>
          </cell>
          <cell r="BZ14">
            <v>142.5</v>
          </cell>
          <cell r="CA14">
            <v>1483.55</v>
          </cell>
        </row>
        <row r="16">
          <cell r="A16" t="str">
            <v>1994</v>
          </cell>
          <cell r="B16">
            <v>1180.3000000000002</v>
          </cell>
          <cell r="C16">
            <v>485.8</v>
          </cell>
          <cell r="D16">
            <v>1666.1</v>
          </cell>
          <cell r="F16">
            <v>0</v>
          </cell>
          <cell r="G16">
            <v>0</v>
          </cell>
          <cell r="H16">
            <v>0</v>
          </cell>
          <cell r="J16">
            <v>102.80000000000001</v>
          </cell>
          <cell r="L16">
            <v>25.099999999999977</v>
          </cell>
          <cell r="R16">
            <v>1794</v>
          </cell>
          <cell r="T16" t="str">
            <v>1994</v>
          </cell>
          <cell r="U16">
            <v>393.70000000000005</v>
          </cell>
          <cell r="V16">
            <v>418.4</v>
          </cell>
          <cell r="W16">
            <v>812.1</v>
          </cell>
          <cell r="Y16">
            <v>0</v>
          </cell>
          <cell r="Z16">
            <v>140.10000000000002</v>
          </cell>
          <cell r="AA16">
            <v>248.89999999999998</v>
          </cell>
          <cell r="AB16">
            <v>231.89999999999998</v>
          </cell>
          <cell r="AD16">
            <v>1433</v>
          </cell>
          <cell r="AF16">
            <v>102</v>
          </cell>
          <cell r="AG16">
            <v>0</v>
          </cell>
          <cell r="AM16">
            <v>0</v>
          </cell>
          <cell r="AN16">
            <v>0</v>
          </cell>
          <cell r="AO16">
            <v>0</v>
          </cell>
          <cell r="AU16" t="str">
            <v>1994</v>
          </cell>
          <cell r="AV16">
            <v>225.7</v>
          </cell>
          <cell r="AX16">
            <v>452.29999999999995</v>
          </cell>
          <cell r="AY16">
            <v>212.7</v>
          </cell>
          <cell r="AZ16">
            <v>665</v>
          </cell>
          <cell r="BD16">
            <v>78.099999999999994</v>
          </cell>
          <cell r="BF16">
            <v>0</v>
          </cell>
          <cell r="BG16">
            <v>0</v>
          </cell>
          <cell r="BH16">
            <v>0</v>
          </cell>
          <cell r="BI16">
            <v>968.80000000000007</v>
          </cell>
          <cell r="BK16">
            <v>364.15000000000003</v>
          </cell>
          <cell r="BL16">
            <v>123.25</v>
          </cell>
          <cell r="BM16">
            <v>487.40000000000003</v>
          </cell>
          <cell r="BO16">
            <v>0</v>
          </cell>
          <cell r="BP16">
            <v>0</v>
          </cell>
          <cell r="BQ16">
            <v>0</v>
          </cell>
          <cell r="BS16">
            <v>0</v>
          </cell>
          <cell r="BT16">
            <v>0</v>
          </cell>
          <cell r="BV16">
            <v>0</v>
          </cell>
          <cell r="BX16">
            <v>299.46000000000004</v>
          </cell>
          <cell r="BY16">
            <v>5084.66</v>
          </cell>
          <cell r="BZ16">
            <v>473.29999999999995</v>
          </cell>
          <cell r="CA16">
            <v>5557.96</v>
          </cell>
        </row>
        <row r="18">
          <cell r="A18" t="str">
            <v>1995/94</v>
          </cell>
          <cell r="T18" t="str">
            <v>1995/94</v>
          </cell>
          <cell r="AU18" t="str">
            <v>1995/94</v>
          </cell>
        </row>
        <row r="19">
          <cell r="A19" t="str">
            <v xml:space="preserve"> 1Q</v>
          </cell>
          <cell r="B19">
            <v>0.33134582623509373</v>
          </cell>
          <cell r="C19">
            <v>0.42814667988107025</v>
          </cell>
          <cell r="D19">
            <v>0.36044086982424778</v>
          </cell>
          <cell r="F19" t="str">
            <v>NM</v>
          </cell>
          <cell r="G19" t="str">
            <v>NM</v>
          </cell>
          <cell r="H19" t="str">
            <v>NM</v>
          </cell>
          <cell r="J19">
            <v>0.28971962616822444</v>
          </cell>
          <cell r="L19">
            <v>1.5238095238095268</v>
          </cell>
          <cell r="R19">
            <v>0.36977580957652911</v>
          </cell>
          <cell r="T19" t="str">
            <v xml:space="preserve"> 1Q</v>
          </cell>
          <cell r="U19">
            <v>0.1000841042893188</v>
          </cell>
          <cell r="V19">
            <v>0.49780701754385953</v>
          </cell>
          <cell r="W19">
            <v>0.27272727272727249</v>
          </cell>
          <cell r="Y19" t="str">
            <v>NM</v>
          </cell>
          <cell r="Z19">
            <v>0.37894736842105275</v>
          </cell>
          <cell r="AA19">
            <v>-1.9293478260869398E-2</v>
          </cell>
          <cell r="AB19">
            <v>0.11935483870967752</v>
          </cell>
          <cell r="AD19">
            <v>0.20180802977931395</v>
          </cell>
          <cell r="AF19">
            <v>-0.16611295681063123</v>
          </cell>
          <cell r="AG19" t="str">
            <v>NM</v>
          </cell>
          <cell r="AU19" t="str">
            <v xml:space="preserve"> 1Q</v>
          </cell>
          <cell r="AV19">
            <v>0.14084507042253505</v>
          </cell>
          <cell r="AX19">
            <v>0.55521783181357642</v>
          </cell>
          <cell r="AY19">
            <v>0.23749999999999996</v>
          </cell>
          <cell r="AZ19">
            <v>0.45126107702794832</v>
          </cell>
          <cell r="BD19">
            <v>0.23626373626373631</v>
          </cell>
          <cell r="BF19" t="str">
            <v>NM</v>
          </cell>
          <cell r="BG19" t="str">
            <v>NM</v>
          </cell>
          <cell r="BH19" t="str">
            <v>NM</v>
          </cell>
          <cell r="BI19">
            <v>0.36113699906803387</v>
          </cell>
          <cell r="BK19">
            <v>0.37373737373737365</v>
          </cell>
          <cell r="BL19">
            <v>0.12091503267973842</v>
          </cell>
          <cell r="BM19">
            <v>0.30327868852459</v>
          </cell>
          <cell r="BO19" t="str">
            <v>NM</v>
          </cell>
          <cell r="BP19" t="str">
            <v>NM</v>
          </cell>
          <cell r="BQ19" t="str">
            <v>NM</v>
          </cell>
          <cell r="BS19" t="str">
            <v>NM</v>
          </cell>
          <cell r="BT19" t="str">
            <v>NM</v>
          </cell>
          <cell r="BV19" t="str">
            <v>NM</v>
          </cell>
          <cell r="BX19">
            <v>-0.1497310221159594</v>
          </cell>
          <cell r="BY19">
            <v>0.27301910564194576</v>
          </cell>
          <cell r="BZ19">
            <v>0.14893617021276576</v>
          </cell>
          <cell r="CA19">
            <v>0.26243172418147931</v>
          </cell>
        </row>
        <row r="20">
          <cell r="A20" t="str">
            <v xml:space="preserve"> 2Q</v>
          </cell>
          <cell r="B20">
            <v>0.22651933701657445</v>
          </cell>
          <cell r="C20">
            <v>0.30743801652892555</v>
          </cell>
          <cell r="D20">
            <v>0.25036531904529946</v>
          </cell>
          <cell r="F20" t="str">
            <v>NM</v>
          </cell>
          <cell r="G20" t="str">
            <v>NM</v>
          </cell>
          <cell r="H20" t="str">
            <v>NM</v>
          </cell>
          <cell r="J20">
            <v>1.1450381679389204E-2</v>
          </cell>
          <cell r="L20">
            <v>1.7407407407407722</v>
          </cell>
          <cell r="R20">
            <v>0.25440976933514259</v>
          </cell>
          <cell r="T20" t="str">
            <v xml:space="preserve"> 2Q</v>
          </cell>
          <cell r="U20">
            <v>-0.548502994011976</v>
          </cell>
          <cell r="V20">
            <v>0.30405405405405406</v>
          </cell>
          <cell r="W20">
            <v>-0.10911201392919333</v>
          </cell>
          <cell r="Y20" t="str">
            <v>NM</v>
          </cell>
          <cell r="Z20">
            <v>0.27335423197492159</v>
          </cell>
          <cell r="AA20">
            <v>0.51250000000000007</v>
          </cell>
          <cell r="AB20">
            <v>0.22998137802607063</v>
          </cell>
          <cell r="AD20">
            <v>0.10358629522894641</v>
          </cell>
          <cell r="AF20">
            <v>0.30327868852459028</v>
          </cell>
          <cell r="AG20" t="str">
            <v>NM</v>
          </cell>
          <cell r="AU20" t="str">
            <v xml:space="preserve"> 2Q</v>
          </cell>
          <cell r="AV20">
            <v>0.31539888682745837</v>
          </cell>
          <cell r="AX20">
            <v>-9.4372294372294427E-2</v>
          </cell>
          <cell r="AY20">
            <v>0.30401529636711294</v>
          </cell>
          <cell r="AZ20">
            <v>2.9797377830750892E-2</v>
          </cell>
          <cell r="BD20">
            <v>-9.9502487562188706E-3</v>
          </cell>
          <cell r="BF20" t="str">
            <v>NM</v>
          </cell>
          <cell r="BG20" t="str">
            <v>NM</v>
          </cell>
          <cell r="BH20" t="str">
            <v>NM</v>
          </cell>
          <cell r="BI20">
            <v>9.0157154673283751E-2</v>
          </cell>
          <cell r="BK20">
            <v>-2.6345933562428377E-2</v>
          </cell>
          <cell r="BL20">
            <v>0.31525423728813551</v>
          </cell>
          <cell r="BM20">
            <v>5.9931506849315072E-2</v>
          </cell>
          <cell r="BO20" t="str">
            <v>NM</v>
          </cell>
          <cell r="BP20" t="str">
            <v>NM</v>
          </cell>
          <cell r="BQ20" t="str">
            <v>NM</v>
          </cell>
          <cell r="BS20" t="str">
            <v>NM</v>
          </cell>
          <cell r="BT20" t="str">
            <v>NM</v>
          </cell>
          <cell r="BV20" t="str">
            <v>NM</v>
          </cell>
          <cell r="BX20">
            <v>-7.3521784232365162E-2</v>
          </cell>
          <cell r="BY20">
            <v>0.15616406777428338</v>
          </cell>
          <cell r="BZ20">
            <v>0.14244741873804978</v>
          </cell>
          <cell r="CA20">
            <v>0.1550764845893787</v>
          </cell>
        </row>
        <row r="21">
          <cell r="A21" t="str">
            <v xml:space="preserve"> 3Q</v>
          </cell>
          <cell r="B21">
            <v>2.0432406747446005E-2</v>
          </cell>
          <cell r="C21">
            <v>0.23026851098454013</v>
          </cell>
          <cell r="D21">
            <v>6.7855829349025551E-2</v>
          </cell>
          <cell r="F21" t="str">
            <v>NM</v>
          </cell>
          <cell r="G21" t="str">
            <v>NM</v>
          </cell>
          <cell r="H21" t="str">
            <v>NM</v>
          </cell>
          <cell r="J21">
            <v>-0.11188811188811187</v>
          </cell>
          <cell r="L21">
            <v>1.4754098360655548</v>
          </cell>
          <cell r="R21">
            <v>7.3811581676750296E-2</v>
          </cell>
          <cell r="T21" t="str">
            <v xml:space="preserve"> 3Q</v>
          </cell>
          <cell r="U21">
            <v>-0.70977917981072558</v>
          </cell>
          <cell r="V21">
            <v>1.0030090270811867E-3</v>
          </cell>
          <cell r="W21">
            <v>-0.27529123237277747</v>
          </cell>
          <cell r="Y21" t="str">
            <v>NM</v>
          </cell>
          <cell r="Z21">
            <v>-2.4870466321243543E-2</v>
          </cell>
          <cell r="AA21">
            <v>-0.11687116564417184</v>
          </cell>
          <cell r="AB21">
            <v>-6.8739205526770236E-2</v>
          </cell>
          <cell r="AD21">
            <v>-0.15431034482758624</v>
          </cell>
          <cell r="AF21">
            <v>0.125506072874494</v>
          </cell>
          <cell r="AG21" t="str">
            <v>NM</v>
          </cell>
          <cell r="AU21" t="str">
            <v xml:space="preserve"> 3Q</v>
          </cell>
          <cell r="AV21">
            <v>0.14982578397212545</v>
          </cell>
          <cell r="AX21">
            <v>0.12708150744960561</v>
          </cell>
          <cell r="AY21">
            <v>0.22404371584699462</v>
          </cell>
          <cell r="AZ21">
            <v>0.15857988165680481</v>
          </cell>
          <cell r="BD21">
            <v>1.0695187165775364E-2</v>
          </cell>
          <cell r="BF21" t="str">
            <v>NM</v>
          </cell>
          <cell r="BG21" t="str">
            <v>NM</v>
          </cell>
          <cell r="BH21" t="str">
            <v>NM</v>
          </cell>
          <cell r="BI21">
            <v>0.14524683802529578</v>
          </cell>
          <cell r="BK21">
            <v>9.1007000538502997E-2</v>
          </cell>
          <cell r="BL21">
            <v>-0.21025641025641023</v>
          </cell>
          <cell r="BM21">
            <v>1.8960940462646948E-3</v>
          </cell>
          <cell r="BO21" t="str">
            <v>NM</v>
          </cell>
          <cell r="BP21" t="str">
            <v>NM</v>
          </cell>
          <cell r="BQ21" t="str">
            <v>NM</v>
          </cell>
          <cell r="BS21" t="str">
            <v>NM</v>
          </cell>
          <cell r="BT21" t="str">
            <v>NM</v>
          </cell>
          <cell r="BV21" t="str">
            <v>NM</v>
          </cell>
          <cell r="BX21">
            <v>-4.0171726464274721E-2</v>
          </cell>
          <cell r="BY21">
            <v>3.3360823839377461E-2</v>
          </cell>
          <cell r="BZ21">
            <v>6.8585944115156727E-2</v>
          </cell>
          <cell r="CA21">
            <v>3.6156073830689292E-2</v>
          </cell>
        </row>
        <row r="22">
          <cell r="A22" t="str">
            <v xml:space="preserve"> 4Q</v>
          </cell>
          <cell r="B22">
            <v>0.45148936170212778</v>
          </cell>
          <cell r="C22">
            <v>0.23333333333333336</v>
          </cell>
          <cell r="D22">
            <v>0.36968085106382981</v>
          </cell>
          <cell r="F22" t="str">
            <v>NM</v>
          </cell>
          <cell r="G22" t="str">
            <v>NM</v>
          </cell>
          <cell r="H22" t="str">
            <v>NM</v>
          </cell>
          <cell r="J22">
            <v>7.5187969924812026E-2</v>
          </cell>
          <cell r="L22">
            <v>1.1063829787234021</v>
          </cell>
          <cell r="R22">
            <v>0.36747572815533974</v>
          </cell>
          <cell r="T22" t="str">
            <v xml:space="preserve"> 4Q</v>
          </cell>
          <cell r="U22">
            <v>-0.68256450351837383</v>
          </cell>
          <cell r="V22">
            <v>2.7397260273972688E-2</v>
          </cell>
          <cell r="W22">
            <v>-0.31320330082520637</v>
          </cell>
          <cell r="Y22" t="str">
            <v>NM</v>
          </cell>
          <cell r="Z22">
            <v>0.19642857142857148</v>
          </cell>
          <cell r="AA22">
            <v>0.19389587073608611</v>
          </cell>
          <cell r="AB22">
            <v>0.14579759862778732</v>
          </cell>
          <cell r="AD22">
            <v>-0.10290614578370649</v>
          </cell>
          <cell r="AF22">
            <v>0.21929824561403508</v>
          </cell>
          <cell r="AG22" t="str">
            <v>NM</v>
          </cell>
          <cell r="AU22" t="str">
            <v xml:space="preserve"> 4Q</v>
          </cell>
          <cell r="AV22">
            <v>0.168469860896445</v>
          </cell>
          <cell r="AX22">
            <v>0.12580645161290319</v>
          </cell>
          <cell r="AY22">
            <v>0.26956521739130435</v>
          </cell>
          <cell r="AZ22">
            <v>0.17134986225895313</v>
          </cell>
          <cell r="BD22">
            <v>0</v>
          </cell>
          <cell r="BF22" t="str">
            <v>NM</v>
          </cell>
          <cell r="BG22" t="str">
            <v>NM</v>
          </cell>
          <cell r="BH22" t="str">
            <v>NM</v>
          </cell>
          <cell r="BI22">
            <v>0.15712682379349047</v>
          </cell>
          <cell r="BK22">
            <v>7.0610687022900825E-2</v>
          </cell>
          <cell r="BL22">
            <v>0.53623188405797118</v>
          </cell>
          <cell r="BM22">
            <v>0.15781310585498273</v>
          </cell>
          <cell r="BO22" t="str">
            <v>NM</v>
          </cell>
          <cell r="BP22" t="str">
            <v>NM</v>
          </cell>
          <cell r="BQ22" t="str">
            <v>NM</v>
          </cell>
          <cell r="BS22" t="str">
            <v>NM</v>
          </cell>
          <cell r="BT22" t="str">
            <v>NM</v>
          </cell>
          <cell r="BV22" t="str">
            <v>NM</v>
          </cell>
          <cell r="BX22">
            <v>-0.2328159645232816</v>
          </cell>
          <cell r="BY22">
            <v>0.13321650945154906</v>
          </cell>
          <cell r="BZ22">
            <v>6.7368421052631536E-2</v>
          </cell>
          <cell r="CA22">
            <v>0.12689157763472736</v>
          </cell>
        </row>
        <row r="24">
          <cell r="A24" t="str">
            <v>1995/94</v>
          </cell>
          <cell r="B24">
            <v>0.21867321867321857</v>
          </cell>
          <cell r="C24">
            <v>0.29147797447509255</v>
          </cell>
          <cell r="D24">
            <v>0.23990156653262126</v>
          </cell>
          <cell r="F24" t="str">
            <v>NM</v>
          </cell>
          <cell r="G24" t="str">
            <v>NM</v>
          </cell>
          <cell r="H24" t="str">
            <v>NM</v>
          </cell>
          <cell r="J24">
            <v>5.1556420233462866E-2</v>
          </cell>
          <cell r="L24">
            <v>1.4023904382470134</v>
          </cell>
          <cell r="R24" t="str">
            <v>NM</v>
          </cell>
          <cell r="T24" t="str">
            <v>1995/94</v>
          </cell>
          <cell r="U24">
            <v>-0.42214884429768867</v>
          </cell>
          <cell r="V24">
            <v>0.1823613766730402</v>
          </cell>
          <cell r="W24">
            <v>-0.11070065262898669</v>
          </cell>
          <cell r="Y24" t="str">
            <v>NM</v>
          </cell>
          <cell r="Z24">
            <v>0.19257673090649505</v>
          </cell>
          <cell r="AA24">
            <v>0.11908396946564904</v>
          </cell>
          <cell r="AB24">
            <v>0.10465717981888763</v>
          </cell>
          <cell r="AD24">
            <v>1.0418702023726334E-2</v>
          </cell>
          <cell r="AF24">
            <v>0.10294117647058823</v>
          </cell>
          <cell r="AG24" t="str">
            <v>NM</v>
          </cell>
          <cell r="AM24" t="str">
            <v>NM</v>
          </cell>
          <cell r="AN24" t="str">
            <v>NM</v>
          </cell>
          <cell r="AO24" t="str">
            <v>NM</v>
          </cell>
          <cell r="AU24" t="str">
            <v>1995/94</v>
          </cell>
          <cell r="AV24">
            <v>0.19273371732388128</v>
          </cell>
          <cell r="AX24">
            <v>0.16360822462967084</v>
          </cell>
          <cell r="AY24">
            <v>0.25905030559473446</v>
          </cell>
          <cell r="AZ24">
            <v>0.19413533834586469</v>
          </cell>
          <cell r="BD24">
            <v>5.5057618437900274E-2</v>
          </cell>
          <cell r="BF24" t="str">
            <v>NM</v>
          </cell>
          <cell r="BG24" t="str">
            <v>NM</v>
          </cell>
          <cell r="BH24" t="str">
            <v>NM</v>
          </cell>
          <cell r="BI24">
            <v>0.18259702725020641</v>
          </cell>
          <cell r="BK24">
            <v>0.11849512563504043</v>
          </cell>
          <cell r="BL24">
            <v>0.1440162271805274</v>
          </cell>
          <cell r="BM24">
            <v>0.12494870742716438</v>
          </cell>
          <cell r="BO24" t="str">
            <v>NM</v>
          </cell>
          <cell r="BP24" t="str">
            <v>NM</v>
          </cell>
          <cell r="BQ24" t="str">
            <v>NM</v>
          </cell>
          <cell r="BS24" t="str">
            <v>NM</v>
          </cell>
          <cell r="BT24" t="str">
            <v>NM</v>
          </cell>
          <cell r="BV24" t="str">
            <v>NM</v>
          </cell>
          <cell r="BX24">
            <v>-0.13126961864689793</v>
          </cell>
          <cell r="BY24">
            <v>0.14365168959183094</v>
          </cell>
          <cell r="BZ24">
            <v>0.10289457004014378</v>
          </cell>
          <cell r="CA24">
            <v>0.14018092969362858</v>
          </cell>
        </row>
        <row r="26">
          <cell r="A26" t="str">
            <v>1995</v>
          </cell>
          <cell r="T26" t="str">
            <v>1995</v>
          </cell>
          <cell r="AU26" t="str">
            <v>1995</v>
          </cell>
        </row>
        <row r="27">
          <cell r="A27" t="str">
            <v xml:space="preserve"> 1Q</v>
          </cell>
          <cell r="B27">
            <v>312.60000000000002</v>
          </cell>
          <cell r="C27">
            <v>144.1</v>
          </cell>
          <cell r="D27">
            <v>456.70000000000005</v>
          </cell>
          <cell r="F27">
            <v>0</v>
          </cell>
          <cell r="G27">
            <v>0</v>
          </cell>
          <cell r="H27">
            <v>0</v>
          </cell>
          <cell r="J27">
            <v>27.6</v>
          </cell>
          <cell r="L27">
            <v>10.59999999999993</v>
          </cell>
          <cell r="R27">
            <v>494.9</v>
          </cell>
          <cell r="T27" t="str">
            <v xml:space="preserve"> 1Q</v>
          </cell>
          <cell r="U27">
            <v>130.80000000000001</v>
          </cell>
          <cell r="V27">
            <v>136.6</v>
          </cell>
          <cell r="W27">
            <v>267.39999999999998</v>
          </cell>
          <cell r="Y27">
            <v>1.1000000000000001</v>
          </cell>
          <cell r="Z27">
            <v>41.92</v>
          </cell>
          <cell r="AA27">
            <v>72.180000000000007</v>
          </cell>
          <cell r="AB27">
            <v>69.400000000000006</v>
          </cell>
          <cell r="AD27">
            <v>452</v>
          </cell>
          <cell r="AF27">
            <v>25.1</v>
          </cell>
          <cell r="AG27">
            <v>1</v>
          </cell>
          <cell r="AM27">
            <v>0</v>
          </cell>
          <cell r="AN27">
            <v>0</v>
          </cell>
          <cell r="AO27">
            <v>0</v>
          </cell>
          <cell r="AU27" t="str">
            <v xml:space="preserve"> 1Q</v>
          </cell>
          <cell r="AV27">
            <v>56.699999999999996</v>
          </cell>
          <cell r="AX27">
            <v>153.5</v>
          </cell>
          <cell r="AY27">
            <v>59.4</v>
          </cell>
          <cell r="AZ27">
            <v>212.9</v>
          </cell>
          <cell r="BD27">
            <v>22.5</v>
          </cell>
          <cell r="BF27">
            <v>0</v>
          </cell>
          <cell r="BG27">
            <v>0</v>
          </cell>
          <cell r="BH27">
            <v>0</v>
          </cell>
          <cell r="BI27">
            <v>292.10000000000002</v>
          </cell>
          <cell r="BK27">
            <v>108.8</v>
          </cell>
          <cell r="BL27">
            <v>34.299999999999997</v>
          </cell>
          <cell r="BM27">
            <v>143.1</v>
          </cell>
          <cell r="BO27">
            <v>0</v>
          </cell>
          <cell r="BP27">
            <v>0.1</v>
          </cell>
          <cell r="BQ27">
            <v>0.1</v>
          </cell>
          <cell r="BS27">
            <v>10</v>
          </cell>
          <cell r="BT27">
            <v>10.1</v>
          </cell>
          <cell r="BV27">
            <v>0</v>
          </cell>
          <cell r="BX27">
            <v>56.9</v>
          </cell>
          <cell r="BY27">
            <v>1475.1999999999998</v>
          </cell>
          <cell r="BZ27">
            <v>124.19999999999999</v>
          </cell>
          <cell r="CA27">
            <v>1599.3999999999999</v>
          </cell>
        </row>
        <row r="28">
          <cell r="A28" t="str">
            <v xml:space="preserve"> 2Q</v>
          </cell>
          <cell r="B28">
            <v>355.2</v>
          </cell>
          <cell r="C28">
            <v>158.19999999999999</v>
          </cell>
          <cell r="D28">
            <v>513.4</v>
          </cell>
          <cell r="F28">
            <v>0</v>
          </cell>
          <cell r="G28">
            <v>0</v>
          </cell>
          <cell r="H28">
            <v>0</v>
          </cell>
          <cell r="J28">
            <v>26.5</v>
          </cell>
          <cell r="L28">
            <v>14.800000000000068</v>
          </cell>
          <cell r="R28">
            <v>554.70000000000005</v>
          </cell>
          <cell r="T28" t="str">
            <v xml:space="preserve"> 2Q</v>
          </cell>
          <cell r="U28">
            <v>37.700000000000003</v>
          </cell>
          <cell r="V28">
            <v>115.8</v>
          </cell>
          <cell r="W28">
            <v>153.5</v>
          </cell>
          <cell r="Y28">
            <v>2.2000000000000002</v>
          </cell>
          <cell r="Z28">
            <v>40.619999999999997</v>
          </cell>
          <cell r="AA28">
            <v>82.28</v>
          </cell>
          <cell r="AB28">
            <v>66.05</v>
          </cell>
          <cell r="AD28">
            <v>344.65</v>
          </cell>
          <cell r="AF28">
            <v>31.8</v>
          </cell>
          <cell r="AG28">
            <v>3</v>
          </cell>
          <cell r="AM28">
            <v>0</v>
          </cell>
          <cell r="AN28">
            <v>0</v>
          </cell>
          <cell r="AO28">
            <v>0</v>
          </cell>
          <cell r="AU28" t="str">
            <v xml:space="preserve"> 2Q</v>
          </cell>
          <cell r="AV28">
            <v>70.900000000000006</v>
          </cell>
          <cell r="AX28">
            <v>104.6</v>
          </cell>
          <cell r="AY28">
            <v>68.2</v>
          </cell>
          <cell r="AZ28">
            <v>172.8</v>
          </cell>
          <cell r="BD28">
            <v>19.899999999999999</v>
          </cell>
          <cell r="BF28">
            <v>0</v>
          </cell>
          <cell r="BG28">
            <v>0</v>
          </cell>
          <cell r="BH28">
            <v>0</v>
          </cell>
          <cell r="BI28">
            <v>263.60000000000002</v>
          </cell>
          <cell r="BK28">
            <v>85</v>
          </cell>
          <cell r="BL28">
            <v>38.799999999999997</v>
          </cell>
          <cell r="BM28">
            <v>123.8</v>
          </cell>
          <cell r="BO28">
            <v>0</v>
          </cell>
          <cell r="BP28">
            <v>0.3</v>
          </cell>
          <cell r="BQ28">
            <v>0.3</v>
          </cell>
          <cell r="BS28">
            <v>11</v>
          </cell>
          <cell r="BT28">
            <v>11.3</v>
          </cell>
          <cell r="BV28">
            <v>0</v>
          </cell>
          <cell r="BX28">
            <v>71.45</v>
          </cell>
          <cell r="BY28">
            <v>1404.3</v>
          </cell>
          <cell r="BZ28">
            <v>119.5</v>
          </cell>
          <cell r="CA28">
            <v>1523.8</v>
          </cell>
        </row>
        <row r="29">
          <cell r="A29" t="str">
            <v xml:space="preserve"> 3Q</v>
          </cell>
          <cell r="B29">
            <v>429.5</v>
          </cell>
          <cell r="C29">
            <v>151.19999999999999</v>
          </cell>
          <cell r="D29">
            <v>580.70000000000005</v>
          </cell>
          <cell r="F29">
            <v>0</v>
          </cell>
          <cell r="G29">
            <v>0</v>
          </cell>
          <cell r="H29">
            <v>0</v>
          </cell>
          <cell r="J29">
            <v>25.4</v>
          </cell>
          <cell r="L29">
            <v>15.100000000000001</v>
          </cell>
          <cell r="R29">
            <v>621.20000000000005</v>
          </cell>
          <cell r="T29" t="str">
            <v xml:space="preserve"> 3Q</v>
          </cell>
          <cell r="U29">
            <v>18.399999999999999</v>
          </cell>
          <cell r="V29">
            <v>99.8</v>
          </cell>
          <cell r="W29">
            <v>118.19999999999999</v>
          </cell>
          <cell r="Y29">
            <v>7.34</v>
          </cell>
          <cell r="Z29">
            <v>37.64</v>
          </cell>
          <cell r="AA29">
            <v>57.58</v>
          </cell>
          <cell r="AB29">
            <v>53.92</v>
          </cell>
          <cell r="AD29">
            <v>274.67999999999995</v>
          </cell>
          <cell r="AF29">
            <v>27.8</v>
          </cell>
          <cell r="AG29">
            <v>6.5</v>
          </cell>
          <cell r="AM29">
            <v>0</v>
          </cell>
          <cell r="AN29">
            <v>0</v>
          </cell>
          <cell r="AO29">
            <v>0</v>
          </cell>
          <cell r="AU29" t="str">
            <v xml:space="preserve"> 3Q</v>
          </cell>
          <cell r="AV29">
            <v>66</v>
          </cell>
          <cell r="AX29">
            <v>128.6</v>
          </cell>
          <cell r="AY29">
            <v>67.2</v>
          </cell>
          <cell r="AZ29">
            <v>195.8</v>
          </cell>
          <cell r="BD29">
            <v>18.899999999999999</v>
          </cell>
          <cell r="BF29">
            <v>0</v>
          </cell>
          <cell r="BG29">
            <v>0</v>
          </cell>
          <cell r="BH29">
            <v>0</v>
          </cell>
          <cell r="BI29">
            <v>280.7</v>
          </cell>
          <cell r="BK29">
            <v>101.3</v>
          </cell>
          <cell r="BL29">
            <v>30.8</v>
          </cell>
          <cell r="BM29">
            <v>132.1</v>
          </cell>
          <cell r="BO29">
            <v>0</v>
          </cell>
          <cell r="BP29">
            <v>1.3</v>
          </cell>
          <cell r="BQ29">
            <v>1.3</v>
          </cell>
          <cell r="BS29">
            <v>9</v>
          </cell>
          <cell r="BT29">
            <v>10.3</v>
          </cell>
          <cell r="BV29">
            <v>0</v>
          </cell>
          <cell r="BX29">
            <v>62.6</v>
          </cell>
          <cell r="BY29">
            <v>1415.8799999999997</v>
          </cell>
          <cell r="BZ29">
            <v>126.2</v>
          </cell>
          <cell r="CA29">
            <v>1542.0799999999997</v>
          </cell>
        </row>
        <row r="30">
          <cell r="A30" t="str">
            <v xml:space="preserve"> 4Q</v>
          </cell>
          <cell r="B30">
            <v>341.1</v>
          </cell>
          <cell r="C30">
            <v>173.9</v>
          </cell>
          <cell r="D30">
            <v>515</v>
          </cell>
          <cell r="F30">
            <v>0</v>
          </cell>
          <cell r="G30">
            <v>0</v>
          </cell>
          <cell r="H30">
            <v>0</v>
          </cell>
          <cell r="J30">
            <v>28.6</v>
          </cell>
          <cell r="L30">
            <v>19.799999999999976</v>
          </cell>
          <cell r="R30">
            <v>563.4</v>
          </cell>
          <cell r="T30" t="str">
            <v xml:space="preserve"> 4Q</v>
          </cell>
          <cell r="U30">
            <v>40.6</v>
          </cell>
          <cell r="V30">
            <v>142.5</v>
          </cell>
          <cell r="W30">
            <v>183.1</v>
          </cell>
          <cell r="Y30">
            <v>13.3</v>
          </cell>
          <cell r="Z30">
            <v>46.900000000000006</v>
          </cell>
          <cell r="AA30">
            <v>66.5</v>
          </cell>
          <cell r="AB30">
            <v>66.8</v>
          </cell>
          <cell r="AD30">
            <v>376.6</v>
          </cell>
          <cell r="AF30">
            <v>27.8</v>
          </cell>
          <cell r="AG30">
            <v>12.3</v>
          </cell>
          <cell r="AM30">
            <v>0</v>
          </cell>
          <cell r="AN30">
            <v>0</v>
          </cell>
          <cell r="AO30">
            <v>0</v>
          </cell>
          <cell r="AU30" t="str">
            <v xml:space="preserve"> 4Q</v>
          </cell>
          <cell r="AV30">
            <v>75.599999999999994</v>
          </cell>
          <cell r="AX30">
            <v>139.6</v>
          </cell>
          <cell r="AY30">
            <v>73</v>
          </cell>
          <cell r="AZ30">
            <v>212.6</v>
          </cell>
          <cell r="BD30">
            <v>21.1</v>
          </cell>
          <cell r="BF30">
            <v>0</v>
          </cell>
          <cell r="BG30">
            <v>0</v>
          </cell>
          <cell r="BH30">
            <v>0</v>
          </cell>
          <cell r="BI30">
            <v>309.3</v>
          </cell>
          <cell r="BK30">
            <v>112.2</v>
          </cell>
          <cell r="BL30">
            <v>37.1</v>
          </cell>
          <cell r="BM30">
            <v>149.30000000000001</v>
          </cell>
          <cell r="BO30">
            <v>0</v>
          </cell>
          <cell r="BP30">
            <v>2.7</v>
          </cell>
          <cell r="BQ30">
            <v>2.7</v>
          </cell>
          <cell r="BS30">
            <v>9.1</v>
          </cell>
          <cell r="BT30">
            <v>11.8</v>
          </cell>
          <cell r="BV30">
            <v>0</v>
          </cell>
          <cell r="BX30">
            <v>69.2</v>
          </cell>
          <cell r="BY30">
            <v>1519.6999999999998</v>
          </cell>
          <cell r="BZ30">
            <v>152.1</v>
          </cell>
          <cell r="CA30">
            <v>1671.7999999999997</v>
          </cell>
        </row>
        <row r="32">
          <cell r="A32" t="str">
            <v>1995</v>
          </cell>
          <cell r="B32">
            <v>1438.4</v>
          </cell>
          <cell r="C32">
            <v>627.4</v>
          </cell>
          <cell r="D32">
            <v>2065.8000000000002</v>
          </cell>
          <cell r="F32">
            <v>0</v>
          </cell>
          <cell r="G32">
            <v>0</v>
          </cell>
          <cell r="H32">
            <v>0</v>
          </cell>
          <cell r="I32">
            <v>0</v>
          </cell>
          <cell r="J32">
            <v>108.1</v>
          </cell>
          <cell r="K32">
            <v>0</v>
          </cell>
          <cell r="L32">
            <v>60.299999999999976</v>
          </cell>
          <cell r="M32">
            <v>0</v>
          </cell>
          <cell r="R32">
            <v>2234.1999999999998</v>
          </cell>
          <cell r="T32" t="str">
            <v>1995</v>
          </cell>
          <cell r="U32">
            <v>227.5</v>
          </cell>
          <cell r="V32">
            <v>494.7</v>
          </cell>
          <cell r="W32">
            <v>722.19999999999993</v>
          </cell>
          <cell r="Y32">
            <v>23.94</v>
          </cell>
          <cell r="Z32">
            <v>167.07999999999998</v>
          </cell>
          <cell r="AA32">
            <v>278.54000000000002</v>
          </cell>
          <cell r="AB32">
            <v>256.17</v>
          </cell>
          <cell r="AD32">
            <v>1447.9299999999998</v>
          </cell>
          <cell r="AF32">
            <v>112.5</v>
          </cell>
          <cell r="AG32">
            <v>22.8</v>
          </cell>
          <cell r="AM32">
            <v>0</v>
          </cell>
          <cell r="AN32">
            <v>0</v>
          </cell>
          <cell r="AO32">
            <v>0</v>
          </cell>
          <cell r="AU32" t="str">
            <v>1995</v>
          </cell>
          <cell r="AV32">
            <v>269.2</v>
          </cell>
          <cell r="AX32">
            <v>526.30000000000007</v>
          </cell>
          <cell r="AY32">
            <v>267.8</v>
          </cell>
          <cell r="AZ32">
            <v>794.1</v>
          </cell>
          <cell r="BD32">
            <v>82.4</v>
          </cell>
          <cell r="BF32">
            <v>0</v>
          </cell>
          <cell r="BG32">
            <v>0</v>
          </cell>
          <cell r="BH32">
            <v>0</v>
          </cell>
          <cell r="BI32">
            <v>1145.7</v>
          </cell>
          <cell r="BK32">
            <v>407.3</v>
          </cell>
          <cell r="BL32">
            <v>141</v>
          </cell>
          <cell r="BM32">
            <v>548.29999999999995</v>
          </cell>
          <cell r="BO32">
            <v>0</v>
          </cell>
          <cell r="BP32">
            <v>4.4000000000000004</v>
          </cell>
          <cell r="BQ32">
            <v>4.4000000000000004</v>
          </cell>
          <cell r="BS32">
            <v>39.1</v>
          </cell>
          <cell r="BT32">
            <v>43.5</v>
          </cell>
          <cell r="BV32">
            <v>0</v>
          </cell>
          <cell r="BX32">
            <v>260.14999999999998</v>
          </cell>
          <cell r="BY32">
            <v>5815.079999999999</v>
          </cell>
          <cell r="BZ32">
            <v>522</v>
          </cell>
          <cell r="CA32">
            <v>6337.08</v>
          </cell>
        </row>
        <row r="34">
          <cell r="A34" t="str">
            <v>1996/95</v>
          </cell>
          <cell r="T34" t="str">
            <v>1996/95</v>
          </cell>
          <cell r="AU34" t="str">
            <v>1996/95</v>
          </cell>
        </row>
        <row r="35">
          <cell r="A35" t="str">
            <v xml:space="preserve"> 1Q</v>
          </cell>
          <cell r="B35">
            <v>0.35988483685220729</v>
          </cell>
          <cell r="C35">
            <v>6.6620402498265063E-2</v>
          </cell>
          <cell r="D35">
            <v>0.26735274797460018</v>
          </cell>
          <cell r="F35" t="str">
            <v>NM</v>
          </cell>
          <cell r="G35" t="str">
            <v>NM</v>
          </cell>
          <cell r="H35" t="str">
            <v>NM</v>
          </cell>
          <cell r="J35">
            <v>-0.15942028985507253</v>
          </cell>
          <cell r="L35">
            <v>0.57547169811322652</v>
          </cell>
          <cell r="R35">
            <v>0.25015154576682175</v>
          </cell>
          <cell r="T35" t="str">
            <v xml:space="preserve"> 1Q</v>
          </cell>
          <cell r="U35">
            <v>-0.8379204892966361</v>
          </cell>
          <cell r="V35">
            <v>-3.6603221083455345E-3</v>
          </cell>
          <cell r="W35">
            <v>-0.41174270755422587</v>
          </cell>
          <cell r="Y35" t="str">
            <v>NM</v>
          </cell>
          <cell r="Z35">
            <v>-1.001908396946569E-2</v>
          </cell>
          <cell r="AA35">
            <v>-0.10640066500415636</v>
          </cell>
          <cell r="AB35">
            <v>-9.6541786743515878E-2</v>
          </cell>
          <cell r="AD35">
            <v>-0.25685840707964619</v>
          </cell>
          <cell r="AF35">
            <v>4.3824701195219036E-2</v>
          </cell>
          <cell r="AG35" t="str">
            <v>NM</v>
          </cell>
          <cell r="AM35" t="str">
            <v>NM</v>
          </cell>
          <cell r="AN35" t="str">
            <v>NM</v>
          </cell>
          <cell r="AO35" t="str">
            <v>NM</v>
          </cell>
          <cell r="AU35" t="str">
            <v xml:space="preserve"> 1Q</v>
          </cell>
          <cell r="AV35">
            <v>4.9382716049382797E-2</v>
          </cell>
          <cell r="AX35">
            <v>-0.16091205211726378</v>
          </cell>
          <cell r="AY35">
            <v>0.32323232323232315</v>
          </cell>
          <cell r="AZ35">
            <v>-2.5833724753405354E-2</v>
          </cell>
          <cell r="BD35">
            <v>-0.15111111111111106</v>
          </cell>
          <cell r="BF35" t="str">
            <v>NM</v>
          </cell>
          <cell r="BG35" t="str">
            <v>NM</v>
          </cell>
          <cell r="BH35" t="str">
            <v>NM</v>
          </cell>
          <cell r="BI35">
            <v>-2.0883259157822739E-2</v>
          </cell>
          <cell r="BK35">
            <v>6.2499999999999972E-2</v>
          </cell>
          <cell r="BL35">
            <v>-5.8309037900873394E-3</v>
          </cell>
          <cell r="BM35">
            <v>4.6121593291404576E-2</v>
          </cell>
          <cell r="BO35" t="str">
            <v>NM</v>
          </cell>
          <cell r="BP35" t="str">
            <v>NM</v>
          </cell>
          <cell r="BQ35" t="str">
            <v>NM</v>
          </cell>
          <cell r="BS35">
            <v>-0.05</v>
          </cell>
          <cell r="BT35">
            <v>0.33663366336633666</v>
          </cell>
          <cell r="BV35" t="str">
            <v>NM</v>
          </cell>
          <cell r="BX35">
            <v>0.19332161687170488</v>
          </cell>
          <cell r="BY35">
            <v>3.0843275488069571E-2</v>
          </cell>
          <cell r="BZ35">
            <v>8.9371980676328691E-2</v>
          </cell>
          <cell r="CA35">
            <v>3.538827060147564E-2</v>
          </cell>
        </row>
        <row r="36">
          <cell r="A36" t="str">
            <v xml:space="preserve"> 2Q</v>
          </cell>
          <cell r="B36">
            <v>3.9132882882882983E-2</v>
          </cell>
          <cell r="C36">
            <v>5.8786346396965942E-2</v>
          </cell>
          <cell r="D36">
            <v>4.518893650175311E-2</v>
          </cell>
          <cell r="F36" t="str">
            <v>NM</v>
          </cell>
          <cell r="G36" t="str">
            <v>NM</v>
          </cell>
          <cell r="H36" t="str">
            <v>NM</v>
          </cell>
          <cell r="J36">
            <v>-3.7735849056603772E-2</v>
          </cell>
          <cell r="L36">
            <v>0.42567567567567066</v>
          </cell>
          <cell r="R36">
            <v>5.1379123850730117E-2</v>
          </cell>
          <cell r="T36" t="str">
            <v xml:space="preserve"> 2Q</v>
          </cell>
          <cell r="U36">
            <v>-0.70557029177718833</v>
          </cell>
          <cell r="V36">
            <v>-2.5906735751295339E-2</v>
          </cell>
          <cell r="W36">
            <v>-0.19283387622149842</v>
          </cell>
          <cell r="Y36" t="str">
            <v>NM</v>
          </cell>
          <cell r="Z36">
            <v>2.9049729197439679E-2</v>
          </cell>
          <cell r="AA36">
            <v>-0.17233835683033552</v>
          </cell>
          <cell r="AB36">
            <v>-0.13247539742619227</v>
          </cell>
          <cell r="AD36">
            <v>-0.14086754678659513</v>
          </cell>
          <cell r="AF36">
            <v>-0.14465408805031452</v>
          </cell>
          <cell r="AG36" t="str">
            <v>NM</v>
          </cell>
          <cell r="AM36" t="str">
            <v>NM</v>
          </cell>
          <cell r="AN36" t="str">
            <v>NM</v>
          </cell>
          <cell r="AO36" t="str">
            <v>NM</v>
          </cell>
          <cell r="AU36" t="str">
            <v xml:space="preserve"> 2Q</v>
          </cell>
          <cell r="AV36">
            <v>-5.5007052186177789E-2</v>
          </cell>
          <cell r="AX36">
            <v>0.34799235181644367</v>
          </cell>
          <cell r="AY36">
            <v>4.5454545454545373E-2</v>
          </cell>
          <cell r="AZ36">
            <v>0.22858796296296294</v>
          </cell>
          <cell r="BD36">
            <v>-2.5125628140703519E-2</v>
          </cell>
          <cell r="BF36" t="str">
            <v>NM</v>
          </cell>
          <cell r="BG36" t="str">
            <v>NM</v>
          </cell>
          <cell r="BH36" t="str">
            <v>NM</v>
          </cell>
          <cell r="BI36">
            <v>0.13884673748103171</v>
          </cell>
          <cell r="BK36">
            <v>6.5882352941176406E-2</v>
          </cell>
          <cell r="BL36">
            <v>-0.29896907216494845</v>
          </cell>
          <cell r="BM36">
            <v>-4.8465266558966075E-2</v>
          </cell>
          <cell r="BO36" t="str">
            <v>NM</v>
          </cell>
          <cell r="BP36" t="str">
            <v>NM</v>
          </cell>
          <cell r="BQ36" t="str">
            <v>NM</v>
          </cell>
          <cell r="BS36">
            <v>-0.14545454545454542</v>
          </cell>
          <cell r="BT36">
            <v>0.85840707964601759</v>
          </cell>
          <cell r="BV36" t="str">
            <v>NM</v>
          </cell>
          <cell r="BX36">
            <v>-3.0090972708187624E-2</v>
          </cell>
          <cell r="BY36">
            <v>3.3967101046784909E-2</v>
          </cell>
          <cell r="BZ36">
            <v>1.4225941422594167E-2</v>
          </cell>
          <cell r="CA36">
            <v>3.2418952618453928E-2</v>
          </cell>
        </row>
        <row r="37">
          <cell r="A37" t="str">
            <v xml:space="preserve"> 3Q</v>
          </cell>
          <cell r="B37">
            <v>0.14994179278230496</v>
          </cell>
          <cell r="C37">
            <v>-5.0264550264550234E-2</v>
          </cell>
          <cell r="D37">
            <v>9.781298432925771E-2</v>
          </cell>
          <cell r="F37" t="str">
            <v>NM</v>
          </cell>
          <cell r="G37" t="str">
            <v>NM</v>
          </cell>
          <cell r="H37" t="str">
            <v>NM</v>
          </cell>
          <cell r="J37">
            <v>-3.937007874015748E-2</v>
          </cell>
          <cell r="L37">
            <v>0.45695364238410441</v>
          </cell>
          <cell r="R37">
            <v>0.10093367675466827</v>
          </cell>
          <cell r="T37" t="str">
            <v xml:space="preserve"> 3Q</v>
          </cell>
          <cell r="U37">
            <v>-0.34782608695652167</v>
          </cell>
          <cell r="V37">
            <v>-7.7154308617234504E-2</v>
          </cell>
          <cell r="W37">
            <v>-0.11928934010152281</v>
          </cell>
          <cell r="Y37" t="str">
            <v>NM</v>
          </cell>
          <cell r="Z37">
            <v>0.11849096705632309</v>
          </cell>
          <cell r="AA37">
            <v>7.2941993747829403E-3</v>
          </cell>
          <cell r="AB37">
            <v>-7.0845697329376858E-2</v>
          </cell>
          <cell r="AD37">
            <v>-5.1623707587010167E-2</v>
          </cell>
          <cell r="AF37">
            <v>-0.14748201438848926</v>
          </cell>
          <cell r="AG37" t="str">
            <v>NM</v>
          </cell>
          <cell r="AM37" t="str">
            <v>NM</v>
          </cell>
          <cell r="AN37" t="str">
            <v>NM</v>
          </cell>
          <cell r="AO37" t="str">
            <v>NM</v>
          </cell>
          <cell r="AU37" t="str">
            <v xml:space="preserve"> 3Q</v>
          </cell>
          <cell r="AV37">
            <v>1.3636363636363722E-2</v>
          </cell>
          <cell r="AX37">
            <v>0.1166407465007776</v>
          </cell>
          <cell r="AY37">
            <v>0.22172619047619033</v>
          </cell>
          <cell r="AZ37">
            <v>0.15270684371807955</v>
          </cell>
          <cell r="BD37">
            <v>-4.7619047619047547E-2</v>
          </cell>
          <cell r="BF37" t="str">
            <v>NM</v>
          </cell>
          <cell r="BG37" t="str">
            <v>NM</v>
          </cell>
          <cell r="BH37" t="str">
            <v>NM</v>
          </cell>
          <cell r="BI37">
            <v>0.1389383683648025</v>
          </cell>
          <cell r="BK37">
            <v>-2.8627838104639602E-2</v>
          </cell>
          <cell r="BL37">
            <v>-7.792207792207799E-2</v>
          </cell>
          <cell r="BM37">
            <v>-4.0121120363360963E-2</v>
          </cell>
          <cell r="BO37" t="str">
            <v>NM</v>
          </cell>
          <cell r="BP37" t="str">
            <v>NM</v>
          </cell>
          <cell r="BQ37" t="str">
            <v>NM</v>
          </cell>
          <cell r="BS37">
            <v>-5.5555555555555552E-2</v>
          </cell>
          <cell r="BT37">
            <v>1.7766990291262135</v>
          </cell>
          <cell r="BV37" t="str">
            <v>NM</v>
          </cell>
          <cell r="BX37">
            <v>0.11501597444089449</v>
          </cell>
          <cell r="BY37">
            <v>9.5784953527135341E-2</v>
          </cell>
          <cell r="BZ37">
            <v>2.2979397781299458E-2</v>
          </cell>
          <cell r="CA37">
            <v>8.9826727536833517E-2</v>
          </cell>
        </row>
        <row r="38">
          <cell r="A38" t="str">
            <v xml:space="preserve"> 4Q</v>
          </cell>
          <cell r="B38">
            <v>0.29610085019055993</v>
          </cell>
          <cell r="C38">
            <v>-7.4755606670500283E-2</v>
          </cell>
          <cell r="D38">
            <v>0.17087378640776699</v>
          </cell>
          <cell r="F38" t="str">
            <v>NM</v>
          </cell>
          <cell r="G38" t="str">
            <v>NM</v>
          </cell>
          <cell r="H38" t="str">
            <v>NM</v>
          </cell>
          <cell r="J38">
            <v>2.4475524475524448E-2</v>
          </cell>
          <cell r="L38">
            <v>0.41414141414141858</v>
          </cell>
          <cell r="R38">
            <v>0.3262335818246363</v>
          </cell>
          <cell r="T38" t="str">
            <v xml:space="preserve"> 4Q</v>
          </cell>
          <cell r="U38">
            <v>-0.33497536945812811</v>
          </cell>
          <cell r="V38">
            <v>-8.9824561403508849E-2</v>
          </cell>
          <cell r="W38">
            <v>-0.14418350628072096</v>
          </cell>
          <cell r="Y38" t="str">
            <v>NM</v>
          </cell>
          <cell r="Z38">
            <v>-6.1833688699360456E-2</v>
          </cell>
          <cell r="AA38">
            <v>-0.11428571428571431</v>
          </cell>
          <cell r="AB38">
            <v>-0.2035928143712574</v>
          </cell>
          <cell r="AD38">
            <v>-0.15082315454062684</v>
          </cell>
          <cell r="AF38">
            <v>-0.15107913669064746</v>
          </cell>
          <cell r="AG38" t="str">
            <v>NM</v>
          </cell>
          <cell r="AM38" t="str">
            <v>NM</v>
          </cell>
          <cell r="AN38" t="str">
            <v>NM</v>
          </cell>
          <cell r="AO38" t="str">
            <v>NM</v>
          </cell>
          <cell r="AU38" t="str">
            <v xml:space="preserve"> 4Q</v>
          </cell>
          <cell r="AV38">
            <v>-1.3227513227513229E-2</v>
          </cell>
          <cell r="AX38">
            <v>7.5931232091690504E-2</v>
          </cell>
          <cell r="AY38">
            <v>0.21095890410958912</v>
          </cell>
          <cell r="AZ38">
            <v>0.12229539040451552</v>
          </cell>
          <cell r="BD38">
            <v>1.8957345971563913E-2</v>
          </cell>
          <cell r="BF38" t="str">
            <v>NM</v>
          </cell>
          <cell r="BG38" t="str">
            <v>NM</v>
          </cell>
          <cell r="BH38" t="str">
            <v>NM</v>
          </cell>
          <cell r="BI38">
            <v>0.11251212415130926</v>
          </cell>
          <cell r="BK38">
            <v>-6.7736185383244288E-2</v>
          </cell>
          <cell r="BL38">
            <v>-0.12668463611859845</v>
          </cell>
          <cell r="BM38">
            <v>-8.238446081714676E-2</v>
          </cell>
          <cell r="BO38" t="str">
            <v>NM</v>
          </cell>
          <cell r="BP38" t="str">
            <v>NM</v>
          </cell>
          <cell r="BQ38" t="str">
            <v>NM</v>
          </cell>
          <cell r="BS38">
            <v>-3.296703296703285E-2</v>
          </cell>
          <cell r="BT38">
            <v>1.9661016949152541</v>
          </cell>
          <cell r="BV38" t="str">
            <v>NM</v>
          </cell>
          <cell r="BX38">
            <v>5.491329479768782E-2</v>
          </cell>
          <cell r="BY38">
            <v>0.13871158781338422</v>
          </cell>
          <cell r="BZ38">
            <v>0.14332675871137418</v>
          </cell>
          <cell r="CA38">
            <v>0.13913147505682508</v>
          </cell>
        </row>
        <row r="40">
          <cell r="A40" t="str">
            <v>1996/95</v>
          </cell>
          <cell r="B40">
            <v>0.20286429365962161</v>
          </cell>
          <cell r="C40">
            <v>-2.7095951546062032E-3</v>
          </cell>
          <cell r="D40">
            <v>0.14042985768225358</v>
          </cell>
          <cell r="F40" t="str">
            <v>NM</v>
          </cell>
          <cell r="G40" t="str">
            <v>NM</v>
          </cell>
          <cell r="H40" t="str">
            <v>NM</v>
          </cell>
          <cell r="J40">
            <v>-5.272895467160027E-2</v>
          </cell>
          <cell r="L40">
            <v>0.45605306799336942</v>
          </cell>
          <cell r="R40">
            <v>0.17849789633873431</v>
          </cell>
          <cell r="T40" t="str">
            <v>1996/95</v>
          </cell>
          <cell r="U40">
            <v>-0.68659340659340651</v>
          </cell>
          <cell r="V40">
            <v>-4.8514251061249361E-2</v>
          </cell>
          <cell r="W40">
            <v>-0.24951536970368327</v>
          </cell>
          <cell r="Y40" t="str">
            <v>NM</v>
          </cell>
          <cell r="Z40">
            <v>1.3885563801771568E-2</v>
          </cell>
          <cell r="AA40">
            <v>-0.10425791627773397</v>
          </cell>
          <cell r="AB40">
            <v>-0.1283132294960378</v>
          </cell>
          <cell r="AD40">
            <v>-0.16273576761307532</v>
          </cell>
          <cell r="AF40">
            <v>-0.10488888888888899</v>
          </cell>
          <cell r="AG40" t="str">
            <v>NM</v>
          </cell>
          <cell r="AM40" t="str">
            <v>NM</v>
          </cell>
          <cell r="AN40" t="str">
            <v>NM</v>
          </cell>
          <cell r="AO40" t="str">
            <v>NM</v>
          </cell>
          <cell r="AU40" t="str">
            <v>1996/95</v>
          </cell>
          <cell r="AV40">
            <v>-4.4576523031203148E-3</v>
          </cell>
          <cell r="AX40">
            <v>7.0872126163784605E-2</v>
          </cell>
          <cell r="AY40">
            <v>0.19641523525018656</v>
          </cell>
          <cell r="AZ40">
            <v>0.11320992318347797</v>
          </cell>
          <cell r="BD40">
            <v>-5.3398058252427251E-2</v>
          </cell>
          <cell r="BF40" t="str">
            <v>NM</v>
          </cell>
          <cell r="BG40" t="str">
            <v>NM</v>
          </cell>
          <cell r="BH40" t="str">
            <v>NM</v>
          </cell>
          <cell r="BI40">
            <v>9.1036047831020289E-2</v>
          </cell>
          <cell r="BK40">
            <v>4.6648661919961552E-3</v>
          </cell>
          <cell r="BL40">
            <v>-0.13404255319148939</v>
          </cell>
          <cell r="BM40">
            <v>-3.1004924311508301E-2</v>
          </cell>
          <cell r="BO40" t="str">
            <v>NM</v>
          </cell>
          <cell r="BP40" t="str">
            <v>NM</v>
          </cell>
          <cell r="BQ40" t="str">
            <v>NM</v>
          </cell>
          <cell r="BS40">
            <v>-7.4168797953964152E-2</v>
          </cell>
          <cell r="BT40">
            <v>1.2551724137931033</v>
          </cell>
          <cell r="BV40" t="str">
            <v>NM</v>
          </cell>
          <cell r="BX40">
            <v>7.6302133384585913E-2</v>
          </cell>
          <cell r="BY40">
            <v>7.5599991745599518E-2</v>
          </cell>
          <cell r="BZ40">
            <v>7.183908045977011E-2</v>
          </cell>
          <cell r="CA40">
            <v>7.5290196746766638E-2</v>
          </cell>
        </row>
        <row r="42">
          <cell r="A42" t="str">
            <v>1996</v>
          </cell>
          <cell r="T42" t="str">
            <v>1996</v>
          </cell>
          <cell r="AU42" t="str">
            <v>1996</v>
          </cell>
        </row>
        <row r="43">
          <cell r="A43" t="str">
            <v xml:space="preserve"> 1Q</v>
          </cell>
          <cell r="B43">
            <v>425.1</v>
          </cell>
          <cell r="C43">
            <v>153.69999999999999</v>
          </cell>
          <cell r="D43">
            <v>578.79999999999995</v>
          </cell>
          <cell r="F43">
            <v>0</v>
          </cell>
          <cell r="G43">
            <v>0</v>
          </cell>
          <cell r="H43">
            <v>0</v>
          </cell>
          <cell r="J43">
            <v>23.2</v>
          </cell>
          <cell r="L43">
            <v>16.700000000000092</v>
          </cell>
          <cell r="R43">
            <v>618.70000000000005</v>
          </cell>
          <cell r="T43" t="str">
            <v xml:space="preserve"> 1Q</v>
          </cell>
          <cell r="U43">
            <v>21.2</v>
          </cell>
          <cell r="V43">
            <v>136.1</v>
          </cell>
          <cell r="W43">
            <v>157.29999999999998</v>
          </cell>
          <cell r="Y43">
            <v>9.9</v>
          </cell>
          <cell r="Z43">
            <v>41.5</v>
          </cell>
          <cell r="AA43">
            <v>64.5</v>
          </cell>
          <cell r="AB43">
            <v>62.7</v>
          </cell>
          <cell r="AD43">
            <v>335.89999999999992</v>
          </cell>
          <cell r="AF43">
            <v>26.2</v>
          </cell>
          <cell r="AG43">
            <v>22.8</v>
          </cell>
          <cell r="AM43">
            <v>0</v>
          </cell>
          <cell r="AN43">
            <v>0</v>
          </cell>
          <cell r="AO43">
            <v>0</v>
          </cell>
          <cell r="AU43" t="str">
            <v xml:space="preserve"> 1Q</v>
          </cell>
          <cell r="AV43">
            <v>59.5</v>
          </cell>
          <cell r="AX43">
            <v>128.80000000000001</v>
          </cell>
          <cell r="AY43">
            <v>78.599999999999994</v>
          </cell>
          <cell r="AZ43">
            <v>207.4</v>
          </cell>
          <cell r="BD43">
            <v>19.100000000000001</v>
          </cell>
          <cell r="BF43">
            <v>0</v>
          </cell>
          <cell r="BG43">
            <v>0</v>
          </cell>
          <cell r="BH43">
            <v>0</v>
          </cell>
          <cell r="BI43">
            <v>286</v>
          </cell>
          <cell r="BK43">
            <v>115.6</v>
          </cell>
          <cell r="BL43">
            <v>34.1</v>
          </cell>
          <cell r="BM43">
            <v>149.69999999999999</v>
          </cell>
          <cell r="BO43">
            <v>0</v>
          </cell>
          <cell r="BP43">
            <v>4</v>
          </cell>
          <cell r="BQ43">
            <v>4</v>
          </cell>
          <cell r="BS43">
            <v>9.5</v>
          </cell>
          <cell r="BT43">
            <v>13.5</v>
          </cell>
          <cell r="BV43">
            <v>0</v>
          </cell>
          <cell r="BX43">
            <v>67.900000000000006</v>
          </cell>
          <cell r="BY43">
            <v>1520.7</v>
          </cell>
          <cell r="BZ43">
            <v>135.30000000000001</v>
          </cell>
          <cell r="CA43">
            <v>1656</v>
          </cell>
        </row>
        <row r="44">
          <cell r="A44" t="str">
            <v xml:space="preserve"> 2Q</v>
          </cell>
          <cell r="B44">
            <v>369.1</v>
          </cell>
          <cell r="C44">
            <v>167.5</v>
          </cell>
          <cell r="D44">
            <v>536.6</v>
          </cell>
          <cell r="F44">
            <v>0</v>
          </cell>
          <cell r="G44">
            <v>0</v>
          </cell>
          <cell r="H44">
            <v>0</v>
          </cell>
          <cell r="J44">
            <v>25.5</v>
          </cell>
          <cell r="L44">
            <v>21.100000000000023</v>
          </cell>
          <cell r="R44">
            <v>583.20000000000005</v>
          </cell>
          <cell r="T44" t="str">
            <v xml:space="preserve"> 2Q</v>
          </cell>
          <cell r="U44">
            <v>11.1</v>
          </cell>
          <cell r="V44">
            <v>112.8</v>
          </cell>
          <cell r="W44">
            <v>123.89999999999999</v>
          </cell>
          <cell r="Y44">
            <v>5</v>
          </cell>
          <cell r="Z44">
            <v>41.8</v>
          </cell>
          <cell r="AA44">
            <v>68.099999999999994</v>
          </cell>
          <cell r="AB44">
            <v>57.3</v>
          </cell>
          <cell r="AD44">
            <v>296.09999999999997</v>
          </cell>
          <cell r="AF44">
            <v>27.2</v>
          </cell>
          <cell r="AG44">
            <v>37.200000000000003</v>
          </cell>
          <cell r="AM44">
            <v>0</v>
          </cell>
          <cell r="AN44">
            <v>0</v>
          </cell>
          <cell r="AO44">
            <v>0</v>
          </cell>
          <cell r="AU44" t="str">
            <v xml:space="preserve"> 2Q</v>
          </cell>
          <cell r="AV44">
            <v>67</v>
          </cell>
          <cell r="AX44">
            <v>141</v>
          </cell>
          <cell r="AY44">
            <v>71.3</v>
          </cell>
          <cell r="AZ44">
            <v>212.3</v>
          </cell>
          <cell r="BD44">
            <v>19.399999999999999</v>
          </cell>
          <cell r="BF44">
            <v>0</v>
          </cell>
          <cell r="BG44">
            <v>1.5</v>
          </cell>
          <cell r="BH44">
            <v>1.5</v>
          </cell>
          <cell r="BI44">
            <v>300.2</v>
          </cell>
          <cell r="BK44">
            <v>90.6</v>
          </cell>
          <cell r="BL44">
            <v>27.2</v>
          </cell>
          <cell r="BM44">
            <v>117.8</v>
          </cell>
          <cell r="BO44">
            <v>5.7</v>
          </cell>
          <cell r="BP44">
            <v>5.9</v>
          </cell>
          <cell r="BQ44">
            <v>11.600000000000001</v>
          </cell>
          <cell r="BS44">
            <v>9.4</v>
          </cell>
          <cell r="BT44">
            <v>21</v>
          </cell>
          <cell r="BV44">
            <v>0</v>
          </cell>
          <cell r="BX44">
            <v>69.3</v>
          </cell>
          <cell r="BY44">
            <v>1452</v>
          </cell>
          <cell r="BZ44">
            <v>121.2</v>
          </cell>
          <cell r="CA44">
            <v>1573.2</v>
          </cell>
        </row>
        <row r="45">
          <cell r="A45" t="str">
            <v xml:space="preserve"> 3Q</v>
          </cell>
          <cell r="B45">
            <v>493.9</v>
          </cell>
          <cell r="C45">
            <v>143.6</v>
          </cell>
          <cell r="D45">
            <v>637.5</v>
          </cell>
          <cell r="F45">
            <v>0</v>
          </cell>
          <cell r="G45">
            <v>0</v>
          </cell>
          <cell r="H45">
            <v>0</v>
          </cell>
          <cell r="J45">
            <v>24.4</v>
          </cell>
          <cell r="L45">
            <v>21.999999999999979</v>
          </cell>
          <cell r="R45">
            <v>683.9</v>
          </cell>
          <cell r="T45" t="str">
            <v xml:space="preserve"> 3Q</v>
          </cell>
          <cell r="U45">
            <v>12</v>
          </cell>
          <cell r="V45">
            <v>92.1</v>
          </cell>
          <cell r="W45">
            <v>104.1</v>
          </cell>
          <cell r="Y45">
            <v>6.2</v>
          </cell>
          <cell r="Z45">
            <v>42.1</v>
          </cell>
          <cell r="AA45">
            <v>58</v>
          </cell>
          <cell r="AB45">
            <v>50.1</v>
          </cell>
          <cell r="AD45">
            <v>260.5</v>
          </cell>
          <cell r="AF45">
            <v>23.7</v>
          </cell>
          <cell r="AG45">
            <v>38.5</v>
          </cell>
          <cell r="AM45">
            <v>0</v>
          </cell>
          <cell r="AN45">
            <v>0</v>
          </cell>
          <cell r="AO45">
            <v>0</v>
          </cell>
          <cell r="AU45" t="str">
            <v xml:space="preserve"> 3Q</v>
          </cell>
          <cell r="AV45">
            <v>66.900000000000006</v>
          </cell>
          <cell r="AX45">
            <v>143.6</v>
          </cell>
          <cell r="AY45">
            <v>82.1</v>
          </cell>
          <cell r="AZ45">
            <v>225.7</v>
          </cell>
          <cell r="BD45">
            <v>18</v>
          </cell>
          <cell r="BF45">
            <v>6.7</v>
          </cell>
          <cell r="BG45">
            <v>2.4</v>
          </cell>
          <cell r="BH45">
            <v>9.1</v>
          </cell>
          <cell r="BI45">
            <v>319.70000000000005</v>
          </cell>
          <cell r="BK45">
            <v>98.4</v>
          </cell>
          <cell r="BL45">
            <v>28.4</v>
          </cell>
          <cell r="BM45">
            <v>126.80000000000001</v>
          </cell>
          <cell r="BO45">
            <v>11.1</v>
          </cell>
          <cell r="BP45">
            <v>9</v>
          </cell>
          <cell r="BQ45">
            <v>20.100000000000001</v>
          </cell>
          <cell r="BS45">
            <v>8.5</v>
          </cell>
          <cell r="BT45">
            <v>28.6</v>
          </cell>
          <cell r="BV45">
            <v>0</v>
          </cell>
          <cell r="BX45">
            <v>69.8</v>
          </cell>
          <cell r="BY45">
            <v>1551.5</v>
          </cell>
          <cell r="BZ45">
            <v>129.1</v>
          </cell>
          <cell r="CA45">
            <v>1680.6</v>
          </cell>
        </row>
        <row r="46">
          <cell r="A46" t="str">
            <v xml:space="preserve"> 4Q</v>
          </cell>
          <cell r="B46">
            <v>442.1</v>
          </cell>
          <cell r="C46">
            <v>160.9</v>
          </cell>
          <cell r="D46">
            <v>603</v>
          </cell>
          <cell r="F46">
            <v>78.3</v>
          </cell>
          <cell r="G46">
            <v>8.6</v>
          </cell>
          <cell r="H46">
            <v>86.899999999999991</v>
          </cell>
          <cell r="J46">
            <v>29.3</v>
          </cell>
          <cell r="L46">
            <v>28.000000000000053</v>
          </cell>
          <cell r="R46">
            <v>747.2</v>
          </cell>
          <cell r="T46" t="str">
            <v xml:space="preserve"> 4Q</v>
          </cell>
          <cell r="U46">
            <v>27</v>
          </cell>
          <cell r="V46">
            <v>129.69999999999999</v>
          </cell>
          <cell r="W46">
            <v>156.69999999999999</v>
          </cell>
          <cell r="Y46">
            <v>7</v>
          </cell>
          <cell r="Z46">
            <v>44</v>
          </cell>
          <cell r="AA46">
            <v>58.9</v>
          </cell>
          <cell r="AB46">
            <v>53.2</v>
          </cell>
          <cell r="AD46">
            <v>319.79999999999995</v>
          </cell>
          <cell r="AF46">
            <v>23.6</v>
          </cell>
          <cell r="AG46">
            <v>50.8</v>
          </cell>
          <cell r="AM46">
            <v>0</v>
          </cell>
          <cell r="AN46">
            <v>0</v>
          </cell>
          <cell r="AO46">
            <v>0</v>
          </cell>
          <cell r="AU46" t="str">
            <v xml:space="preserve"> 4Q</v>
          </cell>
          <cell r="AV46">
            <v>74.599999999999994</v>
          </cell>
          <cell r="AX46">
            <v>150.19999999999999</v>
          </cell>
          <cell r="AY46">
            <v>88.4</v>
          </cell>
          <cell r="AZ46">
            <v>238.6</v>
          </cell>
          <cell r="BD46">
            <v>21.5</v>
          </cell>
          <cell r="BF46">
            <v>3.9</v>
          </cell>
          <cell r="BG46">
            <v>5.5</v>
          </cell>
          <cell r="BH46">
            <v>9.4</v>
          </cell>
          <cell r="BI46">
            <v>344.09999999999997</v>
          </cell>
          <cell r="BK46">
            <v>104.6</v>
          </cell>
          <cell r="BL46">
            <v>32.4</v>
          </cell>
          <cell r="BM46">
            <v>137</v>
          </cell>
          <cell r="BO46">
            <v>14.8</v>
          </cell>
          <cell r="BP46">
            <v>11.4</v>
          </cell>
          <cell r="BQ46">
            <v>26.200000000000003</v>
          </cell>
          <cell r="BS46">
            <v>8.8000000000000007</v>
          </cell>
          <cell r="BT46">
            <v>35</v>
          </cell>
          <cell r="BV46">
            <v>0</v>
          </cell>
          <cell r="BX46">
            <v>73</v>
          </cell>
          <cell r="BY46">
            <v>1730.4999999999998</v>
          </cell>
          <cell r="BZ46">
            <v>173.9</v>
          </cell>
          <cell r="CA46">
            <v>1904.3999999999999</v>
          </cell>
        </row>
        <row r="48">
          <cell r="A48" t="str">
            <v>1996</v>
          </cell>
          <cell r="B48">
            <v>1730.1999999999998</v>
          </cell>
          <cell r="C48">
            <v>625.70000000000005</v>
          </cell>
          <cell r="D48">
            <v>2355.8999999999996</v>
          </cell>
          <cell r="F48">
            <v>78.3</v>
          </cell>
          <cell r="G48">
            <v>8.6</v>
          </cell>
          <cell r="H48">
            <v>86.899999999999991</v>
          </cell>
          <cell r="J48">
            <v>102.4</v>
          </cell>
          <cell r="L48">
            <v>87.800000000000139</v>
          </cell>
          <cell r="R48">
            <v>2633</v>
          </cell>
          <cell r="T48" t="str">
            <v>1996</v>
          </cell>
          <cell r="U48">
            <v>71.3</v>
          </cell>
          <cell r="V48">
            <v>470.69999999999993</v>
          </cell>
          <cell r="W48">
            <v>541.99999999999989</v>
          </cell>
          <cell r="Y48">
            <v>28.1</v>
          </cell>
          <cell r="Z48">
            <v>169.39999999999998</v>
          </cell>
          <cell r="AA48">
            <v>249.5</v>
          </cell>
          <cell r="AB48">
            <v>223.3</v>
          </cell>
          <cell r="AD48">
            <v>1212.2999999999997</v>
          </cell>
          <cell r="AF48">
            <v>100.69999999999999</v>
          </cell>
          <cell r="AG48">
            <v>149.30000000000001</v>
          </cell>
          <cell r="AM48">
            <v>0</v>
          </cell>
          <cell r="AN48">
            <v>0</v>
          </cell>
          <cell r="AO48">
            <v>0</v>
          </cell>
          <cell r="AU48" t="str">
            <v>1996</v>
          </cell>
          <cell r="AV48">
            <v>268</v>
          </cell>
          <cell r="AX48">
            <v>563.59999999999991</v>
          </cell>
          <cell r="AY48">
            <v>320.39999999999998</v>
          </cell>
          <cell r="AZ48">
            <v>883.99999999999989</v>
          </cell>
          <cell r="BD48">
            <v>78</v>
          </cell>
          <cell r="BF48">
            <v>10.6</v>
          </cell>
          <cell r="BG48">
            <v>9.4</v>
          </cell>
          <cell r="BH48">
            <v>20</v>
          </cell>
          <cell r="BI48">
            <v>1250</v>
          </cell>
          <cell r="BK48">
            <v>409.20000000000005</v>
          </cell>
          <cell r="BL48">
            <v>122.1</v>
          </cell>
          <cell r="BM48">
            <v>531.29999999999995</v>
          </cell>
          <cell r="BO48">
            <v>31.6</v>
          </cell>
          <cell r="BP48">
            <v>30.299999999999997</v>
          </cell>
          <cell r="BQ48">
            <v>61.900000000000006</v>
          </cell>
          <cell r="BS48">
            <v>36.200000000000003</v>
          </cell>
          <cell r="BT48">
            <v>98.1</v>
          </cell>
          <cell r="BV48">
            <v>0</v>
          </cell>
          <cell r="BX48">
            <v>280</v>
          </cell>
          <cell r="BY48">
            <v>6254.7</v>
          </cell>
          <cell r="BZ48">
            <v>559.5</v>
          </cell>
          <cell r="CA48">
            <v>6814.2</v>
          </cell>
        </row>
        <row r="50">
          <cell r="A50" t="str">
            <v>1997/96</v>
          </cell>
          <cell r="T50" t="str">
            <v>1997/96</v>
          </cell>
          <cell r="AU50" t="str">
            <v>1997/96</v>
          </cell>
        </row>
        <row r="51">
          <cell r="A51" t="str">
            <v xml:space="preserve"> 1Q</v>
          </cell>
          <cell r="B51">
            <v>2.4935309338978983E-2</v>
          </cell>
          <cell r="C51">
            <v>-0.16916070266753408</v>
          </cell>
          <cell r="D51">
            <v>-2.6606772633033828E-2</v>
          </cell>
          <cell r="F51" t="str">
            <v>NM</v>
          </cell>
          <cell r="G51" t="str">
            <v>NM</v>
          </cell>
          <cell r="H51" t="str">
            <v>NM</v>
          </cell>
          <cell r="J51">
            <v>-0.28448275862068956</v>
          </cell>
          <cell r="L51">
            <v>0.22155688622753728</v>
          </cell>
          <cell r="R51">
            <v>0.14077905285275563</v>
          </cell>
          <cell r="T51" t="str">
            <v xml:space="preserve"> 1Q</v>
          </cell>
          <cell r="U51">
            <v>0.3726415094339624</v>
          </cell>
          <cell r="V51">
            <v>-0.18295371050698012</v>
          </cell>
          <cell r="W51">
            <v>-0.10807374443738063</v>
          </cell>
          <cell r="Y51">
            <v>-0.32323232323232326</v>
          </cell>
          <cell r="Z51">
            <v>2.1686746987951772E-2</v>
          </cell>
          <cell r="AA51">
            <v>-0.13333333333333336</v>
          </cell>
          <cell r="AB51">
            <v>-0.14673046251993624</v>
          </cell>
          <cell r="AD51">
            <v>-0.11044953855314057</v>
          </cell>
          <cell r="AF51">
            <v>-0.10687022900763361</v>
          </cell>
          <cell r="AG51">
            <v>1.2675438596491229</v>
          </cell>
          <cell r="AM51" t="str">
            <v>NM</v>
          </cell>
          <cell r="AN51" t="str">
            <v>NM</v>
          </cell>
          <cell r="AO51" t="str">
            <v>NM</v>
          </cell>
          <cell r="AU51" t="str">
            <v xml:space="preserve"> 1Q</v>
          </cell>
          <cell r="AV51">
            <v>-2.6890756302521031E-2</v>
          </cell>
          <cell r="AX51">
            <v>-3.0279503105590102E-2</v>
          </cell>
          <cell r="AY51">
            <v>8.0152671755725338E-2</v>
          </cell>
          <cell r="AZ51">
            <v>1.1571841851494723E-2</v>
          </cell>
          <cell r="BD51">
            <v>-7.8534031413612565E-2</v>
          </cell>
          <cell r="BF51" t="str">
            <v>NM</v>
          </cell>
          <cell r="BG51" t="str">
            <v>NM</v>
          </cell>
          <cell r="BH51" t="str">
            <v>NM</v>
          </cell>
          <cell r="BI51">
            <v>3.8461538461538464E-2</v>
          </cell>
          <cell r="BK51">
            <v>0.19377162629757791</v>
          </cell>
          <cell r="BL51">
            <v>-0.24633431085043994</v>
          </cell>
          <cell r="BM51">
            <v>9.3520374081496327E-2</v>
          </cell>
          <cell r="BO51" t="str">
            <v>NM</v>
          </cell>
          <cell r="BP51" t="str">
            <v>NM</v>
          </cell>
          <cell r="BQ51" t="str">
            <v>NM</v>
          </cell>
          <cell r="BS51">
            <v>-0.20000000000000004</v>
          </cell>
          <cell r="BT51">
            <v>2.0074074074074075</v>
          </cell>
          <cell r="BV51" t="str">
            <v>NM</v>
          </cell>
          <cell r="BX51">
            <v>3.6818851251840937E-2</v>
          </cell>
          <cell r="BY51">
            <v>8.5947261129742908E-2</v>
          </cell>
          <cell r="BZ51">
            <v>2.1433850702143216E-2</v>
          </cell>
          <cell r="CA51">
            <v>8.0676328502415545E-2</v>
          </cell>
        </row>
        <row r="52">
          <cell r="A52" t="str">
            <v xml:space="preserve"> 2Q</v>
          </cell>
          <cell r="B52">
            <v>0.24356542942292053</v>
          </cell>
          <cell r="C52">
            <v>-0.17253731343283585</v>
          </cell>
          <cell r="D52">
            <v>0.11367871785314945</v>
          </cell>
          <cell r="F52" t="str">
            <v>NM</v>
          </cell>
          <cell r="G52" t="str">
            <v>NM</v>
          </cell>
          <cell r="H52" t="str">
            <v>NM</v>
          </cell>
          <cell r="J52">
            <v>-0.12549019607843134</v>
          </cell>
          <cell r="L52">
            <v>0.21327014218009238</v>
          </cell>
          <cell r="R52">
            <v>0.37431412894375848</v>
          </cell>
          <cell r="T52" t="str">
            <v xml:space="preserve"> 2Q</v>
          </cell>
          <cell r="U52">
            <v>-0.29729729729729731</v>
          </cell>
          <cell r="V52">
            <v>-0.17819148936170209</v>
          </cell>
          <cell r="W52">
            <v>-0.18886198547215491</v>
          </cell>
          <cell r="Y52">
            <v>0</v>
          </cell>
          <cell r="Z52">
            <v>-5.502392344497601E-2</v>
          </cell>
          <cell r="AA52">
            <v>-0.14243759177679877</v>
          </cell>
          <cell r="AB52">
            <v>-0.18848167539267011</v>
          </cell>
          <cell r="AD52">
            <v>-0.15602836879432613</v>
          </cell>
          <cell r="AF52">
            <v>-0.11029411764705882</v>
          </cell>
          <cell r="AG52">
            <v>0.6075268817204299</v>
          </cell>
          <cell r="AM52" t="str">
            <v>NM</v>
          </cell>
          <cell r="AN52" t="str">
            <v>NM</v>
          </cell>
          <cell r="AO52" t="str">
            <v>NM</v>
          </cell>
          <cell r="AU52" t="str">
            <v xml:space="preserve"> 2Q</v>
          </cell>
          <cell r="AV52">
            <v>-2.9850746268656716E-2</v>
          </cell>
          <cell r="AX52">
            <v>-6.0283687943262408E-2</v>
          </cell>
          <cell r="AY52">
            <v>0.21458625525946701</v>
          </cell>
          <cell r="AZ52">
            <v>3.2030146019783247E-2</v>
          </cell>
          <cell r="BD52">
            <v>-0.12886597938144331</v>
          </cell>
          <cell r="BF52" t="str">
            <v>NM</v>
          </cell>
          <cell r="BG52" t="str">
            <v>NM</v>
          </cell>
          <cell r="BH52" t="str">
            <v>NM</v>
          </cell>
          <cell r="BI52">
            <v>5.2964690206529094E-2</v>
          </cell>
          <cell r="BK52">
            <v>-4.9668874172185434E-2</v>
          </cell>
          <cell r="BL52">
            <v>0.22426470588235287</v>
          </cell>
          <cell r="BM52">
            <v>1.3582342954159544E-2</v>
          </cell>
          <cell r="BO52" t="str">
            <v>NM</v>
          </cell>
          <cell r="BP52" t="str">
            <v>NM</v>
          </cell>
          <cell r="BQ52" t="str">
            <v>NM</v>
          </cell>
          <cell r="BS52">
            <v>-0.13829787234042559</v>
          </cell>
          <cell r="BT52">
            <v>1.3380952380952382</v>
          </cell>
          <cell r="BV52" t="str">
            <v>NM</v>
          </cell>
          <cell r="BX52">
            <v>9.090909090909087E-2</v>
          </cell>
          <cell r="BY52">
            <v>0.16776859504132224</v>
          </cell>
          <cell r="BZ52">
            <v>6.848184818481845E-2</v>
          </cell>
          <cell r="CA52">
            <v>0.16011950165268235</v>
          </cell>
        </row>
        <row r="53">
          <cell r="A53" t="str">
            <v xml:space="preserve"> 3Q</v>
          </cell>
          <cell r="B53">
            <v>0.16744280218667756</v>
          </cell>
          <cell r="C53">
            <v>-0.11350974930362115</v>
          </cell>
          <cell r="D53">
            <v>0.104156862745098</v>
          </cell>
          <cell r="F53" t="str">
            <v>NM</v>
          </cell>
          <cell r="G53" t="str">
            <v>NM</v>
          </cell>
          <cell r="H53" t="str">
            <v>NM</v>
          </cell>
          <cell r="J53">
            <v>-2.8688524590163907E-2</v>
          </cell>
          <cell r="L53">
            <v>0.18181818181818296</v>
          </cell>
          <cell r="R53">
            <v>0.39669542330750118</v>
          </cell>
          <cell r="T53" t="str">
            <v xml:space="preserve"> 3Q</v>
          </cell>
          <cell r="U53">
            <v>-0.48333333333333334</v>
          </cell>
          <cell r="V53">
            <v>-0.12920738327904444</v>
          </cell>
          <cell r="W53">
            <v>-0.17002881844380394</v>
          </cell>
          <cell r="Y53">
            <v>-0.24193548387096772</v>
          </cell>
          <cell r="Z53">
            <v>-4.9881235154394334E-2</v>
          </cell>
          <cell r="AA53">
            <v>-6.8965517241379309E-2</v>
          </cell>
          <cell r="AB53">
            <v>-0.15169660678642716</v>
          </cell>
          <cell r="AD53">
            <v>-0.12629558541266797</v>
          </cell>
          <cell r="AF53">
            <v>-0.12658227848101267</v>
          </cell>
          <cell r="AG53">
            <v>0.64415584415584404</v>
          </cell>
          <cell r="AM53" t="str">
            <v>NM</v>
          </cell>
          <cell r="AN53" t="str">
            <v>NM</v>
          </cell>
          <cell r="AO53" t="str">
            <v>NM</v>
          </cell>
          <cell r="AU53" t="str">
            <v xml:space="preserve"> 3Q</v>
          </cell>
          <cell r="AV53">
            <v>-5.979073243647319E-3</v>
          </cell>
          <cell r="AX53">
            <v>1.3927576601671311E-2</v>
          </cell>
          <cell r="AY53">
            <v>-1.7052375152253246E-2</v>
          </cell>
          <cell r="AZ53">
            <v>2.6583961010191526E-3</v>
          </cell>
          <cell r="BD53">
            <v>-2.2222222222222143E-2</v>
          </cell>
          <cell r="BF53" t="str">
            <v>NM</v>
          </cell>
          <cell r="BG53" t="str">
            <v>NM</v>
          </cell>
          <cell r="BH53" t="str">
            <v>NM</v>
          </cell>
          <cell r="BI53">
            <v>2.5649045980606779E-2</v>
          </cell>
          <cell r="BK53">
            <v>0</v>
          </cell>
          <cell r="BL53">
            <v>0.1901408450704225</v>
          </cell>
          <cell r="BM53">
            <v>4.2586750788643352E-2</v>
          </cell>
          <cell r="BO53" t="str">
            <v>NM</v>
          </cell>
          <cell r="BP53" t="str">
            <v>NM</v>
          </cell>
          <cell r="BQ53" t="str">
            <v>NM</v>
          </cell>
          <cell r="BS53">
            <v>-0.29411764705882354</v>
          </cell>
          <cell r="BT53">
            <v>0.86363636363636342</v>
          </cell>
          <cell r="BV53" t="str">
            <v>NM</v>
          </cell>
          <cell r="BX53">
            <v>5.0143266475644703E-2</v>
          </cell>
          <cell r="BY53">
            <v>0.19465033838221077</v>
          </cell>
          <cell r="BZ53">
            <v>0.10689388071262597</v>
          </cell>
          <cell r="CA53">
            <v>0.18790908009044402</v>
          </cell>
        </row>
        <row r="54">
          <cell r="A54" t="str">
            <v xml:space="preserve"> 4Q</v>
          </cell>
          <cell r="B54">
            <v>0.23705044107667936</v>
          </cell>
          <cell r="C54">
            <v>-0.10192666252330643</v>
          </cell>
          <cell r="D54">
            <v>0.14660033167495851</v>
          </cell>
          <cell r="F54" t="str">
            <v>NM</v>
          </cell>
          <cell r="G54" t="str">
            <v>NM</v>
          </cell>
          <cell r="H54" t="str">
            <v>NM</v>
          </cell>
          <cell r="J54">
            <v>8.1911262798634768E-2</v>
          </cell>
          <cell r="L54">
            <v>0.19285714285714053</v>
          </cell>
          <cell r="R54">
            <v>0.36978051391862948</v>
          </cell>
          <cell r="T54" t="str">
            <v xml:space="preserve"> 4Q</v>
          </cell>
          <cell r="U54">
            <v>-0.50740740740740742</v>
          </cell>
          <cell r="V54">
            <v>-0.21511179645335385</v>
          </cell>
          <cell r="W54">
            <v>-0.26547543075941288</v>
          </cell>
          <cell r="Y54">
            <v>-0.23571428571428577</v>
          </cell>
          <cell r="Z54">
            <v>-9.0909090909090912E-2</v>
          </cell>
          <cell r="AA54">
            <v>-0.14940577249575548</v>
          </cell>
          <cell r="AB54">
            <v>-0.14285714285714288</v>
          </cell>
          <cell r="AD54">
            <v>-0.19903064415259533</v>
          </cell>
          <cell r="AF54">
            <v>-6.7796610169491581E-2</v>
          </cell>
          <cell r="AG54">
            <v>0.56692913385826771</v>
          </cell>
          <cell r="AM54" t="str">
            <v>NM</v>
          </cell>
          <cell r="AN54" t="str">
            <v>NM</v>
          </cell>
          <cell r="AO54" t="str">
            <v>NM</v>
          </cell>
          <cell r="AU54" t="str">
            <v xml:space="preserve"> 4Q</v>
          </cell>
          <cell r="AV54">
            <v>-5.7640750670241256E-2</v>
          </cell>
          <cell r="AX54">
            <v>0.22037283621837567</v>
          </cell>
          <cell r="AY54">
            <v>9.841628959276004E-2</v>
          </cell>
          <cell r="AZ54">
            <v>0.17518860016764454</v>
          </cell>
          <cell r="BD54">
            <v>-0.1953488372093023</v>
          </cell>
          <cell r="BF54">
            <v>2.2051282051282053</v>
          </cell>
          <cell r="BG54">
            <v>1</v>
          </cell>
          <cell r="BH54">
            <v>1.5</v>
          </cell>
          <cell r="BI54">
            <v>0.13775065387968624</v>
          </cell>
          <cell r="BK54">
            <v>-0.2523900573613766</v>
          </cell>
          <cell r="BL54">
            <v>1.8518518518518563E-2</v>
          </cell>
          <cell r="BM54">
            <v>-0.18832116788321165</v>
          </cell>
          <cell r="BO54">
            <v>0.87162162162162149</v>
          </cell>
          <cell r="BP54">
            <v>1.263157894736842</v>
          </cell>
          <cell r="BQ54">
            <v>1.0419847328244272</v>
          </cell>
          <cell r="BS54">
            <v>-7.9545454545454655E-2</v>
          </cell>
          <cell r="BT54">
            <v>0.76</v>
          </cell>
          <cell r="BV54" t="str">
            <v>NM</v>
          </cell>
          <cell r="BX54">
            <v>2.4657534246575304E-2</v>
          </cell>
          <cell r="BY54">
            <v>0.16749494365790243</v>
          </cell>
          <cell r="BZ54">
            <v>8.1656124209315631E-2</v>
          </cell>
          <cell r="CA54">
            <v>0.1596565847511027</v>
          </cell>
        </row>
        <row r="56">
          <cell r="A56" t="str">
            <v>Year</v>
          </cell>
          <cell r="B56">
            <v>0.16645474511617181</v>
          </cell>
          <cell r="C56">
            <v>-0.14000319642000961</v>
          </cell>
          <cell r="D56">
            <v>8.506303323570634E-2</v>
          </cell>
          <cell r="F56" t="str">
            <v>NM</v>
          </cell>
          <cell r="G56" t="str">
            <v>NM</v>
          </cell>
          <cell r="H56" t="str">
            <v>NM</v>
          </cell>
          <cell r="J56">
            <v>-7.9101562499999944E-2</v>
          </cell>
          <cell r="L56">
            <v>0.20045558086560117</v>
          </cell>
          <cell r="R56">
            <v>0.32396505886821114</v>
          </cell>
          <cell r="T56" t="str">
            <v>Year</v>
          </cell>
          <cell r="U56">
            <v>-0.20897615708274883</v>
          </cell>
          <cell r="V56">
            <v>-0.18015721266199258</v>
          </cell>
          <cell r="W56">
            <v>-0.18394833948339454</v>
          </cell>
          <cell r="Y56">
            <v>-0.22597864768683279</v>
          </cell>
          <cell r="Z56">
            <v>-4.4273907910271387E-2</v>
          </cell>
          <cell r="AA56">
            <v>-0.12464929859719437</v>
          </cell>
          <cell r="AB56">
            <v>-0.15763546798029562</v>
          </cell>
          <cell r="AD56">
            <v>-0.1483543677307595</v>
          </cell>
          <cell r="AF56">
            <v>-0.10327706057596815</v>
          </cell>
          <cell r="AG56">
            <v>0.70395177494976546</v>
          </cell>
          <cell r="AM56" t="str">
            <v>NM</v>
          </cell>
          <cell r="AN56" t="str">
            <v>NM</v>
          </cell>
          <cell r="AO56" t="str">
            <v>NM</v>
          </cell>
          <cell r="AU56" t="str">
            <v>Year</v>
          </cell>
          <cell r="AV56">
            <v>-3.0970149253731385E-2</v>
          </cell>
          <cell r="AX56">
            <v>4.0276792051100158E-2</v>
          </cell>
          <cell r="AY56">
            <v>9.0199750312109792E-2</v>
          </cell>
          <cell r="AZ56">
            <v>5.8371040723982061E-2</v>
          </cell>
          <cell r="BD56">
            <v>-0.11025641025641018</v>
          </cell>
          <cell r="BF56">
            <v>2.5660377358490565</v>
          </cell>
          <cell r="BG56">
            <v>2.1914893617021276</v>
          </cell>
          <cell r="BH56">
            <v>2.3899999999999997</v>
          </cell>
          <cell r="BI56">
            <v>6.6000000000000003E-2</v>
          </cell>
          <cell r="BK56">
            <v>-2.0772238514174136E-2</v>
          </cell>
          <cell r="BL56">
            <v>3.0303030303030328E-2</v>
          </cell>
          <cell r="BM56">
            <v>-9.0344438170524271E-3</v>
          </cell>
          <cell r="BO56">
            <v>2.0063291139240507</v>
          </cell>
          <cell r="BP56">
            <v>1.6336633663366338</v>
          </cell>
          <cell r="BQ56">
            <v>1.8239095315024232</v>
          </cell>
          <cell r="BS56">
            <v>-0.17679558011049737</v>
          </cell>
          <cell r="BT56">
            <v>1.0856269113149848</v>
          </cell>
          <cell r="BV56" t="str">
            <v>NM</v>
          </cell>
          <cell r="BX56">
            <v>5.0357142857142941E-2</v>
          </cell>
          <cell r="BY56">
            <v>0.15446784018418158</v>
          </cell>
          <cell r="BZ56">
            <v>7.006255585344065E-2</v>
          </cell>
          <cell r="CA56">
            <v>0.14753749523054815</v>
          </cell>
        </row>
        <row r="58">
          <cell r="A58" t="str">
            <v>1997</v>
          </cell>
          <cell r="T58" t="str">
            <v>1997</v>
          </cell>
          <cell r="AU58" t="str">
            <v>1997</v>
          </cell>
        </row>
        <row r="59">
          <cell r="A59" t="str">
            <v xml:space="preserve"> 1Q</v>
          </cell>
          <cell r="B59">
            <v>435.7</v>
          </cell>
          <cell r="C59">
            <v>127.7</v>
          </cell>
          <cell r="D59">
            <v>563.4</v>
          </cell>
          <cell r="F59">
            <v>91.3</v>
          </cell>
          <cell r="G59">
            <v>14.1</v>
          </cell>
          <cell r="H59">
            <v>105.39999999999999</v>
          </cell>
          <cell r="J59">
            <v>16.600000000000001</v>
          </cell>
          <cell r="L59">
            <v>20.399999999999984</v>
          </cell>
          <cell r="R59">
            <v>705.8</v>
          </cell>
          <cell r="T59" t="str">
            <v xml:space="preserve"> 1Q</v>
          </cell>
          <cell r="U59">
            <v>29.1</v>
          </cell>
          <cell r="V59">
            <v>111.2</v>
          </cell>
          <cell r="W59">
            <v>140.30000000000001</v>
          </cell>
          <cell r="Y59">
            <v>6.7</v>
          </cell>
          <cell r="Z59">
            <v>42.4</v>
          </cell>
          <cell r="AA59">
            <v>55.9</v>
          </cell>
          <cell r="AB59">
            <v>53.5</v>
          </cell>
          <cell r="AD59">
            <v>298.8</v>
          </cell>
          <cell r="AF59">
            <v>23.4</v>
          </cell>
          <cell r="AG59">
            <v>51.7</v>
          </cell>
          <cell r="AM59">
            <v>0</v>
          </cell>
          <cell r="AN59">
            <v>0</v>
          </cell>
          <cell r="AO59">
            <v>0</v>
          </cell>
          <cell r="AU59" t="str">
            <v xml:space="preserve"> 1Q</v>
          </cell>
          <cell r="AV59">
            <v>57.9</v>
          </cell>
          <cell r="AX59">
            <v>124.9</v>
          </cell>
          <cell r="AY59">
            <v>84.9</v>
          </cell>
          <cell r="AZ59">
            <v>209.8</v>
          </cell>
          <cell r="BD59">
            <v>17.600000000000001</v>
          </cell>
          <cell r="BF59">
            <v>6.7</v>
          </cell>
          <cell r="BG59">
            <v>5</v>
          </cell>
          <cell r="BH59">
            <v>11.7</v>
          </cell>
          <cell r="BI59">
            <v>297</v>
          </cell>
          <cell r="BK59">
            <v>138</v>
          </cell>
          <cell r="BL59">
            <v>25.7</v>
          </cell>
          <cell r="BM59">
            <v>163.69999999999999</v>
          </cell>
          <cell r="BO59">
            <v>19</v>
          </cell>
          <cell r="BP59">
            <v>14</v>
          </cell>
          <cell r="BQ59">
            <v>33</v>
          </cell>
          <cell r="BS59">
            <v>7.6</v>
          </cell>
          <cell r="BT59">
            <v>40.6</v>
          </cell>
          <cell r="BV59">
            <v>0</v>
          </cell>
          <cell r="BX59">
            <v>70.400000000000006</v>
          </cell>
          <cell r="BY59">
            <v>1651.4</v>
          </cell>
          <cell r="BZ59">
            <v>138.19999999999999</v>
          </cell>
          <cell r="CA59">
            <v>1789.6000000000001</v>
          </cell>
        </row>
        <row r="60">
          <cell r="A60" t="str">
            <v xml:space="preserve"> 2Q</v>
          </cell>
          <cell r="B60">
            <v>459</v>
          </cell>
          <cell r="C60">
            <v>138.6</v>
          </cell>
          <cell r="D60">
            <v>597.6</v>
          </cell>
          <cell r="F60">
            <v>125.8</v>
          </cell>
          <cell r="G60">
            <v>30.2</v>
          </cell>
          <cell r="H60">
            <v>156</v>
          </cell>
          <cell r="J60">
            <v>22.3</v>
          </cell>
          <cell r="L60">
            <v>25.599999999999977</v>
          </cell>
          <cell r="R60">
            <v>801.5</v>
          </cell>
          <cell r="T60" t="str">
            <v xml:space="preserve"> 2Q</v>
          </cell>
          <cell r="U60">
            <v>7.8</v>
          </cell>
          <cell r="V60">
            <v>92.7</v>
          </cell>
          <cell r="W60">
            <v>100.5</v>
          </cell>
          <cell r="Y60">
            <v>5</v>
          </cell>
          <cell r="Z60">
            <v>39.5</v>
          </cell>
          <cell r="AA60">
            <v>58.4</v>
          </cell>
          <cell r="AB60">
            <v>46.5</v>
          </cell>
          <cell r="AD60">
            <v>249.9</v>
          </cell>
          <cell r="AF60">
            <v>24.2</v>
          </cell>
          <cell r="AG60">
            <v>59.8</v>
          </cell>
          <cell r="AM60">
            <v>0</v>
          </cell>
          <cell r="AN60">
            <v>0</v>
          </cell>
          <cell r="AO60">
            <v>0</v>
          </cell>
          <cell r="AU60" t="str">
            <v xml:space="preserve"> 2Q</v>
          </cell>
          <cell r="AV60">
            <v>65</v>
          </cell>
          <cell r="AX60">
            <v>132.5</v>
          </cell>
          <cell r="AY60">
            <v>86.6</v>
          </cell>
          <cell r="AZ60">
            <v>219.1</v>
          </cell>
          <cell r="BD60">
            <v>16.899999999999999</v>
          </cell>
          <cell r="BF60">
            <v>8.5</v>
          </cell>
          <cell r="BG60">
            <v>6.6</v>
          </cell>
          <cell r="BH60">
            <v>15.1</v>
          </cell>
          <cell r="BI60">
            <v>316.10000000000002</v>
          </cell>
          <cell r="BK60">
            <v>86.1</v>
          </cell>
          <cell r="BL60">
            <v>33.299999999999997</v>
          </cell>
          <cell r="BM60">
            <v>119.39999999999999</v>
          </cell>
          <cell r="BO60">
            <v>22.1</v>
          </cell>
          <cell r="BP60">
            <v>18.899999999999999</v>
          </cell>
          <cell r="BQ60">
            <v>41</v>
          </cell>
          <cell r="BS60">
            <v>8.1</v>
          </cell>
          <cell r="BT60">
            <v>49.1</v>
          </cell>
          <cell r="BV60">
            <v>0</v>
          </cell>
          <cell r="BX60">
            <v>75.599999999999994</v>
          </cell>
          <cell r="BY60">
            <v>1695.6</v>
          </cell>
          <cell r="BZ60">
            <v>129.5</v>
          </cell>
          <cell r="CA60">
            <v>1825.1</v>
          </cell>
        </row>
        <row r="61">
          <cell r="A61" t="str">
            <v xml:space="preserve"> 3Q</v>
          </cell>
          <cell r="B61">
            <v>576.6</v>
          </cell>
          <cell r="C61">
            <v>127.3</v>
          </cell>
          <cell r="D61">
            <v>703.9</v>
          </cell>
          <cell r="F61">
            <v>162.69999999999999</v>
          </cell>
          <cell r="G61">
            <v>39.1</v>
          </cell>
          <cell r="H61">
            <v>201.79999999999998</v>
          </cell>
          <cell r="J61">
            <v>23.7</v>
          </cell>
          <cell r="L61">
            <v>26</v>
          </cell>
          <cell r="R61">
            <v>955.2</v>
          </cell>
          <cell r="T61" t="str">
            <v xml:space="preserve"> 3Q</v>
          </cell>
          <cell r="U61">
            <v>6.2</v>
          </cell>
          <cell r="V61">
            <v>80.2</v>
          </cell>
          <cell r="W61">
            <v>86.4</v>
          </cell>
          <cell r="Y61">
            <v>4.7</v>
          </cell>
          <cell r="Z61">
            <v>40</v>
          </cell>
          <cell r="AA61">
            <v>54</v>
          </cell>
          <cell r="AB61">
            <v>42.5</v>
          </cell>
          <cell r="AD61">
            <v>227.6</v>
          </cell>
          <cell r="AF61">
            <v>20.7</v>
          </cell>
          <cell r="AG61">
            <v>63.3</v>
          </cell>
          <cell r="AM61">
            <v>0</v>
          </cell>
          <cell r="AN61">
            <v>0</v>
          </cell>
          <cell r="AO61">
            <v>0</v>
          </cell>
          <cell r="AU61" t="str">
            <v xml:space="preserve"> 3Q</v>
          </cell>
          <cell r="AV61">
            <v>66.5</v>
          </cell>
          <cell r="AX61">
            <v>145.6</v>
          </cell>
          <cell r="AY61">
            <v>80.7</v>
          </cell>
          <cell r="AZ61">
            <v>226.3</v>
          </cell>
          <cell r="BD61">
            <v>17.600000000000001</v>
          </cell>
          <cell r="BF61">
            <v>10.1</v>
          </cell>
          <cell r="BG61">
            <v>7.4</v>
          </cell>
          <cell r="BH61">
            <v>17.5</v>
          </cell>
          <cell r="BI61">
            <v>327.90000000000003</v>
          </cell>
          <cell r="BK61">
            <v>98.4</v>
          </cell>
          <cell r="BL61">
            <v>33.799999999999997</v>
          </cell>
          <cell r="BM61">
            <v>132.19999999999999</v>
          </cell>
          <cell r="BO61">
            <v>26.2</v>
          </cell>
          <cell r="BP61">
            <v>21.1</v>
          </cell>
          <cell r="BQ61">
            <v>47.3</v>
          </cell>
          <cell r="BS61">
            <v>6</v>
          </cell>
          <cell r="BT61">
            <v>53.3</v>
          </cell>
          <cell r="BV61">
            <v>0</v>
          </cell>
          <cell r="BX61">
            <v>73.3</v>
          </cell>
          <cell r="BY61">
            <v>1853.5</v>
          </cell>
          <cell r="BZ61">
            <v>142.9</v>
          </cell>
          <cell r="CA61">
            <v>1996.4</v>
          </cell>
        </row>
        <row r="62">
          <cell r="A62" t="str">
            <v xml:space="preserve"> 4Q</v>
          </cell>
          <cell r="B62">
            <v>546.9</v>
          </cell>
          <cell r="C62">
            <v>144.5</v>
          </cell>
          <cell r="D62">
            <v>691.4</v>
          </cell>
          <cell r="F62">
            <v>210.2</v>
          </cell>
          <cell r="G62">
            <v>56.8</v>
          </cell>
          <cell r="H62">
            <v>267</v>
          </cell>
          <cell r="J62">
            <v>31.7</v>
          </cell>
          <cell r="L62">
            <v>33.4</v>
          </cell>
          <cell r="R62">
            <v>1023.5</v>
          </cell>
          <cell r="T62" t="str">
            <v xml:space="preserve"> 4Q</v>
          </cell>
          <cell r="U62">
            <v>13.3</v>
          </cell>
          <cell r="V62">
            <v>101.8</v>
          </cell>
          <cell r="W62">
            <v>115.1</v>
          </cell>
          <cell r="Y62">
            <v>5.35</v>
          </cell>
          <cell r="Z62">
            <v>40</v>
          </cell>
          <cell r="AA62">
            <v>50.1</v>
          </cell>
          <cell r="AB62">
            <v>45.6</v>
          </cell>
          <cell r="AD62">
            <v>256.14999999999998</v>
          </cell>
          <cell r="AF62">
            <v>22</v>
          </cell>
          <cell r="AG62">
            <v>79.599999999999994</v>
          </cell>
          <cell r="AM62">
            <v>0</v>
          </cell>
          <cell r="AN62">
            <v>0</v>
          </cell>
          <cell r="AO62">
            <v>0</v>
          </cell>
          <cell r="AU62" t="str">
            <v xml:space="preserve"> 4Q</v>
          </cell>
          <cell r="AV62">
            <v>70.3</v>
          </cell>
          <cell r="AX62">
            <v>183.3</v>
          </cell>
          <cell r="AY62">
            <v>97.1</v>
          </cell>
          <cell r="AZ62">
            <v>280.39999999999998</v>
          </cell>
          <cell r="BD62">
            <v>17.3</v>
          </cell>
          <cell r="BF62">
            <v>12.5</v>
          </cell>
          <cell r="BG62">
            <v>11</v>
          </cell>
          <cell r="BH62">
            <v>23.5</v>
          </cell>
          <cell r="BI62">
            <v>391.5</v>
          </cell>
          <cell r="BK62">
            <v>78.2</v>
          </cell>
          <cell r="BL62">
            <v>33</v>
          </cell>
          <cell r="BM62">
            <v>111.2</v>
          </cell>
          <cell r="BO62">
            <v>27.7</v>
          </cell>
          <cell r="BP62">
            <v>25.8</v>
          </cell>
          <cell r="BQ62">
            <v>53.5</v>
          </cell>
          <cell r="BS62">
            <v>8.1</v>
          </cell>
          <cell r="BT62">
            <v>61.6</v>
          </cell>
          <cell r="BV62">
            <v>0</v>
          </cell>
          <cell r="BX62">
            <v>74.8</v>
          </cell>
          <cell r="BY62">
            <v>2020.35</v>
          </cell>
          <cell r="BZ62">
            <v>188.1</v>
          </cell>
          <cell r="CA62">
            <v>2208.4499999999998</v>
          </cell>
        </row>
        <row r="64">
          <cell r="A64" t="str">
            <v>Year</v>
          </cell>
          <cell r="B64">
            <v>2018.2000000000003</v>
          </cell>
          <cell r="C64">
            <v>538.1</v>
          </cell>
          <cell r="D64">
            <v>2556.3000000000002</v>
          </cell>
          <cell r="F64">
            <v>590</v>
          </cell>
          <cell r="G64">
            <v>140.19999999999999</v>
          </cell>
          <cell r="H64">
            <v>730.19999999999993</v>
          </cell>
          <cell r="J64">
            <v>94.300000000000011</v>
          </cell>
          <cell r="L64">
            <v>105.39999999999995</v>
          </cell>
          <cell r="R64">
            <v>3486</v>
          </cell>
          <cell r="T64" t="str">
            <v>Year</v>
          </cell>
          <cell r="U64">
            <v>56.400000000000006</v>
          </cell>
          <cell r="V64">
            <v>385.90000000000003</v>
          </cell>
          <cell r="W64">
            <v>442.30000000000007</v>
          </cell>
          <cell r="Y64">
            <v>21.75</v>
          </cell>
          <cell r="Z64">
            <v>161.9</v>
          </cell>
          <cell r="AA64">
            <v>218.4</v>
          </cell>
          <cell r="AB64">
            <v>188.1</v>
          </cell>
          <cell r="AD64">
            <v>1032.45</v>
          </cell>
          <cell r="AF64">
            <v>90.3</v>
          </cell>
          <cell r="AG64">
            <v>254.4</v>
          </cell>
          <cell r="AM64">
            <v>0</v>
          </cell>
          <cell r="AN64">
            <v>0</v>
          </cell>
          <cell r="AO64">
            <v>0</v>
          </cell>
          <cell r="AU64" t="str">
            <v>Year</v>
          </cell>
          <cell r="AV64">
            <v>259.7</v>
          </cell>
          <cell r="AX64">
            <v>586.29999999999995</v>
          </cell>
          <cell r="AY64">
            <v>349.29999999999995</v>
          </cell>
          <cell r="AZ64">
            <v>935.6</v>
          </cell>
          <cell r="BD64">
            <v>69.400000000000006</v>
          </cell>
          <cell r="BF64">
            <v>37.799999999999997</v>
          </cell>
          <cell r="BG64">
            <v>30</v>
          </cell>
          <cell r="BH64">
            <v>67.8</v>
          </cell>
          <cell r="BI64">
            <v>1332.5</v>
          </cell>
          <cell r="BK64">
            <v>400.7</v>
          </cell>
          <cell r="BL64">
            <v>125.8</v>
          </cell>
          <cell r="BM64">
            <v>526.5</v>
          </cell>
          <cell r="BO64">
            <v>95</v>
          </cell>
          <cell r="BP64">
            <v>79.8</v>
          </cell>
          <cell r="BQ64">
            <v>174.8</v>
          </cell>
          <cell r="BS64">
            <v>29.799999999999997</v>
          </cell>
          <cell r="BT64">
            <v>204.6</v>
          </cell>
          <cell r="BV64">
            <v>0</v>
          </cell>
          <cell r="BX64">
            <v>294.10000000000002</v>
          </cell>
          <cell r="BY64">
            <v>7220.85</v>
          </cell>
          <cell r="BZ64">
            <v>598.70000000000005</v>
          </cell>
          <cell r="CA64">
            <v>7819.5500000000011</v>
          </cell>
        </row>
        <row r="66">
          <cell r="A66" t="str">
            <v>1998/97</v>
          </cell>
          <cell r="T66" t="str">
            <v>1998/97</v>
          </cell>
          <cell r="AU66" t="str">
            <v>1998/97</v>
          </cell>
        </row>
        <row r="67">
          <cell r="A67" t="str">
            <v xml:space="preserve"> 1Q</v>
          </cell>
          <cell r="B67">
            <v>0.10626577920587563</v>
          </cell>
          <cell r="C67">
            <v>3.9154267815191747E-2</v>
          </cell>
          <cell r="D67">
            <v>9.1054313099041662E-2</v>
          </cell>
          <cell r="F67">
            <v>1.5235487404162107</v>
          </cell>
          <cell r="G67">
            <v>3.0283687943262407</v>
          </cell>
          <cell r="H67">
            <v>1.7248576850094879</v>
          </cell>
          <cell r="J67">
            <v>-3.012048192771084E-2</v>
          </cell>
          <cell r="L67">
            <v>0.22549019607843232</v>
          </cell>
          <cell r="R67">
            <v>0.33550580901105143</v>
          </cell>
          <cell r="T67" t="str">
            <v xml:space="preserve"> 1Q</v>
          </cell>
          <cell r="U67">
            <v>-0.57388316151202756</v>
          </cell>
          <cell r="V67">
            <v>-6.1151079136690621E-2</v>
          </cell>
          <cell r="W67">
            <v>-0.16749821810406271</v>
          </cell>
          <cell r="Y67">
            <v>-0.17910447761194032</v>
          </cell>
          <cell r="Z67">
            <v>-0.11320754716981125</v>
          </cell>
          <cell r="AA67">
            <v>-1.7889087656529516E-2</v>
          </cell>
          <cell r="AB67">
            <v>-0.18317757009345789</v>
          </cell>
          <cell r="AD67">
            <v>-0.13487282463186082</v>
          </cell>
          <cell r="AF67">
            <v>-3.8461538461538401E-2</v>
          </cell>
          <cell r="AG67">
            <v>0.3539651837524177</v>
          </cell>
          <cell r="AM67" t="str">
            <v>NM</v>
          </cell>
          <cell r="AN67" t="str">
            <v>NM</v>
          </cell>
          <cell r="AO67" t="str">
            <v>NM</v>
          </cell>
          <cell r="AU67" t="str">
            <v xml:space="preserve"> 1Q</v>
          </cell>
          <cell r="AV67">
            <v>5.1813471502590677E-2</v>
          </cell>
          <cell r="AX67">
            <v>-0.16092874299439558</v>
          </cell>
          <cell r="AY67">
            <v>5.8892815076560655E-2</v>
          </cell>
          <cell r="AZ67">
            <v>-7.1973307912297529E-2</v>
          </cell>
          <cell r="BD67">
            <v>-3.4090909090909172E-2</v>
          </cell>
          <cell r="BF67">
            <v>0.8955223880597013</v>
          </cell>
          <cell r="BG67">
            <v>1.4</v>
          </cell>
          <cell r="BH67">
            <v>1.1111111111111112</v>
          </cell>
          <cell r="BI67">
            <v>1.0101010101010485E-3</v>
          </cell>
          <cell r="BK67">
            <v>-0.15000000000000002</v>
          </cell>
          <cell r="BL67">
            <v>6.6147859922178961E-2</v>
          </cell>
          <cell r="BM67">
            <v>-0.11606597434331094</v>
          </cell>
          <cell r="BO67">
            <v>0.61578947368421044</v>
          </cell>
          <cell r="BP67">
            <v>0.87857142857142867</v>
          </cell>
          <cell r="BQ67">
            <v>0.72727272727272729</v>
          </cell>
          <cell r="BS67">
            <v>-6.5789473684210523E-2</v>
          </cell>
          <cell r="BT67">
            <v>0.57881773399014758</v>
          </cell>
          <cell r="BV67" t="str">
            <v>NM</v>
          </cell>
          <cell r="BX67">
            <v>0</v>
          </cell>
          <cell r="BY67">
            <v>0.15265835049049284</v>
          </cell>
          <cell r="BZ67">
            <v>5.7887120115774453E-2</v>
          </cell>
          <cell r="CA67">
            <v>0.14533974072418399</v>
          </cell>
        </row>
        <row r="68">
          <cell r="A68" t="str">
            <v xml:space="preserve"> 2Q</v>
          </cell>
          <cell r="B68">
            <v>0.14880174291938988</v>
          </cell>
          <cell r="C68">
            <v>-1.94805194805194E-2</v>
          </cell>
          <cell r="D68">
            <v>0.10977242302543491</v>
          </cell>
          <cell r="F68">
            <v>1.032591414944356</v>
          </cell>
          <cell r="G68">
            <v>1.380794701986755</v>
          </cell>
          <cell r="H68">
            <v>1.1000000000000001</v>
          </cell>
          <cell r="J68">
            <v>-0.15246636771300456</v>
          </cell>
          <cell r="L68">
            <v>9.3750000000000999E-2</v>
          </cell>
          <cell r="R68">
            <v>0.29407361197754217</v>
          </cell>
          <cell r="T68" t="str">
            <v xml:space="preserve"> 2Q</v>
          </cell>
          <cell r="U68">
            <v>-0.35897435897435898</v>
          </cell>
          <cell r="V68">
            <v>-9.1693635382955774E-2</v>
          </cell>
          <cell r="W68">
            <v>-0.11243781094527361</v>
          </cell>
          <cell r="Y68">
            <v>-0.27999999999999997</v>
          </cell>
          <cell r="Z68">
            <v>-2.5316455696202892E-3</v>
          </cell>
          <cell r="AA68">
            <v>-0.14212328767123283</v>
          </cell>
          <cell r="AB68">
            <v>-9.4623655913978463E-2</v>
          </cell>
          <cell r="AD68">
            <v>-0.10204081632653073</v>
          </cell>
          <cell r="AF68">
            <v>-0.33884297520661155</v>
          </cell>
          <cell r="AG68">
            <v>0.68896321070234123</v>
          </cell>
          <cell r="AM68" t="str">
            <v>NM</v>
          </cell>
          <cell r="AN68" t="str">
            <v>NM</v>
          </cell>
          <cell r="AO68" t="str">
            <v>NM</v>
          </cell>
          <cell r="AU68" t="str">
            <v xml:space="preserve"> 2Q</v>
          </cell>
          <cell r="AV68">
            <v>9.2307692307691432E-3</v>
          </cell>
          <cell r="AX68">
            <v>0.11622641509433966</v>
          </cell>
          <cell r="AY68">
            <v>0.10969976905311779</v>
          </cell>
          <cell r="AZ68">
            <v>0.11364673664993157</v>
          </cell>
          <cell r="BD68">
            <v>-1.1834319526627177E-2</v>
          </cell>
          <cell r="BF68">
            <v>0.88235294117647056</v>
          </cell>
          <cell r="BG68">
            <v>1.0606060606060606</v>
          </cell>
          <cell r="BH68">
            <v>0.96026490066225179</v>
          </cell>
          <cell r="BI68">
            <v>0.12590952230306868</v>
          </cell>
          <cell r="BK68">
            <v>-0.49128919860627179</v>
          </cell>
          <cell r="BL68">
            <v>-3.3033033033032864E-2</v>
          </cell>
          <cell r="BM68">
            <v>-0.3634840871021775</v>
          </cell>
          <cell r="BO68">
            <v>1.3891402714932124</v>
          </cell>
          <cell r="BP68">
            <v>0.72486772486772511</v>
          </cell>
          <cell r="BQ68">
            <v>1.0829268292682928</v>
          </cell>
          <cell r="BS68">
            <v>-0.14814814814814806</v>
          </cell>
          <cell r="BT68">
            <v>0.87983706720977617</v>
          </cell>
          <cell r="BV68" t="str">
            <v>NM</v>
          </cell>
          <cell r="BX68">
            <v>-6.6137566137566143E-3</v>
          </cell>
          <cell r="BY68">
            <v>0.17515923566878983</v>
          </cell>
          <cell r="BZ68">
            <v>5.5598455598455727E-2</v>
          </cell>
          <cell r="CA68">
            <v>0.16667579858637874</v>
          </cell>
        </row>
        <row r="69">
          <cell r="A69" t="str">
            <v xml:space="preserve"> 3Q</v>
          </cell>
          <cell r="B69">
            <v>0.14793617759278521</v>
          </cell>
          <cell r="C69">
            <v>-7.8554595443829003E-4</v>
          </cell>
          <cell r="D69">
            <v>0.12103992044324485</v>
          </cell>
          <cell r="F69">
            <v>0.91518131530424118</v>
          </cell>
          <cell r="G69">
            <v>1.1611253196930946</v>
          </cell>
          <cell r="H69">
            <v>0.96283448959365736</v>
          </cell>
          <cell r="J69">
            <v>-9.2827004219409259E-2</v>
          </cell>
          <cell r="L69">
            <v>0.15384615384615385</v>
          </cell>
          <cell r="R69">
            <v>0.29501675041876041</v>
          </cell>
          <cell r="T69" t="str">
            <v xml:space="preserve"> 3Q</v>
          </cell>
          <cell r="U69">
            <v>0.38709677419354827</v>
          </cell>
          <cell r="V69">
            <v>-0.10224438902743145</v>
          </cell>
          <cell r="W69">
            <v>-6.7129629629629761E-2</v>
          </cell>
          <cell r="Y69">
            <v>-0.23404255319148937</v>
          </cell>
          <cell r="Z69">
            <v>-5.500000000000007E-2</v>
          </cell>
          <cell r="AA69">
            <v>-0.1518518518518519</v>
          </cell>
          <cell r="AB69">
            <v>-4.000000000000007E-2</v>
          </cell>
          <cell r="AD69">
            <v>-8.3479789103690819E-2</v>
          </cell>
          <cell r="AF69">
            <v>-1.4492753623188441E-2</v>
          </cell>
          <cell r="AG69">
            <v>0.36966824644549773</v>
          </cell>
          <cell r="AM69" t="str">
            <v>NM</v>
          </cell>
          <cell r="AN69" t="str">
            <v>NM</v>
          </cell>
          <cell r="AO69" t="str">
            <v>NM</v>
          </cell>
          <cell r="AU69" t="str">
            <v xml:space="preserve"> 3Q</v>
          </cell>
          <cell r="AV69">
            <v>-2.4060150375939764E-2</v>
          </cell>
          <cell r="AX69">
            <v>3.1593406593406557E-2</v>
          </cell>
          <cell r="AY69">
            <v>0.11771995043370508</v>
          </cell>
          <cell r="AZ69">
            <v>6.2306672558550442E-2</v>
          </cell>
          <cell r="BD69">
            <v>-9.6590909090909144E-2</v>
          </cell>
          <cell r="BF69">
            <v>0.68316831683168322</v>
          </cell>
          <cell r="BG69">
            <v>1.027027027027027</v>
          </cell>
          <cell r="BH69">
            <v>0.82857142857142863</v>
          </cell>
          <cell r="BI69">
            <v>7.7157670021347657E-2</v>
          </cell>
          <cell r="BK69">
            <v>-0.31707317073170732</v>
          </cell>
          <cell r="BL69">
            <v>-0.14201183431952655</v>
          </cell>
          <cell r="BM69">
            <v>-0.27231467473524956</v>
          </cell>
          <cell r="BO69">
            <v>0.24427480916030544</v>
          </cell>
          <cell r="BP69">
            <v>0.73933649289099523</v>
          </cell>
          <cell r="BQ69">
            <v>0.46511627906976777</v>
          </cell>
          <cell r="BS69">
            <v>0.1333333333333333</v>
          </cell>
          <cell r="BT69">
            <v>0.42776735459662313</v>
          </cell>
          <cell r="BV69" t="str">
            <v>NM</v>
          </cell>
          <cell r="BX69">
            <v>2.0463847203274411E-2</v>
          </cell>
          <cell r="BY69">
            <v>0.17944429457782593</v>
          </cell>
          <cell r="BZ69">
            <v>5.4583624912526121E-2</v>
          </cell>
          <cell r="CA69">
            <v>0.17050691244239635</v>
          </cell>
        </row>
        <row r="70">
          <cell r="A70" t="str">
            <v xml:space="preserve"> 4Q</v>
          </cell>
          <cell r="B70">
            <v>9.7641250685682898E-2</v>
          </cell>
          <cell r="C70">
            <v>-2.0761245674741271E-3</v>
          </cell>
          <cell r="D70">
            <v>7.6800694243563825E-2</v>
          </cell>
          <cell r="F70">
            <v>0.55851569933396783</v>
          </cell>
          <cell r="G70">
            <v>0.84330985915492973</v>
          </cell>
          <cell r="H70">
            <v>0.61910112359550562</v>
          </cell>
          <cell r="J70">
            <v>-3.1545741324921134E-2</v>
          </cell>
          <cell r="L70">
            <v>0.13772455089820365</v>
          </cell>
          <cell r="R70">
            <v>0.21641426477772349</v>
          </cell>
          <cell r="T70" t="str">
            <v xml:space="preserve"> 4Q</v>
          </cell>
          <cell r="U70">
            <v>-0.22556390977443608</v>
          </cell>
          <cell r="V70">
            <v>0</v>
          </cell>
          <cell r="W70">
            <v>-2.6064291920069507E-2</v>
          </cell>
          <cell r="Y70">
            <v>-0.19626168224299062</v>
          </cell>
          <cell r="Z70">
            <v>4.0000000000000036E-2</v>
          </cell>
          <cell r="AA70">
            <v>0.11576846307385223</v>
          </cell>
          <cell r="AB70">
            <v>-9.2105263157894801E-2</v>
          </cell>
          <cell r="AD70">
            <v>-3.3183681436656878E-3</v>
          </cell>
          <cell r="AF70">
            <v>0.19999999999999993</v>
          </cell>
          <cell r="AG70">
            <v>0.35301507537688454</v>
          </cell>
          <cell r="AM70" t="str">
            <v>NM</v>
          </cell>
          <cell r="AN70" t="str">
            <v>NM</v>
          </cell>
          <cell r="AO70" t="str">
            <v>NM</v>
          </cell>
          <cell r="AU70" t="str">
            <v xml:space="preserve"> 4Q</v>
          </cell>
          <cell r="AV70">
            <v>9.10384068278806E-2</v>
          </cell>
          <cell r="AX70">
            <v>-1.0911074740861974E-2</v>
          </cell>
          <cell r="AY70">
            <v>2.7806385169927939E-2</v>
          </cell>
          <cell r="AZ70">
            <v>2.496433666191318E-3</v>
          </cell>
          <cell r="BD70">
            <v>-3.4682080924855571E-2</v>
          </cell>
          <cell r="BF70">
            <v>0.89599999999999991</v>
          </cell>
          <cell r="BG70">
            <v>0.80909090909090897</v>
          </cell>
          <cell r="BH70">
            <v>0.85531914893617</v>
          </cell>
          <cell r="BI70">
            <v>6.7943805874840418E-2</v>
          </cell>
          <cell r="BK70">
            <v>-6.1381074168797914E-2</v>
          </cell>
          <cell r="BL70">
            <v>-0.14848484848484844</v>
          </cell>
          <cell r="BM70">
            <v>-8.7230215827338156E-2</v>
          </cell>
          <cell r="BO70">
            <v>0.88808664259927794</v>
          </cell>
          <cell r="BP70">
            <v>0.65891472868217038</v>
          </cell>
          <cell r="BQ70">
            <v>0.77757009345794381</v>
          </cell>
          <cell r="BS70">
            <v>-0.14814814814814806</v>
          </cell>
          <cell r="BT70">
            <v>0.65584415584415579</v>
          </cell>
          <cell r="BV70" t="str">
            <v>NM</v>
          </cell>
          <cell r="BX70">
            <v>0.17513368983957231</v>
          </cell>
          <cell r="BY70">
            <v>0.19122924245799014</v>
          </cell>
          <cell r="BZ70">
            <v>-4.2530568846358922E-3</v>
          </cell>
          <cell r="CA70">
            <v>0.17457945617967383</v>
          </cell>
        </row>
        <row r="72">
          <cell r="A72" t="str">
            <v>Year</v>
          </cell>
          <cell r="B72">
            <v>0.12550787830740248</v>
          </cell>
          <cell r="C72">
            <v>3.530942204051249E-3</v>
          </cell>
          <cell r="D72">
            <v>9.9831788131283419E-2</v>
          </cell>
          <cell r="F72">
            <v>0.90728813559322063</v>
          </cell>
          <cell r="G72">
            <v>1.2674750356633382</v>
          </cell>
          <cell r="H72">
            <v>0.9764448096411944</v>
          </cell>
          <cell r="J72">
            <v>-7.5291622481442291E-2</v>
          </cell>
          <cell r="L72">
            <v>0.14800759013282788</v>
          </cell>
          <cell r="R72">
            <v>0.27991967871485951</v>
          </cell>
          <cell r="T72" t="str">
            <v>Year</v>
          </cell>
          <cell r="U72">
            <v>-0.35638297872340435</v>
          </cell>
          <cell r="V72">
            <v>-6.0896605338170505E-2</v>
          </cell>
          <cell r="W72">
            <v>-9.8575627402215732E-2</v>
          </cell>
          <cell r="Y72">
            <v>-0.21839080459770116</v>
          </cell>
          <cell r="Z72">
            <v>-3.3971587399629397E-2</v>
          </cell>
          <cell r="AA72">
            <v>-5.357142857142852E-2</v>
          </cell>
          <cell r="AB72">
            <v>-0.10685805422647525</v>
          </cell>
          <cell r="AD72">
            <v>-8.2958012494551883E-2</v>
          </cell>
          <cell r="AF72">
            <v>-5.5370985603543747E-2</v>
          </cell>
          <cell r="AG72">
            <v>0.43632075471698101</v>
          </cell>
          <cell r="AM72" t="str">
            <v>NM</v>
          </cell>
          <cell r="AN72" t="str">
            <v>NM</v>
          </cell>
          <cell r="AO72" t="str">
            <v>NM</v>
          </cell>
          <cell r="AU72" t="str">
            <v>Year</v>
          </cell>
          <cell r="AV72">
            <v>3.2345013477089082E-2</v>
          </cell>
          <cell r="AX72">
            <v>-3.5817840695887928E-3</v>
          </cell>
          <cell r="AY72">
            <v>7.6438591468651729E-2</v>
          </cell>
          <cell r="AZ72">
            <v>2.6293287729798963E-2</v>
          </cell>
          <cell r="BD72">
            <v>-4.466858789625372E-2</v>
          </cell>
          <cell r="BF72">
            <v>0.83597883597883627</v>
          </cell>
          <cell r="BG72">
            <v>1.0166666666666666</v>
          </cell>
          <cell r="BH72">
            <v>0.91592920353982277</v>
          </cell>
          <cell r="BI72">
            <v>6.9043151969981245E-2</v>
          </cell>
          <cell r="BK72">
            <v>-0.24706763164462178</v>
          </cell>
          <cell r="BL72">
            <v>-7.2337042925278289E-2</v>
          </cell>
          <cell r="BM72">
            <v>-0.20531813865147203</v>
          </cell>
          <cell r="BO72">
            <v>0.77263157894736822</v>
          </cell>
          <cell r="BP72">
            <v>0.73433583959899762</v>
          </cell>
          <cell r="BQ72">
            <v>0.7551487414187642</v>
          </cell>
          <cell r="BS72">
            <v>-7.0469798657717936E-2</v>
          </cell>
          <cell r="BT72">
            <v>0.63489736070381231</v>
          </cell>
          <cell r="BV72" t="str">
            <v>NM</v>
          </cell>
          <cell r="BX72">
            <v>4.7942876572594433E-2</v>
          </cell>
          <cell r="BY72">
            <v>0.17560951965488841</v>
          </cell>
          <cell r="BZ72">
            <v>3.7080340738266125E-2</v>
          </cell>
          <cell r="CA72">
            <v>0.16500310120147554</v>
          </cell>
        </row>
        <row r="74">
          <cell r="A74" t="str">
            <v>1998</v>
          </cell>
          <cell r="T74" t="str">
            <v>1998</v>
          </cell>
          <cell r="AU74" t="str">
            <v>1998</v>
          </cell>
        </row>
        <row r="75">
          <cell r="A75" t="str">
            <v xml:space="preserve"> 1Q</v>
          </cell>
          <cell r="B75">
            <v>482</v>
          </cell>
          <cell r="C75">
            <v>132.69999999999999</v>
          </cell>
          <cell r="D75">
            <v>614.70000000000005</v>
          </cell>
          <cell r="F75">
            <v>230.4</v>
          </cell>
          <cell r="G75">
            <v>56.8</v>
          </cell>
          <cell r="H75">
            <v>287.2</v>
          </cell>
          <cell r="J75">
            <v>16.100000000000001</v>
          </cell>
          <cell r="L75">
            <v>25</v>
          </cell>
          <cell r="R75">
            <v>942.6</v>
          </cell>
          <cell r="T75" t="str">
            <v xml:space="preserve"> 1Q</v>
          </cell>
          <cell r="U75">
            <v>12.4</v>
          </cell>
          <cell r="V75">
            <v>104.4</v>
          </cell>
          <cell r="W75">
            <v>116.80000000000001</v>
          </cell>
          <cell r="Y75">
            <v>5.5</v>
          </cell>
          <cell r="Z75">
            <v>37.6</v>
          </cell>
          <cell r="AA75">
            <v>54.9</v>
          </cell>
          <cell r="AB75">
            <v>43.7</v>
          </cell>
          <cell r="AD75">
            <v>258.5</v>
          </cell>
          <cell r="AF75">
            <v>22.5</v>
          </cell>
          <cell r="AG75">
            <v>70</v>
          </cell>
          <cell r="AM75">
            <v>32.700000000000003</v>
          </cell>
          <cell r="AN75">
            <v>0.7</v>
          </cell>
          <cell r="AO75">
            <v>33.400000000000006</v>
          </cell>
          <cell r="AU75" t="str">
            <v xml:space="preserve"> 1Q</v>
          </cell>
          <cell r="AV75">
            <v>60.9</v>
          </cell>
          <cell r="AX75">
            <v>104.8</v>
          </cell>
          <cell r="AY75">
            <v>89.9</v>
          </cell>
          <cell r="AZ75">
            <v>194.7</v>
          </cell>
          <cell r="BD75">
            <v>17</v>
          </cell>
          <cell r="BF75">
            <v>12.7</v>
          </cell>
          <cell r="BG75">
            <v>12</v>
          </cell>
          <cell r="BH75">
            <v>24.7</v>
          </cell>
          <cell r="BI75">
            <v>297.3</v>
          </cell>
          <cell r="BK75">
            <v>117.3</v>
          </cell>
          <cell r="BL75">
            <v>27.4</v>
          </cell>
          <cell r="BM75">
            <v>144.69999999999999</v>
          </cell>
          <cell r="BO75">
            <v>30.7</v>
          </cell>
          <cell r="BP75">
            <v>26.3</v>
          </cell>
          <cell r="BQ75">
            <v>57</v>
          </cell>
          <cell r="BS75">
            <v>7.1</v>
          </cell>
          <cell r="BT75">
            <v>64.099999999999994</v>
          </cell>
          <cell r="BV75">
            <v>0</v>
          </cell>
          <cell r="BX75">
            <v>70.400000000000006</v>
          </cell>
          <cell r="BY75">
            <v>1903.5</v>
          </cell>
          <cell r="BZ75">
            <v>146.20000000000002</v>
          </cell>
          <cell r="CA75">
            <v>2049.6999999999998</v>
          </cell>
        </row>
        <row r="76">
          <cell r="A76" t="str">
            <v xml:space="preserve"> 2Q</v>
          </cell>
          <cell r="B76">
            <v>527.29999999999995</v>
          </cell>
          <cell r="C76">
            <v>135.9</v>
          </cell>
          <cell r="D76">
            <v>663.19999999999993</v>
          </cell>
          <cell r="F76">
            <v>255.7</v>
          </cell>
          <cell r="G76">
            <v>71.900000000000006</v>
          </cell>
          <cell r="H76">
            <v>327.60000000000002</v>
          </cell>
          <cell r="J76">
            <v>18.899999999999999</v>
          </cell>
          <cell r="L76">
            <v>28</v>
          </cell>
          <cell r="R76">
            <v>1037.2</v>
          </cell>
          <cell r="T76" t="str">
            <v xml:space="preserve"> 2Q</v>
          </cell>
          <cell r="U76">
            <v>5</v>
          </cell>
          <cell r="V76">
            <v>84.2</v>
          </cell>
          <cell r="W76">
            <v>89.2</v>
          </cell>
          <cell r="Y76">
            <v>3.6</v>
          </cell>
          <cell r="Z76">
            <v>39.4</v>
          </cell>
          <cell r="AA76">
            <v>50.1</v>
          </cell>
          <cell r="AB76">
            <v>42.1</v>
          </cell>
          <cell r="AD76">
            <v>224.39999999999998</v>
          </cell>
          <cell r="AF76">
            <v>16</v>
          </cell>
          <cell r="AG76">
            <v>101</v>
          </cell>
          <cell r="AM76">
            <v>14</v>
          </cell>
          <cell r="AN76">
            <v>0.7</v>
          </cell>
          <cell r="AO76">
            <v>14.7</v>
          </cell>
          <cell r="AU76" t="str">
            <v xml:space="preserve"> 2Q</v>
          </cell>
          <cell r="AV76">
            <v>65.599999999999994</v>
          </cell>
          <cell r="AX76">
            <v>147.9</v>
          </cell>
          <cell r="AY76">
            <v>96.1</v>
          </cell>
          <cell r="AZ76">
            <v>244</v>
          </cell>
          <cell r="BD76">
            <v>16.7</v>
          </cell>
          <cell r="BF76">
            <v>16</v>
          </cell>
          <cell r="BG76">
            <v>13.6</v>
          </cell>
          <cell r="BH76">
            <v>29.6</v>
          </cell>
          <cell r="BI76">
            <v>355.90000000000003</v>
          </cell>
          <cell r="BK76">
            <v>43.8</v>
          </cell>
          <cell r="BL76">
            <v>32.200000000000003</v>
          </cell>
          <cell r="BM76">
            <v>76</v>
          </cell>
          <cell r="BO76">
            <v>52.8</v>
          </cell>
          <cell r="BP76">
            <v>32.6</v>
          </cell>
          <cell r="BQ76">
            <v>85.4</v>
          </cell>
          <cell r="BS76">
            <v>6.9</v>
          </cell>
          <cell r="BT76">
            <v>92.300000000000011</v>
          </cell>
          <cell r="BV76">
            <v>0</v>
          </cell>
          <cell r="BX76">
            <v>75.099999999999994</v>
          </cell>
          <cell r="BY76">
            <v>1992.6</v>
          </cell>
          <cell r="BZ76">
            <v>136.70000000000002</v>
          </cell>
          <cell r="CA76">
            <v>2129.2999999999997</v>
          </cell>
        </row>
        <row r="77">
          <cell r="A77" t="str">
            <v xml:space="preserve"> 3Q</v>
          </cell>
          <cell r="B77">
            <v>661.9</v>
          </cell>
          <cell r="C77">
            <v>127.2</v>
          </cell>
          <cell r="D77">
            <v>789.1</v>
          </cell>
          <cell r="F77">
            <v>311.60000000000002</v>
          </cell>
          <cell r="G77">
            <v>84.5</v>
          </cell>
          <cell r="H77">
            <v>396.1</v>
          </cell>
          <cell r="J77">
            <v>21.5</v>
          </cell>
          <cell r="L77">
            <v>30</v>
          </cell>
          <cell r="R77">
            <v>1237</v>
          </cell>
          <cell r="T77" t="str">
            <v xml:space="preserve"> 3Q</v>
          </cell>
          <cell r="U77">
            <v>8.6</v>
          </cell>
          <cell r="V77">
            <v>72</v>
          </cell>
          <cell r="W77">
            <v>80.599999999999994</v>
          </cell>
          <cell r="Y77">
            <v>3.6</v>
          </cell>
          <cell r="Z77">
            <v>37.799999999999997</v>
          </cell>
          <cell r="AA77">
            <v>45.8</v>
          </cell>
          <cell r="AB77">
            <v>40.799999999999997</v>
          </cell>
          <cell r="AD77">
            <v>208.59999999999997</v>
          </cell>
          <cell r="AF77">
            <v>20.399999999999999</v>
          </cell>
          <cell r="AG77">
            <v>86.7</v>
          </cell>
          <cell r="AM77">
            <v>31</v>
          </cell>
          <cell r="AN77">
            <v>2.1</v>
          </cell>
          <cell r="AO77">
            <v>33.1</v>
          </cell>
          <cell r="AU77" t="str">
            <v xml:space="preserve"> 3Q</v>
          </cell>
          <cell r="AV77">
            <v>64.900000000000006</v>
          </cell>
          <cell r="AX77">
            <v>150.19999999999999</v>
          </cell>
          <cell r="AY77">
            <v>90.2</v>
          </cell>
          <cell r="AZ77">
            <v>240.39999999999998</v>
          </cell>
          <cell r="BD77">
            <v>15.9</v>
          </cell>
          <cell r="BF77">
            <v>17</v>
          </cell>
          <cell r="BG77">
            <v>15</v>
          </cell>
          <cell r="BH77">
            <v>32</v>
          </cell>
          <cell r="BI77">
            <v>353.19999999999993</v>
          </cell>
          <cell r="BK77">
            <v>67.2</v>
          </cell>
          <cell r="BL77">
            <v>29</v>
          </cell>
          <cell r="BM77">
            <v>96.2</v>
          </cell>
          <cell r="BO77">
            <v>32.6</v>
          </cell>
          <cell r="BP77">
            <v>36.700000000000003</v>
          </cell>
          <cell r="BQ77">
            <v>69.300000000000011</v>
          </cell>
          <cell r="BS77">
            <v>6.8</v>
          </cell>
          <cell r="BT77">
            <v>76.100000000000009</v>
          </cell>
          <cell r="BV77">
            <v>0</v>
          </cell>
          <cell r="BX77">
            <v>74.800000000000011</v>
          </cell>
          <cell r="BY77">
            <v>2186.1000000000004</v>
          </cell>
          <cell r="BZ77">
            <v>150.69999999999999</v>
          </cell>
          <cell r="CA77">
            <v>2336.8000000000002</v>
          </cell>
        </row>
        <row r="78">
          <cell r="A78" t="str">
            <v xml:space="preserve"> 4Q</v>
          </cell>
          <cell r="B78">
            <v>600.29999999999995</v>
          </cell>
          <cell r="C78">
            <v>144.19999999999999</v>
          </cell>
          <cell r="D78">
            <v>744.5</v>
          </cell>
          <cell r="F78">
            <v>327.60000000000002</v>
          </cell>
          <cell r="G78">
            <v>104.7</v>
          </cell>
          <cell r="H78">
            <v>432.3</v>
          </cell>
          <cell r="J78">
            <v>30.7</v>
          </cell>
          <cell r="L78">
            <v>38</v>
          </cell>
          <cell r="R78">
            <v>1245</v>
          </cell>
          <cell r="T78" t="str">
            <v xml:space="preserve"> 4Q</v>
          </cell>
          <cell r="U78">
            <v>10.3</v>
          </cell>
          <cell r="V78">
            <v>101.8</v>
          </cell>
          <cell r="W78">
            <v>112.1</v>
          </cell>
          <cell r="Y78">
            <v>4.3</v>
          </cell>
          <cell r="Z78">
            <v>41.6</v>
          </cell>
          <cell r="AA78">
            <v>55.9</v>
          </cell>
          <cell r="AB78">
            <v>41.4</v>
          </cell>
          <cell r="AD78">
            <v>255.3</v>
          </cell>
          <cell r="AF78">
            <v>26.4</v>
          </cell>
          <cell r="AG78">
            <v>107.7</v>
          </cell>
          <cell r="AM78">
            <v>60</v>
          </cell>
          <cell r="AN78">
            <v>2.8</v>
          </cell>
          <cell r="AO78">
            <v>62.8</v>
          </cell>
          <cell r="AU78" t="str">
            <v xml:space="preserve"> 4Q</v>
          </cell>
          <cell r="AV78">
            <v>76.7</v>
          </cell>
          <cell r="AX78">
            <v>181.3</v>
          </cell>
          <cell r="AY78">
            <v>99.8</v>
          </cell>
          <cell r="AZ78">
            <v>281.10000000000002</v>
          </cell>
          <cell r="BD78">
            <v>16.7</v>
          </cell>
          <cell r="BF78">
            <v>23.7</v>
          </cell>
          <cell r="BG78">
            <v>19.899999999999999</v>
          </cell>
          <cell r="BH78">
            <v>43.599999999999994</v>
          </cell>
          <cell r="BI78">
            <v>418.1</v>
          </cell>
          <cell r="BK78">
            <v>73.400000000000006</v>
          </cell>
          <cell r="BL78">
            <v>28.1</v>
          </cell>
          <cell r="BM78">
            <v>101.5</v>
          </cell>
          <cell r="BO78">
            <v>52.3</v>
          </cell>
          <cell r="BP78">
            <v>42.8</v>
          </cell>
          <cell r="BQ78">
            <v>95.1</v>
          </cell>
          <cell r="BS78">
            <v>6.9</v>
          </cell>
          <cell r="BT78">
            <v>102</v>
          </cell>
          <cell r="BV78">
            <v>0</v>
          </cell>
          <cell r="BX78">
            <v>87.9</v>
          </cell>
          <cell r="BY78">
            <v>2406.7000000000003</v>
          </cell>
          <cell r="BZ78">
            <v>187.29999999999998</v>
          </cell>
          <cell r="CA78">
            <v>2594.0000000000005</v>
          </cell>
        </row>
        <row r="80">
          <cell r="A80" t="str">
            <v>Year</v>
          </cell>
          <cell r="B80">
            <v>2271.5</v>
          </cell>
          <cell r="C80">
            <v>540</v>
          </cell>
          <cell r="D80">
            <v>2811.5</v>
          </cell>
          <cell r="F80">
            <v>1125.3000000000002</v>
          </cell>
          <cell r="G80">
            <v>317.89999999999998</v>
          </cell>
          <cell r="H80">
            <v>1443.2</v>
          </cell>
          <cell r="J80">
            <v>87.2</v>
          </cell>
          <cell r="L80">
            <v>121</v>
          </cell>
          <cell r="R80">
            <v>4461.8</v>
          </cell>
          <cell r="T80" t="str">
            <v>Year</v>
          </cell>
          <cell r="U80">
            <v>36.299999999999997</v>
          </cell>
          <cell r="V80">
            <v>362.40000000000003</v>
          </cell>
          <cell r="W80">
            <v>398.70000000000005</v>
          </cell>
          <cell r="Y80">
            <v>17</v>
          </cell>
          <cell r="Z80">
            <v>156.4</v>
          </cell>
          <cell r="AA80">
            <v>206.70000000000002</v>
          </cell>
          <cell r="AB80">
            <v>168</v>
          </cell>
          <cell r="AD80">
            <v>946.8</v>
          </cell>
          <cell r="AF80">
            <v>85.3</v>
          </cell>
          <cell r="AG80">
            <v>365.4</v>
          </cell>
          <cell r="AM80">
            <v>137.69999999999999</v>
          </cell>
          <cell r="AN80">
            <v>6.3</v>
          </cell>
          <cell r="AO80">
            <v>144</v>
          </cell>
          <cell r="AU80" t="str">
            <v>Year</v>
          </cell>
          <cell r="AV80">
            <v>268.10000000000002</v>
          </cell>
          <cell r="AX80">
            <v>584.20000000000005</v>
          </cell>
          <cell r="AY80">
            <v>376</v>
          </cell>
          <cell r="AZ80">
            <v>960.19999999999993</v>
          </cell>
          <cell r="BD80">
            <v>66.3</v>
          </cell>
          <cell r="BF80">
            <v>69.400000000000006</v>
          </cell>
          <cell r="BG80">
            <v>60.5</v>
          </cell>
          <cell r="BH80">
            <v>129.89999999999998</v>
          </cell>
          <cell r="BI80">
            <v>1424.5</v>
          </cell>
          <cell r="BK80">
            <v>301.70000000000005</v>
          </cell>
          <cell r="BL80">
            <v>116.69999999999999</v>
          </cell>
          <cell r="BM80">
            <v>418.4</v>
          </cell>
          <cell r="BO80">
            <v>168.39999999999998</v>
          </cell>
          <cell r="BP80">
            <v>138.4</v>
          </cell>
          <cell r="BQ80">
            <v>306.8</v>
          </cell>
          <cell r="BS80">
            <v>27.700000000000003</v>
          </cell>
          <cell r="BT80">
            <v>334.5</v>
          </cell>
          <cell r="BV80">
            <v>0</v>
          </cell>
          <cell r="BX80">
            <v>308.20000000000005</v>
          </cell>
          <cell r="BY80">
            <v>8488.9000000000015</v>
          </cell>
          <cell r="BZ80">
            <v>620.9</v>
          </cell>
          <cell r="CA80">
            <v>9109.7999999999993</v>
          </cell>
        </row>
        <row r="82">
          <cell r="A82" t="str">
            <v>1999/98</v>
          </cell>
          <cell r="T82" t="str">
            <v>1999/98</v>
          </cell>
          <cell r="AU82" t="str">
            <v>1999/98</v>
          </cell>
        </row>
        <row r="83">
          <cell r="A83" t="str">
            <v xml:space="preserve"> 1QA</v>
          </cell>
          <cell r="B83">
            <v>-5.7261410788381789E-2</v>
          </cell>
          <cell r="C83">
            <v>2.0346646571213392E-2</v>
          </cell>
          <cell r="D83">
            <v>-4.0344883683097521E-2</v>
          </cell>
          <cell r="F83">
            <v>0.29210069444444436</v>
          </cell>
          <cell r="G83">
            <v>0.82218309859154937</v>
          </cell>
          <cell r="H83">
            <v>0.39693593314763231</v>
          </cell>
          <cell r="J83">
            <v>6.8322981366459493E-2</v>
          </cell>
          <cell r="L83">
            <v>0.24800000000000011</v>
          </cell>
          <cell r="R83">
            <v>0.10280076384468484</v>
          </cell>
          <cell r="T83" t="str">
            <v xml:space="preserve"> 1QA</v>
          </cell>
          <cell r="U83">
            <v>-0.33064516129032256</v>
          </cell>
          <cell r="V83">
            <v>-0.10344827586206908</v>
          </cell>
          <cell r="W83">
            <v>-0.12756849315068508</v>
          </cell>
          <cell r="Y83">
            <v>-0.23636363636363633</v>
          </cell>
          <cell r="Z83">
            <v>-0.12234042553191493</v>
          </cell>
          <cell r="AA83">
            <v>-0.10200364298724958</v>
          </cell>
          <cell r="AB83">
            <v>0.17162471395881007</v>
          </cell>
          <cell r="AD83">
            <v>-7.3114119922630727E-2</v>
          </cell>
          <cell r="AF83">
            <v>0.19111111111111098</v>
          </cell>
          <cell r="AG83">
            <v>0.44285714285714284</v>
          </cell>
          <cell r="AM83">
            <v>0.48623853211009171</v>
          </cell>
          <cell r="AN83" t="str">
            <v>NM</v>
          </cell>
          <cell r="AO83">
            <v>0.63473053892215536</v>
          </cell>
          <cell r="AU83" t="str">
            <v xml:space="preserve"> 1QA</v>
          </cell>
          <cell r="AV83">
            <v>0.11330049261083765</v>
          </cell>
          <cell r="AX83">
            <v>2.8625954198473014E-3</v>
          </cell>
          <cell r="AY83">
            <v>8.7875417130144504E-2</v>
          </cell>
          <cell r="AZ83">
            <v>4.2116076014381054E-2</v>
          </cell>
          <cell r="BD83">
            <v>0.49411764705882344</v>
          </cell>
          <cell r="BF83">
            <v>0.73228346456692917</v>
          </cell>
          <cell r="BG83">
            <v>0.70833333333333326</v>
          </cell>
          <cell r="BH83">
            <v>0.72064777327935237</v>
          </cell>
          <cell r="BI83">
            <v>0.13891691893710045</v>
          </cell>
          <cell r="BK83">
            <v>-0.30008525149190113</v>
          </cell>
          <cell r="BL83">
            <v>7.2992700729927015E-2</v>
          </cell>
          <cell r="BM83">
            <v>-0.22944022114720108</v>
          </cell>
          <cell r="BO83">
            <v>1.315960912052117</v>
          </cell>
          <cell r="BP83">
            <v>0.64638783269961952</v>
          </cell>
          <cell r="BQ83">
            <v>1.0070175438596491</v>
          </cell>
          <cell r="BS83">
            <v>-5.6338028169014009E-2</v>
          </cell>
          <cell r="BT83">
            <v>0.88923556942277693</v>
          </cell>
          <cell r="BV83" t="str">
            <v>NM</v>
          </cell>
          <cell r="BX83">
            <v>-0.38636363636363635</v>
          </cell>
          <cell r="BY83">
            <v>0.10664565274494353</v>
          </cell>
          <cell r="BZ83">
            <v>1.9835841313269532E-2</v>
          </cell>
          <cell r="CA83">
            <v>0.10045372493535654</v>
          </cell>
        </row>
        <row r="84">
          <cell r="A84" t="str">
            <v xml:space="preserve"> 2QA</v>
          </cell>
          <cell r="B84">
            <v>6.5427650293950312E-2</v>
          </cell>
          <cell r="C84">
            <v>-7.0640176600441557E-2</v>
          </cell>
          <cell r="D84">
            <v>3.7545235223160445E-2</v>
          </cell>
          <cell r="F84">
            <v>8.1736409855299313E-2</v>
          </cell>
          <cell r="G84">
            <v>0.61752433936022233</v>
          </cell>
          <cell r="H84">
            <v>0.19963369963369981</v>
          </cell>
          <cell r="J84">
            <v>-0.21164021164021157</v>
          </cell>
          <cell r="L84">
            <v>0.17142857142857132</v>
          </cell>
          <cell r="R84">
            <v>8.8314693405321831E-2</v>
          </cell>
          <cell r="T84" t="str">
            <v xml:space="preserve"> 2QA</v>
          </cell>
          <cell r="U84">
            <v>0.98</v>
          </cell>
          <cell r="V84">
            <v>-0.29216152019002378</v>
          </cell>
          <cell r="W84">
            <v>-0.22085201793721976</v>
          </cell>
          <cell r="Y84">
            <v>-0.5</v>
          </cell>
          <cell r="Z84">
            <v>-0.21319796954314718</v>
          </cell>
          <cell r="AA84">
            <v>3.5928143712574932E-2</v>
          </cell>
          <cell r="AB84">
            <v>0.43705463182897858</v>
          </cell>
          <cell r="AD84">
            <v>-4.3226381461675456E-2</v>
          </cell>
          <cell r="AF84">
            <v>0.27500000000000013</v>
          </cell>
          <cell r="AG84">
            <v>0.13069306930693081</v>
          </cell>
          <cell r="AM84">
            <v>3.1428571428571432</v>
          </cell>
          <cell r="AN84" t="str">
            <v>NM</v>
          </cell>
          <cell r="AO84">
            <v>3.5306122448979593</v>
          </cell>
          <cell r="AU84" t="str">
            <v xml:space="preserve"> 2QA</v>
          </cell>
          <cell r="AV84">
            <v>0.11737804878048785</v>
          </cell>
          <cell r="AX84">
            <v>0.17647058823529407</v>
          </cell>
          <cell r="AY84">
            <v>8.6368366285119791E-2</v>
          </cell>
          <cell r="AZ84">
            <v>0.14057377049180309</v>
          </cell>
          <cell r="BD84">
            <v>0.52694610778443118</v>
          </cell>
          <cell r="BF84">
            <v>0.64375000000000004</v>
          </cell>
          <cell r="BG84">
            <v>0.77205882352941191</v>
          </cell>
          <cell r="BH84">
            <v>0.70270270270270285</v>
          </cell>
          <cell r="BI84">
            <v>0.20118010677156484</v>
          </cell>
          <cell r="BK84">
            <v>0.27625570776255715</v>
          </cell>
          <cell r="BL84">
            <v>-0.21118012422360261</v>
          </cell>
          <cell r="BM84">
            <v>6.9736842105263097E-2</v>
          </cell>
          <cell r="BO84">
            <v>-0.19128787878787867</v>
          </cell>
          <cell r="BP84">
            <v>0.34355828220858875</v>
          </cell>
          <cell r="BQ84">
            <v>1.2880562060889833E-2</v>
          </cell>
          <cell r="BS84">
            <v>2.8985507246376708E-2</v>
          </cell>
          <cell r="BT84">
            <v>1.408450704225328E-2</v>
          </cell>
          <cell r="BV84" t="str">
            <v>NM</v>
          </cell>
          <cell r="BX84">
            <v>-0.4434087882822903</v>
          </cell>
          <cell r="BY84">
            <v>9.8564689350597368E-2</v>
          </cell>
          <cell r="BZ84">
            <v>2.9261155815654506E-2</v>
          </cell>
          <cell r="CA84">
            <v>9.4115436998074564E-2</v>
          </cell>
        </row>
        <row r="85">
          <cell r="A85" t="str">
            <v xml:space="preserve"> 3Q</v>
          </cell>
          <cell r="B85">
            <v>-0.14609457621997271</v>
          </cell>
          <cell r="C85">
            <v>-1.729559748427675E-2</v>
          </cell>
          <cell r="D85">
            <v>-0.12533265745786337</v>
          </cell>
          <cell r="F85">
            <v>0.18902439024390236</v>
          </cell>
          <cell r="G85">
            <v>0.56686390532544384</v>
          </cell>
          <cell r="H85">
            <v>0.26962888159555654</v>
          </cell>
          <cell r="J85">
            <v>-0.11162790697674412</v>
          </cell>
          <cell r="L85">
            <v>0.1733333333333332</v>
          </cell>
          <cell r="R85">
            <v>8.4074373484235299E-3</v>
          </cell>
          <cell r="T85" t="str">
            <v xml:space="preserve"> 3Q</v>
          </cell>
          <cell r="U85">
            <v>-3.4883720930232398E-2</v>
          </cell>
          <cell r="V85">
            <v>-7.9166666666666705E-2</v>
          </cell>
          <cell r="W85">
            <v>-7.4441687344913188E-2</v>
          </cell>
          <cell r="Y85">
            <v>-0.16666666666666669</v>
          </cell>
          <cell r="Z85">
            <v>-0.12698412698412692</v>
          </cell>
          <cell r="AA85">
            <v>0.30131004366812236</v>
          </cell>
          <cell r="AB85">
            <v>0.31372549019607854</v>
          </cell>
          <cell r="AD85">
            <v>7.286673058485138E-2</v>
          </cell>
          <cell r="AF85">
            <v>-1.4705882352941037E-2</v>
          </cell>
          <cell r="AG85">
            <v>0.23760092272202993</v>
          </cell>
          <cell r="AM85">
            <v>1.6483870967741932</v>
          </cell>
          <cell r="AN85" t="str">
            <v>NM</v>
          </cell>
          <cell r="AO85">
            <v>1.8036253776435043</v>
          </cell>
          <cell r="AU85" t="str">
            <v xml:space="preserve"> 3Q</v>
          </cell>
          <cell r="AV85">
            <v>0.11248073959938361</v>
          </cell>
          <cell r="AX85">
            <v>0.21637816245006661</v>
          </cell>
          <cell r="AY85">
            <v>0.21507760532150766</v>
          </cell>
          <cell r="AZ85">
            <v>0.21589018302828622</v>
          </cell>
          <cell r="BD85">
            <v>1.6666666666666665</v>
          </cell>
          <cell r="BF85">
            <v>0.87058823529411766</v>
          </cell>
          <cell r="BG85">
            <v>0.79333333333333322</v>
          </cell>
          <cell r="BH85">
            <v>0.83437500000000009</v>
          </cell>
          <cell r="BI85">
            <v>0.31823329558323898</v>
          </cell>
          <cell r="BK85">
            <v>-0.19494047619047616</v>
          </cell>
          <cell r="BL85">
            <v>-4.1379310344827565E-2</v>
          </cell>
          <cell r="BM85">
            <v>-0.14760914760914767</v>
          </cell>
          <cell r="BO85">
            <v>1.1871165644171779</v>
          </cell>
          <cell r="BP85">
            <v>0.3051771117166211</v>
          </cell>
          <cell r="BQ85">
            <v>0.72005772005771962</v>
          </cell>
          <cell r="BS85">
            <v>4.4117647058823505E-2</v>
          </cell>
          <cell r="BT85">
            <v>0.65965834428383663</v>
          </cell>
          <cell r="BV85" t="str">
            <v>NM</v>
          </cell>
          <cell r="BX85">
            <v>-0.37834224598930488</v>
          </cell>
          <cell r="BY85">
            <v>0.10333470564018077</v>
          </cell>
          <cell r="BZ85">
            <v>3.3178500331785005E-3</v>
          </cell>
          <cell r="CA85">
            <v>9.6884628551865415E-2</v>
          </cell>
        </row>
        <row r="86">
          <cell r="A86" t="str">
            <v xml:space="preserve"> 4Q</v>
          </cell>
          <cell r="B86">
            <v>-0.15558887223055137</v>
          </cell>
          <cell r="C86">
            <v>-0.12135922330097078</v>
          </cell>
          <cell r="D86">
            <v>-0.14895903290799195</v>
          </cell>
          <cell r="F86">
            <v>0.30067155067155066</v>
          </cell>
          <cell r="G86">
            <v>0.38395415472779371</v>
          </cell>
          <cell r="H86">
            <v>0.32084200786490857</v>
          </cell>
          <cell r="J86">
            <v>-0.05</v>
          </cell>
          <cell r="L86">
            <v>1.3157894736842105E-2</v>
          </cell>
          <cell r="R86">
            <v>1.5903614457831283E-2</v>
          </cell>
          <cell r="T86" t="str">
            <v xml:space="preserve"> 4Q</v>
          </cell>
          <cell r="U86">
            <v>-0.39805825242718451</v>
          </cell>
          <cell r="V86">
            <v>-0.16895874263261301</v>
          </cell>
          <cell r="W86">
            <v>-0.19000892060660124</v>
          </cell>
          <cell r="Y86">
            <v>0</v>
          </cell>
          <cell r="Z86">
            <v>-0.16346153846153855</v>
          </cell>
          <cell r="AA86">
            <v>1.0733452593917735E-2</v>
          </cell>
          <cell r="AB86">
            <v>0.43478260869565216</v>
          </cell>
          <cell r="AD86">
            <v>-3.7211124167645937E-2</v>
          </cell>
          <cell r="AF86">
            <v>-6.818181818181808E-2</v>
          </cell>
          <cell r="AG86">
            <v>0.15134633240482809</v>
          </cell>
          <cell r="AM86">
            <v>0.60999999999999988</v>
          </cell>
          <cell r="AN86" t="str">
            <v>NM</v>
          </cell>
          <cell r="AO86">
            <v>0.77388535031847128</v>
          </cell>
          <cell r="AU86" t="str">
            <v xml:space="preserve"> 4Q</v>
          </cell>
          <cell r="AV86">
            <v>9.6479791395045519E-2</v>
          </cell>
          <cell r="AX86">
            <v>5.5157198014337732E-4</v>
          </cell>
          <cell r="AY86">
            <v>9.9198396793587232E-2</v>
          </cell>
          <cell r="AZ86">
            <v>3.5218783351120608E-2</v>
          </cell>
          <cell r="BD86">
            <v>1.6287425149700598</v>
          </cell>
          <cell r="BF86">
            <v>0.66666666666666674</v>
          </cell>
          <cell r="BG86">
            <v>0.67839195979899491</v>
          </cell>
          <cell r="BH86">
            <v>0.67201834862385357</v>
          </cell>
          <cell r="BI86">
            <v>0.17651279598182246</v>
          </cell>
          <cell r="BK86">
            <v>-0.31471389645776571</v>
          </cell>
          <cell r="BL86">
            <v>-0.12099644128113886</v>
          </cell>
          <cell r="BM86">
            <v>-0.26108374384236455</v>
          </cell>
          <cell r="BO86">
            <v>0.51242829827915859</v>
          </cell>
          <cell r="BP86">
            <v>0.25934579439252348</v>
          </cell>
          <cell r="BQ86">
            <v>0.3985278654048372</v>
          </cell>
          <cell r="BS86">
            <v>0.33333333333333315</v>
          </cell>
          <cell r="BT86">
            <v>0.39411764705882346</v>
          </cell>
          <cell r="BV86" t="str">
            <v>NM</v>
          </cell>
          <cell r="BX86">
            <v>-0.52559726962457343</v>
          </cell>
          <cell r="BY86">
            <v>4.7658619686707704E-2</v>
          </cell>
          <cell r="BZ86">
            <v>3.8441003737319901E-2</v>
          </cell>
          <cell r="CA86">
            <v>4.6954510408635075E-2</v>
          </cell>
        </row>
        <row r="88">
          <cell r="A88" t="str">
            <v>Year</v>
          </cell>
          <cell r="B88">
            <v>-8.0651551837992441E-2</v>
          </cell>
          <cell r="C88">
            <v>-4.9259259259259301E-2</v>
          </cell>
          <cell r="D88">
            <v>-7.4586519651431593E-2</v>
          </cell>
          <cell r="F88">
            <v>0.21825291033502164</v>
          </cell>
          <cell r="G88">
            <v>0.56369927650204488</v>
          </cell>
          <cell r="H88">
            <v>0.29441518847006631</v>
          </cell>
          <cell r="J88">
            <v>-0.16399082568807336</v>
          </cell>
          <cell r="L88">
            <v>0.13801652892561975</v>
          </cell>
          <cell r="R88">
            <v>4.9016092160114599E-2</v>
          </cell>
          <cell r="T88" t="str">
            <v>Year</v>
          </cell>
          <cell r="U88">
            <v>-9.9173553719008115E-2</v>
          </cell>
          <cell r="V88">
            <v>-0.16087196467991172</v>
          </cell>
          <cell r="W88">
            <v>-0.15525457737647375</v>
          </cell>
          <cell r="Y88">
            <v>-0.21764705882352936</v>
          </cell>
          <cell r="Z88">
            <v>-0.15728900255754472</v>
          </cell>
          <cell r="AA88">
            <v>5.1282051282051253E-2</v>
          </cell>
          <cell r="AB88">
            <v>0.33750000000000008</v>
          </cell>
          <cell r="AD88">
            <v>-2.4186734262779952E-2</v>
          </cell>
          <cell r="AF88">
            <v>7.7373974208675367E-2</v>
          </cell>
          <cell r="AG88">
            <v>0.2219485495347564</v>
          </cell>
          <cell r="AM88">
            <v>1.0718954248366011</v>
          </cell>
          <cell r="AN88" t="str">
            <v>NM</v>
          </cell>
          <cell r="AO88">
            <v>1.259722222222222</v>
          </cell>
          <cell r="AU88" t="str">
            <v>Year</v>
          </cell>
          <cell r="AV88">
            <v>0.10928757926146943</v>
          </cell>
          <cell r="AX88">
            <v>0.10099281068127353</v>
          </cell>
          <cell r="AY88">
            <v>0.12101063829787219</v>
          </cell>
          <cell r="AZ88">
            <v>0.10862320349927113</v>
          </cell>
          <cell r="BD88">
            <v>1.0693815987933635</v>
          </cell>
          <cell r="BF88">
            <v>0.72334293948126782</v>
          </cell>
          <cell r="BG88">
            <v>0.7338842975206612</v>
          </cell>
          <cell r="BH88">
            <v>0.72825250192455782</v>
          </cell>
          <cell r="BI88">
            <v>0.20996840996841004</v>
          </cell>
          <cell r="BK88">
            <v>-0.19655286708650999</v>
          </cell>
          <cell r="BL88">
            <v>-8.0548414738646032E-2</v>
          </cell>
          <cell r="BM88">
            <v>-0.16395793499043965</v>
          </cell>
          <cell r="BO88">
            <v>0.56888361045130653</v>
          </cell>
          <cell r="BP88">
            <v>0.36488439306358378</v>
          </cell>
          <cell r="BQ88">
            <v>0.47685788787483685</v>
          </cell>
          <cell r="BS88">
            <v>8.6642599277978155E-2</v>
          </cell>
          <cell r="BT88">
            <v>0.44454409566517183</v>
          </cell>
          <cell r="BV88" t="str">
            <v>NM</v>
          </cell>
          <cell r="BX88">
            <v>-0.43802725502920192</v>
          </cell>
          <cell r="BY88">
            <v>8.7172660768768395E-2</v>
          </cell>
          <cell r="BZ88">
            <v>2.3514253502979584E-2</v>
          </cell>
          <cell r="CA88">
            <v>8.2822894026213456E-2</v>
          </cell>
        </row>
        <row r="90">
          <cell r="A90">
            <v>1999</v>
          </cell>
          <cell r="T90">
            <v>1999</v>
          </cell>
          <cell r="AU90">
            <v>1999</v>
          </cell>
        </row>
        <row r="91">
          <cell r="A91" t="str">
            <v xml:space="preserve"> 1Q</v>
          </cell>
          <cell r="B91">
            <v>454.4</v>
          </cell>
          <cell r="C91">
            <v>135.4</v>
          </cell>
          <cell r="D91">
            <v>589.9</v>
          </cell>
          <cell r="F91">
            <v>297.7</v>
          </cell>
          <cell r="G91">
            <v>103.5</v>
          </cell>
          <cell r="H91">
            <v>401.2</v>
          </cell>
          <cell r="J91">
            <v>17.2</v>
          </cell>
          <cell r="L91">
            <v>31.200000000000003</v>
          </cell>
          <cell r="R91">
            <v>1039.5</v>
          </cell>
          <cell r="T91" t="str">
            <v xml:space="preserve"> 1Q</v>
          </cell>
          <cell r="U91">
            <v>8.3000000000000007</v>
          </cell>
          <cell r="V91">
            <v>93.6</v>
          </cell>
          <cell r="W91">
            <v>101.89999999999999</v>
          </cell>
          <cell r="Y91">
            <v>4.2</v>
          </cell>
          <cell r="Z91">
            <v>33</v>
          </cell>
          <cell r="AA91">
            <v>49.3</v>
          </cell>
          <cell r="AB91">
            <v>51.2</v>
          </cell>
          <cell r="AD91">
            <v>239.59999999999997</v>
          </cell>
          <cell r="AF91">
            <v>26.799999999999997</v>
          </cell>
          <cell r="AG91">
            <v>101</v>
          </cell>
          <cell r="AM91">
            <v>48.6</v>
          </cell>
          <cell r="AN91">
            <v>6</v>
          </cell>
          <cell r="AO91">
            <v>54.6</v>
          </cell>
          <cell r="AU91" t="str">
            <v xml:space="preserve"> 1Q</v>
          </cell>
          <cell r="AV91">
            <v>67.800000000000011</v>
          </cell>
          <cell r="AX91">
            <v>105.1</v>
          </cell>
          <cell r="AY91">
            <v>97.8</v>
          </cell>
          <cell r="AZ91">
            <v>202.89999999999998</v>
          </cell>
          <cell r="BD91">
            <v>25.4</v>
          </cell>
          <cell r="BF91">
            <v>22</v>
          </cell>
          <cell r="BG91">
            <v>20.5</v>
          </cell>
          <cell r="BH91">
            <v>42.5</v>
          </cell>
          <cell r="BI91">
            <v>338.59999999999997</v>
          </cell>
          <cell r="BK91">
            <v>82.1</v>
          </cell>
          <cell r="BL91">
            <v>29.4</v>
          </cell>
          <cell r="BM91">
            <v>111.5</v>
          </cell>
          <cell r="BO91">
            <v>71.099999999999994</v>
          </cell>
          <cell r="BP91">
            <v>43.3</v>
          </cell>
          <cell r="BQ91">
            <v>114.39999999999999</v>
          </cell>
          <cell r="BS91">
            <v>6.7</v>
          </cell>
          <cell r="BT91">
            <v>121.1</v>
          </cell>
          <cell r="BV91">
            <v>0</v>
          </cell>
          <cell r="BX91">
            <v>43.2</v>
          </cell>
          <cell r="BY91">
            <v>2106.5</v>
          </cell>
          <cell r="BZ91">
            <v>149.10000000000002</v>
          </cell>
          <cell r="CA91">
            <v>2255.6</v>
          </cell>
        </row>
        <row r="92">
          <cell r="A92" t="str">
            <v xml:space="preserve"> 2Q</v>
          </cell>
          <cell r="B92">
            <v>561.79999999999995</v>
          </cell>
          <cell r="C92">
            <v>126.3</v>
          </cell>
          <cell r="D92">
            <v>688.09999999999991</v>
          </cell>
          <cell r="F92">
            <v>276.60000000000002</v>
          </cell>
          <cell r="G92">
            <v>116.3</v>
          </cell>
          <cell r="H92">
            <v>393.00000000000006</v>
          </cell>
          <cell r="J92">
            <v>14.9</v>
          </cell>
          <cell r="L92">
            <v>32.799999999999997</v>
          </cell>
          <cell r="R92">
            <v>1128.8</v>
          </cell>
          <cell r="T92" t="str">
            <v xml:space="preserve"> 2Q</v>
          </cell>
          <cell r="U92">
            <v>9.9</v>
          </cell>
          <cell r="V92">
            <v>59.6</v>
          </cell>
          <cell r="W92">
            <v>69.5</v>
          </cell>
          <cell r="Y92">
            <v>1.8</v>
          </cell>
          <cell r="Z92">
            <v>31</v>
          </cell>
          <cell r="AA92">
            <v>51.900000000000006</v>
          </cell>
          <cell r="AB92">
            <v>60.5</v>
          </cell>
          <cell r="AD92">
            <v>214.70000000000002</v>
          </cell>
          <cell r="AF92">
            <v>20.400000000000002</v>
          </cell>
          <cell r="AG92">
            <v>114.2</v>
          </cell>
          <cell r="AM92">
            <v>58</v>
          </cell>
          <cell r="AN92">
            <v>8.6</v>
          </cell>
          <cell r="AO92">
            <v>66.599999999999994</v>
          </cell>
          <cell r="AU92" t="str">
            <v xml:space="preserve"> 2Q</v>
          </cell>
          <cell r="AV92">
            <v>73.3</v>
          </cell>
          <cell r="AX92">
            <v>174</v>
          </cell>
          <cell r="AY92">
            <v>104.4</v>
          </cell>
          <cell r="AZ92">
            <v>278.29999999999995</v>
          </cell>
          <cell r="BD92">
            <v>25.5</v>
          </cell>
          <cell r="BF92">
            <v>26.3</v>
          </cell>
          <cell r="BG92">
            <v>24.1</v>
          </cell>
          <cell r="BH92">
            <v>50.400000000000006</v>
          </cell>
          <cell r="BI92">
            <v>427.5</v>
          </cell>
          <cell r="BK92">
            <v>55.9</v>
          </cell>
          <cell r="BL92">
            <v>25.4</v>
          </cell>
          <cell r="BM92">
            <v>81.3</v>
          </cell>
          <cell r="BO92">
            <v>42.7</v>
          </cell>
          <cell r="BP92">
            <v>43.8</v>
          </cell>
          <cell r="BQ92">
            <v>86.5</v>
          </cell>
          <cell r="BS92">
            <v>7.1</v>
          </cell>
          <cell r="BT92">
            <v>93.6</v>
          </cell>
          <cell r="BV92">
            <v>0</v>
          </cell>
          <cell r="BX92">
            <v>41.8</v>
          </cell>
          <cell r="BY92">
            <v>2189</v>
          </cell>
          <cell r="BZ92">
            <v>140.69999999999999</v>
          </cell>
          <cell r="CA92">
            <v>2329.6999999999998</v>
          </cell>
        </row>
        <row r="93">
          <cell r="A93" t="str">
            <v xml:space="preserve"> 3Q</v>
          </cell>
          <cell r="B93">
            <v>565.20000000000005</v>
          </cell>
          <cell r="C93">
            <v>125</v>
          </cell>
          <cell r="D93">
            <v>690.2</v>
          </cell>
          <cell r="F93">
            <v>370.5</v>
          </cell>
          <cell r="G93">
            <v>132.4</v>
          </cell>
          <cell r="H93">
            <v>502.9</v>
          </cell>
          <cell r="J93">
            <v>19.100000000000001</v>
          </cell>
          <cell r="L93">
            <v>35.199999999999996</v>
          </cell>
          <cell r="R93">
            <v>1247.3999999999999</v>
          </cell>
          <cell r="T93" t="str">
            <v xml:space="preserve"> 3Q</v>
          </cell>
          <cell r="U93">
            <v>8.3000000000000007</v>
          </cell>
          <cell r="V93">
            <v>66.3</v>
          </cell>
          <cell r="W93">
            <v>74.599999999999994</v>
          </cell>
          <cell r="Y93">
            <v>3</v>
          </cell>
          <cell r="Z93">
            <v>33</v>
          </cell>
          <cell r="AA93">
            <v>59.6</v>
          </cell>
          <cell r="AB93">
            <v>53.6</v>
          </cell>
          <cell r="AD93">
            <v>223.79999999999998</v>
          </cell>
          <cell r="AF93">
            <v>20.100000000000001</v>
          </cell>
          <cell r="AG93">
            <v>107.3</v>
          </cell>
          <cell r="AM93">
            <v>82.1</v>
          </cell>
          <cell r="AN93">
            <v>10.7</v>
          </cell>
          <cell r="AO93">
            <v>92.8</v>
          </cell>
          <cell r="AU93" t="str">
            <v xml:space="preserve"> 3Q</v>
          </cell>
          <cell r="AV93">
            <v>72.2</v>
          </cell>
          <cell r="AX93">
            <v>182.7</v>
          </cell>
          <cell r="AY93">
            <v>109.6</v>
          </cell>
          <cell r="AZ93">
            <v>292.29999999999995</v>
          </cell>
          <cell r="BD93">
            <v>42.4</v>
          </cell>
          <cell r="BF93">
            <v>31.8</v>
          </cell>
          <cell r="BG93">
            <v>26.9</v>
          </cell>
          <cell r="BH93">
            <v>58.7</v>
          </cell>
          <cell r="BI93">
            <v>465.59999999999991</v>
          </cell>
          <cell r="BK93">
            <v>54.1</v>
          </cell>
          <cell r="BL93">
            <v>27.8</v>
          </cell>
          <cell r="BM93">
            <v>82</v>
          </cell>
          <cell r="BO93">
            <v>71.3</v>
          </cell>
          <cell r="BP93">
            <v>47.9</v>
          </cell>
          <cell r="BQ93">
            <v>119.19999999999999</v>
          </cell>
          <cell r="BS93">
            <v>7.1</v>
          </cell>
          <cell r="BT93">
            <v>126.29999999999998</v>
          </cell>
          <cell r="BV93">
            <v>0</v>
          </cell>
          <cell r="BX93">
            <v>46.5</v>
          </cell>
          <cell r="BY93">
            <v>2411.9999999999995</v>
          </cell>
          <cell r="BZ93">
            <v>151.19999999999999</v>
          </cell>
          <cell r="CA93">
            <v>2563.1999999999994</v>
          </cell>
        </row>
        <row r="94">
          <cell r="A94" t="str">
            <v xml:space="preserve"> 4Q</v>
          </cell>
          <cell r="B94">
            <v>506.9</v>
          </cell>
          <cell r="C94">
            <v>126.7</v>
          </cell>
          <cell r="D94">
            <v>633.6</v>
          </cell>
          <cell r="F94">
            <v>426.1</v>
          </cell>
          <cell r="G94">
            <v>144.9</v>
          </cell>
          <cell r="H94">
            <v>571</v>
          </cell>
          <cell r="J94">
            <v>21.7</v>
          </cell>
          <cell r="L94">
            <v>38.5</v>
          </cell>
          <cell r="R94">
            <v>1264.8</v>
          </cell>
          <cell r="T94" t="str">
            <v xml:space="preserve"> 4Q</v>
          </cell>
          <cell r="U94">
            <v>6.2</v>
          </cell>
          <cell r="V94">
            <v>84.6</v>
          </cell>
          <cell r="W94">
            <v>90.8</v>
          </cell>
          <cell r="Y94">
            <v>4.3</v>
          </cell>
          <cell r="Z94">
            <v>34.799999999999997</v>
          </cell>
          <cell r="AA94">
            <v>56.5</v>
          </cell>
          <cell r="AB94">
            <v>59.4</v>
          </cell>
          <cell r="AD94">
            <v>245.8</v>
          </cell>
          <cell r="AF94">
            <v>24.6</v>
          </cell>
          <cell r="AG94">
            <v>124</v>
          </cell>
          <cell r="AM94">
            <v>96.6</v>
          </cell>
          <cell r="AN94">
            <v>14.8</v>
          </cell>
          <cell r="AO94">
            <v>111.39999999999999</v>
          </cell>
          <cell r="AU94" t="str">
            <v xml:space="preserve"> 4Q</v>
          </cell>
          <cell r="AV94">
            <v>84.1</v>
          </cell>
          <cell r="AX94">
            <v>181.4</v>
          </cell>
          <cell r="AY94">
            <v>109.7</v>
          </cell>
          <cell r="AZ94">
            <v>291</v>
          </cell>
          <cell r="BD94">
            <v>43.9</v>
          </cell>
          <cell r="BF94">
            <v>39.5</v>
          </cell>
          <cell r="BG94">
            <v>33.4</v>
          </cell>
          <cell r="BH94">
            <v>72.900000000000006</v>
          </cell>
          <cell r="BI94">
            <v>491.9</v>
          </cell>
          <cell r="BK94">
            <v>50.3</v>
          </cell>
          <cell r="BL94">
            <v>24.7</v>
          </cell>
          <cell r="BM94">
            <v>75</v>
          </cell>
          <cell r="BO94">
            <v>79.099999999999994</v>
          </cell>
          <cell r="BP94">
            <v>53.9</v>
          </cell>
          <cell r="BQ94">
            <v>133</v>
          </cell>
          <cell r="BS94">
            <v>9.1999999999999993</v>
          </cell>
          <cell r="BT94">
            <v>142.19999999999999</v>
          </cell>
          <cell r="BV94">
            <v>0</v>
          </cell>
          <cell r="BX94">
            <v>41.7</v>
          </cell>
          <cell r="BY94">
            <v>2521.3999999999996</v>
          </cell>
          <cell r="BZ94">
            <v>194.5</v>
          </cell>
          <cell r="CA94">
            <v>2715.7999999999997</v>
          </cell>
        </row>
        <row r="96">
          <cell r="A96" t="str">
            <v>Year</v>
          </cell>
          <cell r="B96">
            <v>2088.3000000000002</v>
          </cell>
          <cell r="C96">
            <v>513.4</v>
          </cell>
          <cell r="D96">
            <v>2601.8000000000002</v>
          </cell>
          <cell r="F96">
            <v>1370.9</v>
          </cell>
          <cell r="G96">
            <v>497.1</v>
          </cell>
          <cell r="H96">
            <v>1868.1</v>
          </cell>
          <cell r="J96">
            <v>72.900000000000006</v>
          </cell>
          <cell r="L96">
            <v>137.69999999999999</v>
          </cell>
          <cell r="R96">
            <v>4680.5</v>
          </cell>
          <cell r="T96" t="str">
            <v>Year</v>
          </cell>
          <cell r="U96">
            <v>32.700000000000003</v>
          </cell>
          <cell r="V96">
            <v>304.10000000000002</v>
          </cell>
          <cell r="W96">
            <v>336.79999999999995</v>
          </cell>
          <cell r="Y96">
            <v>13.3</v>
          </cell>
          <cell r="Z96">
            <v>131.80000000000001</v>
          </cell>
          <cell r="AA96">
            <v>217.3</v>
          </cell>
          <cell r="AB96">
            <v>224.70000000000002</v>
          </cell>
          <cell r="AD96">
            <v>923.89999999999986</v>
          </cell>
          <cell r="AF96">
            <v>91.9</v>
          </cell>
          <cell r="AG96">
            <v>446.5</v>
          </cell>
          <cell r="AM96">
            <v>285.29999999999995</v>
          </cell>
          <cell r="AN96">
            <v>40.099999999999994</v>
          </cell>
          <cell r="AO96">
            <v>325.39999999999998</v>
          </cell>
          <cell r="AU96" t="str">
            <v>Year</v>
          </cell>
          <cell r="AV96">
            <v>297.39999999999998</v>
          </cell>
          <cell r="AX96">
            <v>643.20000000000005</v>
          </cell>
          <cell r="AY96">
            <v>421.49999999999994</v>
          </cell>
          <cell r="AZ96">
            <v>1064.5</v>
          </cell>
          <cell r="BD96">
            <v>137.19999999999999</v>
          </cell>
          <cell r="BF96">
            <v>119.6</v>
          </cell>
          <cell r="BG96">
            <v>104.9</v>
          </cell>
          <cell r="BH96">
            <v>224.50000000000003</v>
          </cell>
          <cell r="BI96">
            <v>1723.6000000000001</v>
          </cell>
          <cell r="BK96">
            <v>242.39999999999998</v>
          </cell>
          <cell r="BL96">
            <v>107.3</v>
          </cell>
          <cell r="BM96">
            <v>349.8</v>
          </cell>
          <cell r="BO96">
            <v>264.2</v>
          </cell>
          <cell r="BP96">
            <v>188.9</v>
          </cell>
          <cell r="BQ96">
            <v>453.09999999999997</v>
          </cell>
          <cell r="BS96">
            <v>30.099999999999998</v>
          </cell>
          <cell r="BT96">
            <v>483.2</v>
          </cell>
          <cell r="BV96">
            <v>0</v>
          </cell>
          <cell r="BX96">
            <v>173.2</v>
          </cell>
          <cell r="BY96">
            <v>9228.9</v>
          </cell>
          <cell r="BZ96">
            <v>635.5</v>
          </cell>
          <cell r="CA96">
            <v>9864.2999999999993</v>
          </cell>
        </row>
        <row r="98">
          <cell r="A98" t="str">
            <v>2000/99</v>
          </cell>
          <cell r="T98" t="str">
            <v>2000/99</v>
          </cell>
          <cell r="AU98" t="str">
            <v>2000/99</v>
          </cell>
        </row>
        <row r="99">
          <cell r="A99" t="str">
            <v xml:space="preserve"> 1QA</v>
          </cell>
          <cell r="B99">
            <v>0.11795774647887325</v>
          </cell>
          <cell r="C99">
            <v>-0.26292466765140332</v>
          </cell>
          <cell r="D99">
            <v>3.0513646380742498E-2</v>
          </cell>
          <cell r="F99">
            <v>7.0540812898891581E-3</v>
          </cell>
          <cell r="G99">
            <v>0.6908212560386473</v>
          </cell>
          <cell r="H99">
            <v>0.18344965104685951</v>
          </cell>
          <cell r="J99">
            <v>0.18604651162790686</v>
          </cell>
          <cell r="L99">
            <v>-7.37179487179489E-2</v>
          </cell>
          <cell r="R99">
            <v>8.8985088985089167E-2</v>
          </cell>
          <cell r="T99" t="str">
            <v xml:space="preserve"> 1QA</v>
          </cell>
          <cell r="U99">
            <v>8.674698795180702E-2</v>
          </cell>
          <cell r="V99">
            <v>-0.19615384615384612</v>
          </cell>
          <cell r="W99">
            <v>-0.17311089303238469</v>
          </cell>
          <cell r="Y99">
            <v>0.23809523809523814</v>
          </cell>
          <cell r="Z99">
            <v>-3.6363636363636376E-2</v>
          </cell>
          <cell r="AA99">
            <v>0.20081135902636937</v>
          </cell>
          <cell r="AB99">
            <v>8.7890625E-2</v>
          </cell>
          <cell r="AD99">
            <v>-1.519198664440724E-2</v>
          </cell>
          <cell r="AF99">
            <v>0.13432835820895539</v>
          </cell>
          <cell r="AG99">
            <v>9.9999999999999867E-2</v>
          </cell>
          <cell r="AM99">
            <v>0.71399176954732502</v>
          </cell>
          <cell r="AN99">
            <v>2</v>
          </cell>
          <cell r="AO99">
            <v>0.85531135531135516</v>
          </cell>
          <cell r="AU99" t="str">
            <v xml:space="preserve"> 1QA</v>
          </cell>
          <cell r="AV99">
            <v>5.6047197640117785E-2</v>
          </cell>
          <cell r="AX99">
            <v>0.53282588011417698</v>
          </cell>
          <cell r="AY99">
            <v>0.38548057259713708</v>
          </cell>
          <cell r="AZ99">
            <v>0.46229669788072991</v>
          </cell>
          <cell r="BD99">
            <v>-0.36023622047244086</v>
          </cell>
          <cell r="BF99">
            <v>0.75454545454545463</v>
          </cell>
          <cell r="BG99">
            <v>0.62926829268292672</v>
          </cell>
          <cell r="BH99">
            <v>0.69647058823529395</v>
          </cell>
          <cell r="BI99">
            <v>0.47740696987596043</v>
          </cell>
          <cell r="BK99">
            <v>-0.4056029232643118</v>
          </cell>
          <cell r="BL99">
            <v>-0.18707482993197277</v>
          </cell>
          <cell r="BM99">
            <v>-0.34798206278026911</v>
          </cell>
          <cell r="BO99">
            <v>0.10829817158931099</v>
          </cell>
          <cell r="BP99">
            <v>0.38337182448036966</v>
          </cell>
          <cell r="BQ99">
            <v>0.21241258741258751</v>
          </cell>
          <cell r="BS99">
            <v>-0.20895522388059706</v>
          </cell>
          <cell r="BT99">
            <v>0.18909991742361698</v>
          </cell>
          <cell r="BV99">
            <v>0</v>
          </cell>
          <cell r="BX99">
            <v>0.25</v>
          </cell>
          <cell r="BY99">
            <v>0.13064799430334673</v>
          </cell>
          <cell r="BZ99">
            <v>7.3775989268946907E-2</v>
          </cell>
          <cell r="CA99">
            <v>0.1268886327363008</v>
          </cell>
        </row>
        <row r="100">
          <cell r="A100" t="str">
            <v xml:space="preserve"> 2QA</v>
          </cell>
          <cell r="B100">
            <v>-3.9159843360626612E-2</v>
          </cell>
          <cell r="C100">
            <v>-0.30641330166270786</v>
          </cell>
          <cell r="D100">
            <v>-8.8213922395000588E-2</v>
          </cell>
          <cell r="F100">
            <v>0.43383947939262479</v>
          </cell>
          <cell r="G100">
            <v>0.32502149613069653</v>
          </cell>
          <cell r="H100">
            <v>0.40127226463104315</v>
          </cell>
          <cell r="J100">
            <v>0.34899328859060419</v>
          </cell>
          <cell r="L100">
            <v>2.1341463414634276E-2</v>
          </cell>
          <cell r="R100">
            <v>9.1158752657689357E-2</v>
          </cell>
          <cell r="T100" t="str">
            <v xml:space="preserve"> 2QA</v>
          </cell>
          <cell r="U100">
            <v>-0.54545454545454541</v>
          </cell>
          <cell r="V100">
            <v>9.5302013422818854E-2</v>
          </cell>
          <cell r="W100">
            <v>4.0287769784173033E-3</v>
          </cell>
          <cell r="Y100">
            <v>0.55555555555555536</v>
          </cell>
          <cell r="Z100">
            <v>-5.4838709677419328E-2</v>
          </cell>
          <cell r="AA100">
            <v>5.3949903660886367E-2</v>
          </cell>
          <cell r="AB100">
            <v>-6.6115702479338845E-2</v>
          </cell>
          <cell r="AD100">
            <v>-7.5454122030740312E-3</v>
          </cell>
          <cell r="AF100">
            <v>5.3921568627450789E-2</v>
          </cell>
          <cell r="AG100">
            <v>-8.4938704028021061E-2</v>
          </cell>
          <cell r="AM100">
            <v>0.93103448275862077</v>
          </cell>
          <cell r="AN100">
            <v>1.5348837209302326</v>
          </cell>
          <cell r="AO100">
            <v>1.0075075075075079</v>
          </cell>
          <cell r="AU100" t="str">
            <v xml:space="preserve"> 2QA</v>
          </cell>
          <cell r="AV100">
            <v>2.3192360163710735E-2</v>
          </cell>
          <cell r="AX100">
            <v>-0.22068965517241379</v>
          </cell>
          <cell r="AY100">
            <v>0.23946360153256707</v>
          </cell>
          <cell r="AZ100">
            <v>-4.7790154509521954E-2</v>
          </cell>
          <cell r="BD100">
            <v>-9.2156862745098378E-2</v>
          </cell>
          <cell r="BF100">
            <v>0.51330798479087436</v>
          </cell>
          <cell r="BG100">
            <v>0.52987551867219906</v>
          </cell>
          <cell r="BH100">
            <v>0.52123015873015821</v>
          </cell>
          <cell r="BI100">
            <v>0.20472514619883042</v>
          </cell>
          <cell r="BK100">
            <v>-0.10554561717352418</v>
          </cell>
          <cell r="BL100">
            <v>0.40157480314960647</v>
          </cell>
          <cell r="BM100">
            <v>5.2890528905289003E-2</v>
          </cell>
          <cell r="BO100">
            <v>0.14988290398126458</v>
          </cell>
          <cell r="BP100">
            <v>0.3447488584474887</v>
          </cell>
          <cell r="BQ100">
            <v>0.24739884393063583</v>
          </cell>
          <cell r="BS100">
            <v>-0.12676056338028163</v>
          </cell>
          <cell r="BT100">
            <v>0.21901709401709413</v>
          </cell>
          <cell r="BV100">
            <v>0</v>
          </cell>
          <cell r="BX100">
            <v>0.13875598086124419</v>
          </cell>
          <cell r="BY100">
            <v>0.1269072635906805</v>
          </cell>
          <cell r="BZ100">
            <v>9.8791755508173651E-2</v>
          </cell>
          <cell r="CA100">
            <v>0.12520925441043906</v>
          </cell>
        </row>
        <row r="101">
          <cell r="A101" t="str">
            <v xml:space="preserve"> 3QA</v>
          </cell>
          <cell r="B101">
            <v>5.927105449398451E-2</v>
          </cell>
          <cell r="C101">
            <v>-0.3488</v>
          </cell>
          <cell r="D101">
            <v>-1.4633439582729668E-2</v>
          </cell>
          <cell r="F101">
            <v>0.28097165991902839</v>
          </cell>
          <cell r="G101">
            <v>0.28625377643504524</v>
          </cell>
          <cell r="H101">
            <v>0.28236229866772744</v>
          </cell>
          <cell r="J101">
            <v>0.10994764397905743</v>
          </cell>
          <cell r="L101">
            <v>3.9772727272727515E-2</v>
          </cell>
          <cell r="R101">
            <v>0.10854577521244191</v>
          </cell>
          <cell r="T101" t="str">
            <v xml:space="preserve"> 3QA</v>
          </cell>
          <cell r="U101">
            <v>-0.51807228915662651</v>
          </cell>
          <cell r="V101">
            <v>-0.20965309200603321</v>
          </cell>
          <cell r="W101">
            <v>-0.2439678284182305</v>
          </cell>
          <cell r="Y101">
            <v>-0.56666666666666665</v>
          </cell>
          <cell r="Z101">
            <v>-0.14848484848484844</v>
          </cell>
          <cell r="AA101">
            <v>-0.1023489932885906</v>
          </cell>
          <cell r="AB101">
            <v>-0.15111940298507465</v>
          </cell>
          <cell r="AD101">
            <v>-0.1742627345844503</v>
          </cell>
          <cell r="AF101">
            <v>-6.9651741293532465E-2</v>
          </cell>
          <cell r="AG101">
            <v>-8.9468779123951458E-2</v>
          </cell>
          <cell r="AM101">
            <v>0.45310596833130345</v>
          </cell>
          <cell r="AN101">
            <v>1.0747663551401869</v>
          </cell>
          <cell r="AO101">
            <v>0.52478448275862077</v>
          </cell>
          <cell r="AU101" t="str">
            <v xml:space="preserve"> 3QA</v>
          </cell>
          <cell r="AV101">
            <v>8.1717451523545481E-2</v>
          </cell>
          <cell r="AX101">
            <v>-8.9764641488779273E-2</v>
          </cell>
          <cell r="AY101">
            <v>6.1131386861313919E-2</v>
          </cell>
          <cell r="AZ101">
            <v>-3.3185083817995009E-2</v>
          </cell>
          <cell r="BD101">
            <v>-0.62853773584905659</v>
          </cell>
          <cell r="BF101">
            <v>0.60062893081761004</v>
          </cell>
          <cell r="BG101">
            <v>0.47472118959107812</v>
          </cell>
          <cell r="BH101">
            <v>0.54293015332197592</v>
          </cell>
          <cell r="BI101">
            <v>0.1340635738831617</v>
          </cell>
          <cell r="BK101">
            <v>-2.7726432532347522E-2</v>
          </cell>
          <cell r="BL101">
            <v>-3.345323741007189E-2</v>
          </cell>
          <cell r="BM101">
            <v>-3.0853658536585393E-2</v>
          </cell>
          <cell r="BO101">
            <v>0.30154277699859744</v>
          </cell>
          <cell r="BP101">
            <v>0.30062630480167019</v>
          </cell>
          <cell r="BQ101">
            <v>0.3011744966442953</v>
          </cell>
          <cell r="BS101">
            <v>-0.23943661971830976</v>
          </cell>
          <cell r="BT101">
            <v>0.27078384798099786</v>
          </cell>
          <cell r="BV101">
            <v>0</v>
          </cell>
          <cell r="BX101">
            <v>9.0322580645161299E-2</v>
          </cell>
          <cell r="BY101">
            <v>9.6264510779436208E-2</v>
          </cell>
          <cell r="BZ101">
            <v>0.1084656084656086</v>
          </cell>
          <cell r="CA101">
            <v>9.6984238451935267E-2</v>
          </cell>
        </row>
        <row r="102">
          <cell r="A102" t="str">
            <v xml:space="preserve"> 4QA</v>
          </cell>
          <cell r="B102">
            <v>0.15644111264549232</v>
          </cell>
          <cell r="C102">
            <v>-0.33977900552486184</v>
          </cell>
          <cell r="D102">
            <v>5.7212752525252597E-2</v>
          </cell>
          <cell r="F102">
            <v>0.21825862473597746</v>
          </cell>
          <cell r="G102">
            <v>0.21946169772256718</v>
          </cell>
          <cell r="H102">
            <v>0.2185639229422065</v>
          </cell>
          <cell r="J102">
            <v>-6.9124423963133674E-2</v>
          </cell>
          <cell r="L102">
            <v>7.2727272727272751E-2</v>
          </cell>
          <cell r="R102">
            <v>0.12836021505376349</v>
          </cell>
          <cell r="T102" t="str">
            <v xml:space="preserve"> 4QA</v>
          </cell>
          <cell r="U102">
            <v>0.38709677419354827</v>
          </cell>
          <cell r="V102">
            <v>-0.13593380614657213</v>
          </cell>
          <cell r="W102">
            <v>-0.10022026431718067</v>
          </cell>
          <cell r="Y102">
            <v>-0.37209302325581384</v>
          </cell>
          <cell r="Z102">
            <v>-5.1724137931034364E-2</v>
          </cell>
          <cell r="AA102">
            <v>-0.14336283185840715</v>
          </cell>
          <cell r="AB102">
            <v>6.9023569023568987E-2</v>
          </cell>
          <cell r="AD102">
            <v>-6.7127746135069222E-2</v>
          </cell>
          <cell r="AF102">
            <v>-0.31300813008130091</v>
          </cell>
          <cell r="AG102">
            <v>-0.14838709677419359</v>
          </cell>
          <cell r="AM102">
            <v>0.23395445134575588</v>
          </cell>
          <cell r="AN102">
            <v>0.79054054054054035</v>
          </cell>
          <cell r="AO102">
            <v>0.30789946140035895</v>
          </cell>
          <cell r="AU102" t="str">
            <v xml:space="preserve"> 4QA</v>
          </cell>
          <cell r="AV102">
            <v>-6.5398335315101086E-2</v>
          </cell>
          <cell r="AX102">
            <v>-7.7728776185226001E-2</v>
          </cell>
          <cell r="AY102">
            <v>0.14676390154968089</v>
          </cell>
          <cell r="AZ102">
            <v>7.2164948453607991E-3</v>
          </cell>
          <cell r="BD102">
            <v>-0.60250569476082005</v>
          </cell>
          <cell r="BF102">
            <v>0.68101265822784818</v>
          </cell>
          <cell r="BG102">
            <v>0.33233532934131738</v>
          </cell>
          <cell r="BH102">
            <v>0.52126200274348422</v>
          </cell>
          <cell r="BI102">
            <v>0.10642406993291331</v>
          </cell>
          <cell r="BK102">
            <v>0.28429423459244529</v>
          </cell>
          <cell r="BL102">
            <v>-3.238866396761142E-2</v>
          </cell>
          <cell r="BM102">
            <v>0.17999999999999994</v>
          </cell>
          <cell r="BO102">
            <v>0.20353982300884965</v>
          </cell>
          <cell r="BP102">
            <v>0.20593692022263443</v>
          </cell>
          <cell r="BQ102">
            <v>0.20451127819548853</v>
          </cell>
          <cell r="BS102">
            <v>-0.51086956521739124</v>
          </cell>
          <cell r="BT102">
            <v>0.15822784810126578</v>
          </cell>
          <cell r="BV102">
            <v>0</v>
          </cell>
          <cell r="BX102">
            <v>0.35251798561151082</v>
          </cell>
          <cell r="BY102">
            <v>0.10196716110097581</v>
          </cell>
          <cell r="BZ102">
            <v>2.6735218508997516E-2</v>
          </cell>
          <cell r="CA102">
            <v>9.66197805434863E-2</v>
          </cell>
        </row>
        <row r="104">
          <cell r="A104" t="str">
            <v>Year</v>
          </cell>
          <cell r="B104">
            <v>6.9147153186802479E-2</v>
          </cell>
          <cell r="C104">
            <v>-0.31349824698091167</v>
          </cell>
          <cell r="D104">
            <v>-6.360980859405097E-3</v>
          </cell>
          <cell r="F104">
            <v>0.2328397403165802</v>
          </cell>
          <cell r="G104">
            <v>0.36008851337759001</v>
          </cell>
          <cell r="H104">
            <v>0.2666345484717092</v>
          </cell>
          <cell r="J104">
            <v>0.12345679012345678</v>
          </cell>
          <cell r="L104">
            <v>1.8881626724764147E-2</v>
          </cell>
          <cell r="R104">
            <v>0.10536267492789224</v>
          </cell>
          <cell r="T104" t="str">
            <v>Year</v>
          </cell>
          <cell r="U104">
            <v>-0.20122324159021421</v>
          </cell>
          <cell r="V104">
            <v>-0.12522196645840197</v>
          </cell>
          <cell r="W104">
            <v>-0.13260095011876477</v>
          </cell>
          <cell r="Y104">
            <v>-9.7744360902255689E-2</v>
          </cell>
          <cell r="Z104">
            <v>-7.2837632776934808E-2</v>
          </cell>
          <cell r="AA104">
            <v>-6.9028992176714214E-3</v>
          </cell>
          <cell r="AB104">
            <v>-1.5576323987539066E-2</v>
          </cell>
          <cell r="AD104">
            <v>-6.5764693148609152E-2</v>
          </cell>
          <cell r="AF104">
            <v>-4.7878128400435316E-2</v>
          </cell>
          <cell r="AG104">
            <v>-6.181410974244126E-2</v>
          </cell>
          <cell r="AM104">
            <v>0.52050473186119905</v>
          </cell>
          <cell r="AN104">
            <v>1.2069825436408981</v>
          </cell>
          <cell r="AO104">
            <v>0.6047940995697606</v>
          </cell>
          <cell r="AU104" t="str">
            <v>Year</v>
          </cell>
          <cell r="AV104">
            <v>1.9838601210490848E-2</v>
          </cell>
          <cell r="AX104">
            <v>-2.0055970149253873E-2</v>
          </cell>
          <cell r="AY104">
            <v>0.20284697508896812</v>
          </cell>
          <cell r="AZ104">
            <v>6.8482855800845552E-2</v>
          </cell>
          <cell r="BD104">
            <v>-0.4708454810495627</v>
          </cell>
          <cell r="BF104">
            <v>0.63628762541806039</v>
          </cell>
          <cell r="BG104">
            <v>0.47225929456625348</v>
          </cell>
          <cell r="BH104">
            <v>0.56008908685968806</v>
          </cell>
          <cell r="BI104">
            <v>0.21115107913669054</v>
          </cell>
          <cell r="BK104">
            <v>-0.10891089108910883</v>
          </cell>
          <cell r="BL104">
            <v>2.7679403541472629E-2</v>
          </cell>
          <cell r="BM104">
            <v>-6.7267009719839996E-2</v>
          </cell>
          <cell r="BO104">
            <v>0.19568508705526114</v>
          </cell>
          <cell r="BP104">
            <v>0.30280571731074635</v>
          </cell>
          <cell r="BQ104">
            <v>0.23990289119399691</v>
          </cell>
          <cell r="BS104">
            <v>-0.28903654485049834</v>
          </cell>
          <cell r="BT104">
            <v>0.20716059602649001</v>
          </cell>
          <cell r="BV104" t="str">
            <v>NM</v>
          </cell>
          <cell r="BX104">
            <v>0.20496535796766763</v>
          </cell>
          <cell r="BY104">
            <v>0.11293870342077597</v>
          </cell>
          <cell r="BZ104">
            <v>7.3170731707317249E-2</v>
          </cell>
          <cell r="CA104">
            <v>0.11038796468071731</v>
          </cell>
        </row>
        <row r="106">
          <cell r="A106" t="str">
            <v>2000</v>
          </cell>
          <cell r="T106" t="str">
            <v>2000</v>
          </cell>
          <cell r="AU106" t="str">
            <v>2000</v>
          </cell>
        </row>
        <row r="107">
          <cell r="A107" t="str">
            <v xml:space="preserve"> 1QA</v>
          </cell>
          <cell r="B107">
            <v>508</v>
          </cell>
          <cell r="C107">
            <v>99.8</v>
          </cell>
          <cell r="D107">
            <v>607.9</v>
          </cell>
          <cell r="F107">
            <v>299.8</v>
          </cell>
          <cell r="G107">
            <v>175</v>
          </cell>
          <cell r="H107">
            <v>474.8</v>
          </cell>
          <cell r="J107">
            <v>20.399999999999999</v>
          </cell>
          <cell r="L107">
            <v>28.9</v>
          </cell>
          <cell r="R107">
            <v>1132.0000000000002</v>
          </cell>
          <cell r="T107" t="str">
            <v xml:space="preserve"> 1QA</v>
          </cell>
          <cell r="U107">
            <v>9.02</v>
          </cell>
          <cell r="V107">
            <v>75.239999999999995</v>
          </cell>
          <cell r="W107">
            <v>84.259999999999991</v>
          </cell>
          <cell r="Y107">
            <v>5.2</v>
          </cell>
          <cell r="Z107">
            <v>31.8</v>
          </cell>
          <cell r="AA107">
            <v>59.2</v>
          </cell>
          <cell r="AB107">
            <v>55.7</v>
          </cell>
          <cell r="AD107">
            <v>235.95999999999998</v>
          </cell>
          <cell r="AF107">
            <v>30.4</v>
          </cell>
          <cell r="AG107">
            <v>111.1</v>
          </cell>
          <cell r="AM107">
            <v>83.3</v>
          </cell>
          <cell r="AN107">
            <v>18</v>
          </cell>
          <cell r="AO107">
            <v>101.3</v>
          </cell>
          <cell r="AU107" t="str">
            <v xml:space="preserve"> 1QA</v>
          </cell>
          <cell r="AV107">
            <v>71.599999999999994</v>
          </cell>
          <cell r="AX107">
            <v>161.1</v>
          </cell>
          <cell r="AY107">
            <v>135.5</v>
          </cell>
          <cell r="AZ107">
            <v>296.70000000000005</v>
          </cell>
          <cell r="BB107">
            <v>43.6</v>
          </cell>
          <cell r="BD107">
            <v>16.25</v>
          </cell>
          <cell r="BF107">
            <v>38.6</v>
          </cell>
          <cell r="BG107">
            <v>33.4</v>
          </cell>
          <cell r="BH107">
            <v>72.099999999999994</v>
          </cell>
          <cell r="BI107">
            <v>500.25000000000011</v>
          </cell>
          <cell r="BK107">
            <v>48.8</v>
          </cell>
          <cell r="BL107">
            <v>23.9</v>
          </cell>
          <cell r="BM107">
            <v>72.699999999999989</v>
          </cell>
          <cell r="BO107">
            <v>78.8</v>
          </cell>
          <cell r="BP107">
            <v>59.9</v>
          </cell>
          <cell r="BQ107">
            <v>138.69999999999999</v>
          </cell>
          <cell r="BS107">
            <v>5.3</v>
          </cell>
          <cell r="BT107">
            <v>144</v>
          </cell>
          <cell r="BV107">
            <v>0</v>
          </cell>
          <cell r="BX107">
            <v>54.000000000000007</v>
          </cell>
          <cell r="BY107">
            <v>2381.71</v>
          </cell>
          <cell r="BZ107">
            <v>160.1</v>
          </cell>
          <cell r="CA107">
            <v>2541.81</v>
          </cell>
        </row>
        <row r="108">
          <cell r="A108" t="str">
            <v xml:space="preserve"> 2QA</v>
          </cell>
          <cell r="B108">
            <v>539.79999999999995</v>
          </cell>
          <cell r="C108">
            <v>87.6</v>
          </cell>
          <cell r="D108">
            <v>627.4</v>
          </cell>
          <cell r="F108">
            <v>396.6</v>
          </cell>
          <cell r="G108">
            <v>154.1</v>
          </cell>
          <cell r="H108">
            <v>550.70000000000005</v>
          </cell>
          <cell r="J108">
            <v>20.100000000000001</v>
          </cell>
          <cell r="L108">
            <v>33.5</v>
          </cell>
          <cell r="R108">
            <v>1231.6999999999998</v>
          </cell>
          <cell r="T108" t="str">
            <v xml:space="preserve"> 2QA</v>
          </cell>
          <cell r="U108">
            <v>4.5</v>
          </cell>
          <cell r="V108">
            <v>65.28</v>
          </cell>
          <cell r="W108">
            <v>69.78</v>
          </cell>
          <cell r="Y108">
            <v>2.8</v>
          </cell>
          <cell r="Z108">
            <v>29.3</v>
          </cell>
          <cell r="AA108">
            <v>54.7</v>
          </cell>
          <cell r="AB108">
            <v>56.5</v>
          </cell>
          <cell r="AD108">
            <v>213.08</v>
          </cell>
          <cell r="AF108">
            <v>21.5</v>
          </cell>
          <cell r="AG108">
            <v>104.5</v>
          </cell>
          <cell r="AM108">
            <v>112</v>
          </cell>
          <cell r="AN108">
            <v>21.8</v>
          </cell>
          <cell r="AO108">
            <v>133.70000000000002</v>
          </cell>
          <cell r="AU108" t="str">
            <v xml:space="preserve"> 2QA</v>
          </cell>
          <cell r="AV108">
            <v>75</v>
          </cell>
          <cell r="AX108">
            <v>135.6</v>
          </cell>
          <cell r="AY108">
            <v>129.4</v>
          </cell>
          <cell r="AZ108">
            <v>265</v>
          </cell>
          <cell r="BB108">
            <v>75.2</v>
          </cell>
          <cell r="BD108">
            <v>23.149999999999991</v>
          </cell>
          <cell r="BF108">
            <v>39.799999999999997</v>
          </cell>
          <cell r="BG108">
            <v>36.869999999999997</v>
          </cell>
          <cell r="BH108">
            <v>76.669999999999987</v>
          </cell>
          <cell r="BI108">
            <v>515.02</v>
          </cell>
          <cell r="BK108">
            <v>50</v>
          </cell>
          <cell r="BL108">
            <v>35.6</v>
          </cell>
          <cell r="BM108">
            <v>85.6</v>
          </cell>
          <cell r="BO108">
            <v>49.1</v>
          </cell>
          <cell r="BP108">
            <v>58.9</v>
          </cell>
          <cell r="BQ108">
            <v>107.9</v>
          </cell>
          <cell r="BS108">
            <v>6.2</v>
          </cell>
          <cell r="BT108">
            <v>114.10000000000001</v>
          </cell>
          <cell r="BV108">
            <v>0</v>
          </cell>
          <cell r="BX108">
            <v>47.6</v>
          </cell>
          <cell r="BY108">
            <v>2466.7999999999997</v>
          </cell>
          <cell r="BZ108">
            <v>154.60000000000002</v>
          </cell>
          <cell r="CA108">
            <v>2621.3999999999996</v>
          </cell>
        </row>
        <row r="109">
          <cell r="A109" t="str">
            <v xml:space="preserve"> 3QA</v>
          </cell>
          <cell r="B109">
            <v>598.70000000000005</v>
          </cell>
          <cell r="C109">
            <v>81.400000000000006</v>
          </cell>
          <cell r="D109">
            <v>680.1</v>
          </cell>
          <cell r="F109">
            <v>474.6</v>
          </cell>
          <cell r="G109">
            <v>170.3</v>
          </cell>
          <cell r="H109">
            <v>644.90000000000009</v>
          </cell>
          <cell r="J109">
            <v>21.2</v>
          </cell>
          <cell r="L109">
            <v>36.6</v>
          </cell>
          <cell r="R109">
            <v>1382.8</v>
          </cell>
          <cell r="T109" t="str">
            <v xml:space="preserve"> 3QA</v>
          </cell>
          <cell r="U109">
            <v>4</v>
          </cell>
          <cell r="V109">
            <v>52.4</v>
          </cell>
          <cell r="W109">
            <v>56.4</v>
          </cell>
          <cell r="Y109">
            <v>1.3</v>
          </cell>
          <cell r="Z109">
            <v>28.1</v>
          </cell>
          <cell r="AA109">
            <v>53.5</v>
          </cell>
          <cell r="AB109">
            <v>45.5</v>
          </cell>
          <cell r="AD109">
            <v>184.8</v>
          </cell>
          <cell r="AF109">
            <v>18.7</v>
          </cell>
          <cell r="AG109">
            <v>97.7</v>
          </cell>
          <cell r="AM109">
            <v>119.3</v>
          </cell>
          <cell r="AN109">
            <v>22.2</v>
          </cell>
          <cell r="AO109">
            <v>141.5</v>
          </cell>
          <cell r="AU109" t="str">
            <v xml:space="preserve"> 3QA</v>
          </cell>
          <cell r="AV109">
            <v>78.099999999999994</v>
          </cell>
          <cell r="AX109">
            <v>166.3</v>
          </cell>
          <cell r="AY109">
            <v>116.3</v>
          </cell>
          <cell r="AZ109">
            <v>282.60000000000002</v>
          </cell>
          <cell r="BB109">
            <v>61</v>
          </cell>
          <cell r="BD109">
            <v>15.75</v>
          </cell>
          <cell r="BF109">
            <v>50.9</v>
          </cell>
          <cell r="BG109">
            <v>39.67</v>
          </cell>
          <cell r="BH109">
            <v>90.57</v>
          </cell>
          <cell r="BI109">
            <v>528.02</v>
          </cell>
          <cell r="BK109">
            <v>52.6</v>
          </cell>
          <cell r="BL109">
            <v>26.87</v>
          </cell>
          <cell r="BM109">
            <v>79.47</v>
          </cell>
          <cell r="BO109">
            <v>92.8</v>
          </cell>
          <cell r="BP109">
            <v>62.3</v>
          </cell>
          <cell r="BQ109">
            <v>155.1</v>
          </cell>
          <cell r="BS109">
            <v>5.4</v>
          </cell>
          <cell r="BT109">
            <v>160.5</v>
          </cell>
          <cell r="BV109">
            <v>0</v>
          </cell>
          <cell r="BX109">
            <v>50.699999999999996</v>
          </cell>
          <cell r="BY109">
            <v>2644.1899999999996</v>
          </cell>
          <cell r="BZ109">
            <v>167.6</v>
          </cell>
          <cell r="CA109">
            <v>2811.7899999999995</v>
          </cell>
        </row>
        <row r="110">
          <cell r="A110" t="str">
            <v xml:space="preserve"> 4QA</v>
          </cell>
          <cell r="B110">
            <v>586.20000000000005</v>
          </cell>
          <cell r="C110">
            <v>83.65</v>
          </cell>
          <cell r="D110">
            <v>669.85</v>
          </cell>
          <cell r="F110">
            <v>519.1</v>
          </cell>
          <cell r="G110">
            <v>176.7</v>
          </cell>
          <cell r="H110">
            <v>695.8</v>
          </cell>
          <cell r="J110">
            <v>20.2</v>
          </cell>
          <cell r="L110">
            <v>41.3</v>
          </cell>
          <cell r="R110">
            <v>1427.15</v>
          </cell>
          <cell r="T110" t="str">
            <v xml:space="preserve"> 4QA</v>
          </cell>
          <cell r="U110">
            <v>8.6</v>
          </cell>
          <cell r="V110">
            <v>73.099999999999994</v>
          </cell>
          <cell r="W110">
            <v>81.699999999999989</v>
          </cell>
          <cell r="Y110">
            <v>2.7</v>
          </cell>
          <cell r="Z110">
            <v>33</v>
          </cell>
          <cell r="AA110">
            <v>48.4</v>
          </cell>
          <cell r="AB110">
            <v>63.5</v>
          </cell>
          <cell r="AD110">
            <v>229.29999999999998</v>
          </cell>
          <cell r="AF110">
            <v>16.899999999999999</v>
          </cell>
          <cell r="AG110">
            <v>105.6</v>
          </cell>
          <cell r="AM110">
            <v>119.2</v>
          </cell>
          <cell r="AN110">
            <v>26.5</v>
          </cell>
          <cell r="AO110">
            <v>145.69999999999999</v>
          </cell>
          <cell r="AU110" t="str">
            <v xml:space="preserve"> 4QA</v>
          </cell>
          <cell r="AV110">
            <v>78.599999999999994</v>
          </cell>
          <cell r="AX110">
            <v>167.3</v>
          </cell>
          <cell r="AY110">
            <v>125.8</v>
          </cell>
          <cell r="AZ110">
            <v>293.10000000000002</v>
          </cell>
          <cell r="BB110">
            <v>44.2</v>
          </cell>
          <cell r="BD110">
            <v>17.449999999999996</v>
          </cell>
          <cell r="BF110">
            <v>66.400000000000006</v>
          </cell>
          <cell r="BG110">
            <v>44.5</v>
          </cell>
          <cell r="BH110">
            <v>110.9</v>
          </cell>
          <cell r="BI110">
            <v>544.25</v>
          </cell>
          <cell r="BK110">
            <v>64.599999999999994</v>
          </cell>
          <cell r="BL110">
            <v>23.9</v>
          </cell>
          <cell r="BM110">
            <v>88.5</v>
          </cell>
          <cell r="BO110">
            <v>95.2</v>
          </cell>
          <cell r="BP110">
            <v>65</v>
          </cell>
          <cell r="BQ110">
            <v>160.19999999999999</v>
          </cell>
          <cell r="BS110">
            <v>4.5</v>
          </cell>
          <cell r="BT110">
            <v>164.7</v>
          </cell>
          <cell r="BV110">
            <v>0</v>
          </cell>
          <cell r="BX110">
            <v>56.400000000000006</v>
          </cell>
          <cell r="BY110">
            <v>2778.5</v>
          </cell>
          <cell r="BZ110">
            <v>199.70000000000002</v>
          </cell>
          <cell r="CA110">
            <v>2978.2</v>
          </cell>
        </row>
        <row r="112">
          <cell r="A112" t="str">
            <v>YearA</v>
          </cell>
          <cell r="B112">
            <v>2232.6999999999998</v>
          </cell>
          <cell r="C112">
            <v>352.44999999999993</v>
          </cell>
          <cell r="D112">
            <v>2585.25</v>
          </cell>
          <cell r="F112">
            <v>1690.1</v>
          </cell>
          <cell r="G112">
            <v>676.1</v>
          </cell>
          <cell r="H112">
            <v>2366.1999999999998</v>
          </cell>
          <cell r="J112">
            <v>81.900000000000006</v>
          </cell>
          <cell r="L112">
            <v>140.30000000000001</v>
          </cell>
          <cell r="R112">
            <v>5173.6499999999996</v>
          </cell>
          <cell r="T112" t="str">
            <v>YearA</v>
          </cell>
          <cell r="U112">
            <v>26.119999999999997</v>
          </cell>
          <cell r="V112">
            <v>266.02</v>
          </cell>
          <cell r="W112">
            <v>292.14</v>
          </cell>
          <cell r="Y112">
            <v>12</v>
          </cell>
          <cell r="Z112">
            <v>122.2</v>
          </cell>
          <cell r="AA112">
            <v>215.8</v>
          </cell>
          <cell r="AB112">
            <v>221.2</v>
          </cell>
          <cell r="AD112">
            <v>863.13999999999987</v>
          </cell>
          <cell r="AF112">
            <v>87.5</v>
          </cell>
          <cell r="AG112">
            <v>418.9</v>
          </cell>
          <cell r="AM112">
            <v>433.8</v>
          </cell>
          <cell r="AN112">
            <v>88.5</v>
          </cell>
          <cell r="AO112">
            <v>522.20000000000005</v>
          </cell>
          <cell r="AU112" t="str">
            <v>YearA</v>
          </cell>
          <cell r="AV112">
            <v>303.29999999999995</v>
          </cell>
          <cell r="AX112">
            <v>630.29999999999995</v>
          </cell>
          <cell r="AY112">
            <v>507</v>
          </cell>
          <cell r="AZ112">
            <v>1137.4000000000001</v>
          </cell>
          <cell r="BB112">
            <v>224</v>
          </cell>
          <cell r="BD112">
            <v>72.599999999999994</v>
          </cell>
          <cell r="BF112">
            <v>195.70000000000002</v>
          </cell>
          <cell r="BG112">
            <v>154.44</v>
          </cell>
          <cell r="BH112">
            <v>350.24</v>
          </cell>
          <cell r="BI112">
            <v>2087.54</v>
          </cell>
          <cell r="BK112">
            <v>216</v>
          </cell>
          <cell r="BL112">
            <v>110.27000000000001</v>
          </cell>
          <cell r="BM112">
            <v>326.27</v>
          </cell>
          <cell r="BO112">
            <v>315.89999999999998</v>
          </cell>
          <cell r="BP112">
            <v>246.1</v>
          </cell>
          <cell r="BQ112">
            <v>561.79999999999995</v>
          </cell>
          <cell r="BS112">
            <v>21.4</v>
          </cell>
          <cell r="BT112">
            <v>583.29999999999995</v>
          </cell>
          <cell r="BV112">
            <v>0</v>
          </cell>
          <cell r="BX112">
            <v>208.70000000000002</v>
          </cell>
          <cell r="BY112">
            <v>10271.199999999999</v>
          </cell>
          <cell r="BZ112">
            <v>682.00000000000011</v>
          </cell>
          <cell r="CA112">
            <v>10953.199999999999</v>
          </cell>
        </row>
        <row r="114">
          <cell r="A114" t="str">
            <v>2001/00</v>
          </cell>
          <cell r="T114" t="str">
            <v>2001/00</v>
          </cell>
          <cell r="AU114" t="str">
            <v>2001/00</v>
          </cell>
        </row>
        <row r="115">
          <cell r="A115" t="str">
            <v xml:space="preserve"> 1QA</v>
          </cell>
          <cell r="B115">
            <v>6.5944881889763884E-2</v>
          </cell>
          <cell r="C115">
            <v>-0.18436873747494986</v>
          </cell>
          <cell r="D115">
            <v>2.4675111037999686E-2</v>
          </cell>
          <cell r="F115">
            <v>0.50333555703802535</v>
          </cell>
          <cell r="G115">
            <v>6.5142857142857169E-2</v>
          </cell>
          <cell r="H115">
            <v>0.34182813816343716</v>
          </cell>
          <cell r="I115" t="e">
            <v>#DIV/0!</v>
          </cell>
          <cell r="J115">
            <v>9.3137254901960898E-2</v>
          </cell>
          <cell r="K115" t="e">
            <v>#DIV/0!</v>
          </cell>
          <cell r="L115">
            <v>0.21107266435986172</v>
          </cell>
          <cell r="M115" t="e">
            <v>#DIV/0!</v>
          </cell>
          <cell r="R115">
            <v>0.16369257950530014</v>
          </cell>
          <cell r="T115" t="str">
            <v xml:space="preserve"> 1QA</v>
          </cell>
          <cell r="U115">
            <v>-0.85587583148558755</v>
          </cell>
          <cell r="V115">
            <v>-9.4896331738437034E-2</v>
          </cell>
          <cell r="W115">
            <v>-0.17635888915262288</v>
          </cell>
          <cell r="Y115">
            <v>-0.13461538461538469</v>
          </cell>
          <cell r="Z115">
            <v>-0.53144654088050314</v>
          </cell>
          <cell r="AA115">
            <v>-1.8581081081081141E-2</v>
          </cell>
          <cell r="AB115">
            <v>-0.2459605026929983</v>
          </cell>
          <cell r="AD115">
            <v>-0.19944058314968627</v>
          </cell>
          <cell r="AF115">
            <v>-0.51973684210526316</v>
          </cell>
          <cell r="AG115">
            <v>-3.6003600360035026E-3</v>
          </cell>
          <cell r="AM115">
            <v>0.44417767106842732</v>
          </cell>
          <cell r="AN115">
            <v>0.60000000000000009</v>
          </cell>
          <cell r="AO115">
            <v>0.4718657453109576</v>
          </cell>
          <cell r="AU115" t="str">
            <v xml:space="preserve"> 1QA</v>
          </cell>
          <cell r="AV115">
            <v>3.6312849162011274E-2</v>
          </cell>
          <cell r="AX115">
            <v>-4.2830540037243958E-2</v>
          </cell>
          <cell r="AY115">
            <v>-0.12029520295202945</v>
          </cell>
          <cell r="AZ115">
            <v>-7.8530502190765294E-2</v>
          </cell>
          <cell r="BB115">
            <v>0.46788990825688059</v>
          </cell>
          <cell r="BD115">
            <v>0.24923076923076914</v>
          </cell>
          <cell r="BF115">
            <v>0.99222797927461137</v>
          </cell>
          <cell r="BG115">
            <v>0.44610778443113763</v>
          </cell>
          <cell r="BH115">
            <v>0.73647711511789193</v>
          </cell>
          <cell r="BI115">
            <v>0.1136431784107943</v>
          </cell>
          <cell r="BK115">
            <v>-0.11270491803278693</v>
          </cell>
          <cell r="BL115">
            <v>0.35983263598326376</v>
          </cell>
          <cell r="BM115">
            <v>4.2640990371389353E-2</v>
          </cell>
          <cell r="BO115">
            <v>0.28807106598984777</v>
          </cell>
          <cell r="BP115">
            <v>0.21035058430717868</v>
          </cell>
          <cell r="BQ115">
            <v>0.25450612833453512</v>
          </cell>
          <cell r="BS115">
            <v>-0.28301886792452835</v>
          </cell>
          <cell r="BT115">
            <v>0.23472222222222228</v>
          </cell>
          <cell r="BV115" t="str">
            <v>NM</v>
          </cell>
          <cell r="BX115">
            <v>-0.1425925925925926</v>
          </cell>
          <cell r="BY115">
            <v>0.10743961271523417</v>
          </cell>
          <cell r="BZ115">
            <v>4.9968769519050493E-2</v>
          </cell>
          <cell r="CA115">
            <v>0.10381971901912435</v>
          </cell>
        </row>
        <row r="116">
          <cell r="A116" t="str">
            <v xml:space="preserve"> 2QA</v>
          </cell>
          <cell r="B116">
            <v>0.12189699888847727</v>
          </cell>
          <cell r="C116">
            <v>-1.0273972602739656E-2</v>
          </cell>
          <cell r="D116">
            <v>0.10344277972585281</v>
          </cell>
          <cell r="F116">
            <v>0.31921331316187596</v>
          </cell>
          <cell r="G116">
            <v>0.38481505515898773</v>
          </cell>
          <cell r="H116">
            <v>0.33757036499001258</v>
          </cell>
          <cell r="J116">
            <v>0.19900497512437809</v>
          </cell>
          <cell r="L116">
            <v>8.6567164179104372E-2</v>
          </cell>
          <cell r="R116">
            <v>0.20922302508727797</v>
          </cell>
          <cell r="T116" t="str">
            <v xml:space="preserve"> 2QA</v>
          </cell>
          <cell r="U116">
            <v>-0.57777777777777772</v>
          </cell>
          <cell r="V116">
            <v>-0.22947303921568629</v>
          </cell>
          <cell r="W116">
            <v>-0.25193465176268282</v>
          </cell>
          <cell r="Y116">
            <v>-0.75</v>
          </cell>
          <cell r="Z116">
            <v>-0.29351535836177478</v>
          </cell>
          <cell r="AA116">
            <v>2.5594149908592323E-2</v>
          </cell>
          <cell r="AB116">
            <v>-7.2566371681415998E-2</v>
          </cell>
          <cell r="AD116">
            <v>-0.14539140229021974</v>
          </cell>
          <cell r="AF116">
            <v>-0.32093023255813957</v>
          </cell>
          <cell r="AG116">
            <v>5.3588516746411408E-2</v>
          </cell>
          <cell r="AM116">
            <v>0.1875</v>
          </cell>
          <cell r="AN116">
            <v>0.55963302752293576</v>
          </cell>
          <cell r="AO116">
            <v>0.24906507105459963</v>
          </cell>
          <cell r="AU116" t="str">
            <v xml:space="preserve"> 2QA</v>
          </cell>
          <cell r="AV116">
            <v>5.0666666666666638E-2</v>
          </cell>
          <cell r="AX116">
            <v>3.2448377581121068E-2</v>
          </cell>
          <cell r="AY116">
            <v>-3.6321483771251994E-2</v>
          </cell>
          <cell r="AZ116">
            <v>-1.1320754716981352E-3</v>
          </cell>
          <cell r="BB116">
            <v>0.79521276595744683</v>
          </cell>
          <cell r="BD116">
            <v>-0.28293736501079914</v>
          </cell>
          <cell r="BF116">
            <v>1.2437185929648242</v>
          </cell>
          <cell r="BG116">
            <v>0.52698671006238129</v>
          </cell>
          <cell r="BH116">
            <v>0.89904786748402277</v>
          </cell>
          <cell r="BI116">
            <v>0.24402935808318138</v>
          </cell>
          <cell r="BK116">
            <v>1.6000000000000014E-2</v>
          </cell>
          <cell r="BL116">
            <v>-0.45505617977528101</v>
          </cell>
          <cell r="BM116">
            <v>-0.17990654205607481</v>
          </cell>
          <cell r="BO116">
            <v>0.80855397148676156</v>
          </cell>
          <cell r="BP116">
            <v>0.22241086587436332</v>
          </cell>
          <cell r="BQ116">
            <v>0.49026876737720104</v>
          </cell>
          <cell r="BS116">
            <v>-0.38709677419354849</v>
          </cell>
          <cell r="BT116">
            <v>0.44259421560035062</v>
          </cell>
          <cell r="BV116" t="str">
            <v>NM</v>
          </cell>
          <cell r="BX116">
            <v>-0.23109243697478987</v>
          </cell>
          <cell r="BY116">
            <v>0.16559915680233495</v>
          </cell>
          <cell r="BZ116">
            <v>2.3285899094437124E-2</v>
          </cell>
          <cell r="CA116">
            <v>0.15720607309071477</v>
          </cell>
        </row>
        <row r="117">
          <cell r="A117" t="str">
            <v xml:space="preserve"> 3QA</v>
          </cell>
          <cell r="B117">
            <v>-0.37948889260063479</v>
          </cell>
          <cell r="C117">
            <v>-4.2997542997542992E-2</v>
          </cell>
          <cell r="D117">
            <v>-0.33921482134980152</v>
          </cell>
          <cell r="F117">
            <v>0.21744627054361554</v>
          </cell>
          <cell r="G117">
            <v>0.37756899588960646</v>
          </cell>
          <cell r="H117">
            <v>0.25973019072724424</v>
          </cell>
          <cell r="J117">
            <v>2.8301886792452935E-2</v>
          </cell>
          <cell r="L117">
            <v>-2.4590163934426146E-2</v>
          </cell>
          <cell r="R117">
            <v>-4.5921319062771193E-2</v>
          </cell>
          <cell r="T117" t="str">
            <v xml:space="preserve"> 3QA</v>
          </cell>
          <cell r="U117">
            <v>-0.77500000000000002</v>
          </cell>
          <cell r="V117">
            <v>-8.0152671755725158E-2</v>
          </cell>
          <cell r="W117">
            <v>-0.12943262411347511</v>
          </cell>
          <cell r="Y117">
            <v>-0.15384615384615385</v>
          </cell>
          <cell r="Z117">
            <v>-0.33096085409252674</v>
          </cell>
          <cell r="AA117">
            <v>-0.108411214953271</v>
          </cell>
          <cell r="AB117">
            <v>-0.13846153846153841</v>
          </cell>
          <cell r="AD117">
            <v>-0.1563852813852814</v>
          </cell>
          <cell r="AF117">
            <v>-0.39572192513368976</v>
          </cell>
          <cell r="AG117">
            <v>7.5742067553735914E-2</v>
          </cell>
          <cell r="AM117">
            <v>0.24979044425817265</v>
          </cell>
          <cell r="AN117">
            <v>0.53153153153153165</v>
          </cell>
          <cell r="AO117">
            <v>0.29399293286219086</v>
          </cell>
          <cell r="AU117" t="str">
            <v xml:space="preserve"> 3QA</v>
          </cell>
          <cell r="AV117">
            <v>-1.7925736235595235E-2</v>
          </cell>
          <cell r="AX117">
            <v>-0.14251352976548415</v>
          </cell>
          <cell r="AY117">
            <v>-3.6113499570077368E-2</v>
          </cell>
          <cell r="AZ117">
            <v>-9.8726114649681618E-2</v>
          </cell>
          <cell r="BB117">
            <v>0.55737704918032782</v>
          </cell>
          <cell r="BD117">
            <v>0.2000000000000004</v>
          </cell>
          <cell r="BF117">
            <v>1.0825147347740667</v>
          </cell>
          <cell r="BG117">
            <v>0.47214519788253084</v>
          </cell>
          <cell r="BH117">
            <v>0.81517058628685013</v>
          </cell>
          <cell r="BI117">
            <v>0.15469111018522019</v>
          </cell>
          <cell r="BK117">
            <v>-5.1330798479087503E-2</v>
          </cell>
          <cell r="BL117">
            <v>-0.15891328619278</v>
          </cell>
          <cell r="BM117">
            <v>-8.7706052598464868E-2</v>
          </cell>
          <cell r="BO117">
            <v>0.18211206896551735</v>
          </cell>
          <cell r="BP117">
            <v>0.24237560192616381</v>
          </cell>
          <cell r="BQ117">
            <v>0.20631850419084485</v>
          </cell>
          <cell r="BS117">
            <v>-0.22222222222222221</v>
          </cell>
          <cell r="BT117">
            <v>0.19190031152647991</v>
          </cell>
          <cell r="BV117" t="str">
            <v>NM</v>
          </cell>
          <cell r="BX117">
            <v>-0.12623274161735698</v>
          </cell>
          <cell r="BY117">
            <v>1.8270245330328061E-2</v>
          </cell>
          <cell r="BZ117">
            <v>8.5322195704057302E-2</v>
          </cell>
          <cell r="CA117">
            <v>2.2266954502292435E-2</v>
          </cell>
        </row>
        <row r="118">
          <cell r="A118" t="str">
            <v xml:space="preserve"> 4QA</v>
          </cell>
          <cell r="B118">
            <v>-0.76049129989764597</v>
          </cell>
          <cell r="C118">
            <v>1.4943215780035863E-2</v>
          </cell>
          <cell r="D118">
            <v>-0.66365604239755172</v>
          </cell>
          <cell r="F118">
            <v>0.2028510884222692</v>
          </cell>
          <cell r="G118">
            <v>0.56253537068477666</v>
          </cell>
          <cell r="H118">
            <v>0.29419373383156078</v>
          </cell>
          <cell r="J118">
            <v>-9.9009900990099015E-2</v>
          </cell>
          <cell r="L118">
            <v>3.14769975786926E-2</v>
          </cell>
          <cell r="R118">
            <v>-0.16855270994639682</v>
          </cell>
          <cell r="T118" t="str">
            <v xml:space="preserve"> 4QA</v>
          </cell>
          <cell r="U118">
            <v>-0.9883720930232559</v>
          </cell>
          <cell r="V118">
            <v>-0.16826265389876879</v>
          </cell>
          <cell r="W118">
            <v>-0.25458996328029365</v>
          </cell>
          <cell r="Y118">
            <v>0.85185185185185164</v>
          </cell>
          <cell r="Z118">
            <v>-0.22121212121212119</v>
          </cell>
          <cell r="AA118">
            <v>6.1983471074380514E-3</v>
          </cell>
          <cell r="AB118">
            <v>1.4173228346456845E-2</v>
          </cell>
          <cell r="AD118">
            <v>-0.10728303532490169</v>
          </cell>
          <cell r="AF118">
            <v>-0.18343195266272183</v>
          </cell>
          <cell r="AG118">
            <v>-9.4696969696961286E-4</v>
          </cell>
          <cell r="AM118">
            <v>3.8590604026845554E-2</v>
          </cell>
          <cell r="AN118">
            <v>0.58113207547169798</v>
          </cell>
          <cell r="AO118">
            <v>0.13726835964310236</v>
          </cell>
          <cell r="AU118" t="str">
            <v xml:space="preserve"> 4QA</v>
          </cell>
          <cell r="AV118">
            <v>5.5979643765903385E-2</v>
          </cell>
          <cell r="AX118">
            <v>-0.15361625821876876</v>
          </cell>
          <cell r="AY118">
            <v>2.3847376788553032E-3</v>
          </cell>
          <cell r="AZ118">
            <v>-8.665984305697727E-2</v>
          </cell>
          <cell r="BB118">
            <v>0.51583710407239813</v>
          </cell>
          <cell r="BD118">
            <v>0.14613180515759341</v>
          </cell>
          <cell r="BF118">
            <v>0.84337349397590355</v>
          </cell>
          <cell r="BG118">
            <v>0.57977528089887631</v>
          </cell>
          <cell r="BH118">
            <v>0.73760144274120809</v>
          </cell>
          <cell r="BI118">
            <v>0.15829122645842908</v>
          </cell>
          <cell r="BK118">
            <v>-0.34365325077399378</v>
          </cell>
          <cell r="BL118">
            <v>0</v>
          </cell>
          <cell r="BM118">
            <v>-0.25084745762711869</v>
          </cell>
          <cell r="BO118">
            <v>0.23214285714285698</v>
          </cell>
          <cell r="BP118">
            <v>0.28615384615384598</v>
          </cell>
          <cell r="BQ118">
            <v>0.25405742821473143</v>
          </cell>
          <cell r="BS118">
            <v>-2.2222222222222143E-2</v>
          </cell>
          <cell r="BT118">
            <v>0.24650880388585295</v>
          </cell>
          <cell r="BV118" t="str">
            <v>NM</v>
          </cell>
          <cell r="BX118">
            <v>-0.27304964539007104</v>
          </cell>
          <cell r="BY118">
            <v>-4.9667086557494855E-2</v>
          </cell>
          <cell r="BZ118">
            <v>-5.7085628442664071E-2</v>
          </cell>
          <cell r="CA118">
            <v>-5.0164528910079609E-2</v>
          </cell>
        </row>
        <row r="120">
          <cell r="A120" t="str">
            <v>Year</v>
          </cell>
          <cell r="B120">
            <v>-0.25695346441528188</v>
          </cell>
          <cell r="C120">
            <v>-6.1143424599233658E-2</v>
          </cell>
          <cell r="D120">
            <v>-0.2302872062663186</v>
          </cell>
          <cell r="F120">
            <v>0.28755694929294129</v>
          </cell>
          <cell r="G120">
            <v>0.34669427599467528</v>
          </cell>
          <cell r="H120">
            <v>0.30445439945904834</v>
          </cell>
          <cell r="J120">
            <v>5.4945054945054944E-2</v>
          </cell>
          <cell r="L120">
            <v>6.7712045616535987E-2</v>
          </cell>
          <cell r="R120">
            <v>2.6876576498216963E-2</v>
          </cell>
          <cell r="T120" t="str">
            <v>Year</v>
          </cell>
          <cell r="U120">
            <v>-0.83920367534456353</v>
          </cell>
          <cell r="V120">
            <v>-0.1451770543568153</v>
          </cell>
          <cell r="W120">
            <v>-0.20722941055658245</v>
          </cell>
          <cell r="Y120">
            <v>-5.8333333333333272E-2</v>
          </cell>
          <cell r="Z120">
            <v>-0.34451718494271683</v>
          </cell>
          <cell r="AA120">
            <v>-2.409638554216862E-2</v>
          </cell>
          <cell r="AB120">
            <v>-0.10488245931283889</v>
          </cell>
          <cell r="AD120">
            <v>-0.15228120582987678</v>
          </cell>
          <cell r="AF120">
            <v>-0.37828571428571428</v>
          </cell>
          <cell r="AG120">
            <v>2.9840057292910005E-2</v>
          </cell>
          <cell r="AM120">
            <v>0.21300138312586425</v>
          </cell>
          <cell r="AN120">
            <v>0.567231638418079</v>
          </cell>
          <cell r="AO120">
            <v>0.27307545001914979</v>
          </cell>
          <cell r="AU120" t="str">
            <v>Year</v>
          </cell>
          <cell r="AV120">
            <v>3.0992416749093425E-2</v>
          </cell>
          <cell r="AX120">
            <v>-8.2341742027605871E-2</v>
          </cell>
          <cell r="AY120">
            <v>-4.9112426035502914E-2</v>
          </cell>
          <cell r="AZ120">
            <v>-6.7610339370494182E-2</v>
          </cell>
          <cell r="BB120">
            <v>0.6116071428571429</v>
          </cell>
          <cell r="BD120">
            <v>4.5454545454545421E-2</v>
          </cell>
          <cell r="BF120">
            <v>1.0163515585079201</v>
          </cell>
          <cell r="BG120">
            <v>0.51061901061901072</v>
          </cell>
          <cell r="BH120">
            <v>0.792485153037917</v>
          </cell>
          <cell r="BI120">
            <v>0.16783390976939369</v>
          </cell>
          <cell r="BK120">
            <v>-0.13703703703703701</v>
          </cell>
          <cell r="BL120">
            <v>-0.10764487167860709</v>
          </cell>
          <cell r="BM120">
            <v>-0.12740981395776502</v>
          </cell>
          <cell r="BO120">
            <v>0.3209876543209878</v>
          </cell>
          <cell r="BP120">
            <v>0.24136529865908171</v>
          </cell>
          <cell r="BQ120">
            <v>0.28640085439658258</v>
          </cell>
          <cell r="BS120">
            <v>-0.25233644859813065</v>
          </cell>
          <cell r="BT120">
            <v>0.2669295388307904</v>
          </cell>
          <cell r="BV120" t="str">
            <v>NM</v>
          </cell>
          <cell r="BX120">
            <v>-0.19405845711547687</v>
          </cell>
          <cell r="BY120">
            <v>5.5942830438507889E-2</v>
          </cell>
          <cell r="BZ120">
            <v>2.1407624633430947E-2</v>
          </cell>
          <cell r="CA120">
            <v>5.3792498995727515E-2</v>
          </cell>
        </row>
        <row r="122">
          <cell r="A122" t="str">
            <v>2001A</v>
          </cell>
          <cell r="T122" t="str">
            <v>2001A</v>
          </cell>
          <cell r="AU122" t="str">
            <v>2001A</v>
          </cell>
        </row>
        <row r="123">
          <cell r="A123" t="str">
            <v xml:space="preserve"> 1QA</v>
          </cell>
          <cell r="B123">
            <v>541.5</v>
          </cell>
          <cell r="C123">
            <v>81.400000000000006</v>
          </cell>
          <cell r="D123">
            <v>622.9</v>
          </cell>
          <cell r="F123">
            <v>450.7</v>
          </cell>
          <cell r="G123">
            <v>186.4</v>
          </cell>
          <cell r="H123">
            <v>637.1</v>
          </cell>
          <cell r="J123">
            <v>22.3</v>
          </cell>
          <cell r="L123">
            <v>35</v>
          </cell>
          <cell r="R123">
            <v>1317.3</v>
          </cell>
          <cell r="T123" t="str">
            <v xml:space="preserve"> 1QA</v>
          </cell>
          <cell r="U123">
            <v>1.3</v>
          </cell>
          <cell r="V123">
            <v>68.099999999999994</v>
          </cell>
          <cell r="W123">
            <v>69.399999999999991</v>
          </cell>
          <cell r="Y123">
            <v>4.5</v>
          </cell>
          <cell r="Z123">
            <v>14.9</v>
          </cell>
          <cell r="AA123">
            <v>58.1</v>
          </cell>
          <cell r="AB123">
            <v>42</v>
          </cell>
          <cell r="AD123">
            <v>188.9</v>
          </cell>
          <cell r="AF123">
            <v>14.6</v>
          </cell>
          <cell r="AG123">
            <v>110.7</v>
          </cell>
          <cell r="AI123">
            <v>0</v>
          </cell>
          <cell r="AJ123">
            <v>0</v>
          </cell>
          <cell r="AK123">
            <v>0</v>
          </cell>
          <cell r="AM123">
            <v>120.3</v>
          </cell>
          <cell r="AN123">
            <v>28.8</v>
          </cell>
          <cell r="AO123">
            <v>149.1</v>
          </cell>
          <cell r="AU123" t="str">
            <v xml:space="preserve"> 1QA</v>
          </cell>
          <cell r="AV123">
            <v>74.2</v>
          </cell>
          <cell r="AX123">
            <v>154.19999999999999</v>
          </cell>
          <cell r="AY123">
            <v>119.2</v>
          </cell>
          <cell r="AZ123">
            <v>273.39999999999998</v>
          </cell>
          <cell r="BB123">
            <v>64</v>
          </cell>
          <cell r="BD123">
            <v>20.299999999999997</v>
          </cell>
          <cell r="BF123">
            <v>76.900000000000006</v>
          </cell>
          <cell r="BG123">
            <v>48.3</v>
          </cell>
          <cell r="BH123">
            <v>125.2</v>
          </cell>
          <cell r="BI123">
            <v>557.1</v>
          </cell>
          <cell r="BK123">
            <v>43.3</v>
          </cell>
          <cell r="BL123">
            <v>32.5</v>
          </cell>
          <cell r="BM123">
            <v>75.8</v>
          </cell>
          <cell r="BO123">
            <v>101.5</v>
          </cell>
          <cell r="BP123">
            <v>72.5</v>
          </cell>
          <cell r="BQ123">
            <v>174</v>
          </cell>
          <cell r="BS123">
            <v>3.8</v>
          </cell>
          <cell r="BT123">
            <v>177.8</v>
          </cell>
          <cell r="BV123">
            <v>0</v>
          </cell>
          <cell r="BX123">
            <v>46.300000000000004</v>
          </cell>
          <cell r="BY123">
            <v>2637.6000000000004</v>
          </cell>
          <cell r="BZ123">
            <v>168.1</v>
          </cell>
          <cell r="CA123">
            <v>2805.7000000000003</v>
          </cell>
        </row>
        <row r="124">
          <cell r="A124" t="str">
            <v xml:space="preserve"> 2QA</v>
          </cell>
          <cell r="B124">
            <v>605.6</v>
          </cell>
          <cell r="C124">
            <v>86.7</v>
          </cell>
          <cell r="D124">
            <v>692.30000000000007</v>
          </cell>
          <cell r="F124">
            <v>523.20000000000005</v>
          </cell>
          <cell r="G124">
            <v>213.4</v>
          </cell>
          <cell r="H124">
            <v>736.6</v>
          </cell>
          <cell r="J124">
            <v>24.1</v>
          </cell>
          <cell r="L124">
            <v>36.4</v>
          </cell>
          <cell r="R124">
            <v>1489.4</v>
          </cell>
          <cell r="T124" t="str">
            <v xml:space="preserve"> 2QA</v>
          </cell>
          <cell r="U124">
            <v>1.9</v>
          </cell>
          <cell r="V124">
            <v>50.3</v>
          </cell>
          <cell r="W124">
            <v>52.199999999999996</v>
          </cell>
          <cell r="Y124">
            <v>0.7</v>
          </cell>
          <cell r="Z124">
            <v>20.7</v>
          </cell>
          <cell r="AA124">
            <v>56.1</v>
          </cell>
          <cell r="AB124">
            <v>52.4</v>
          </cell>
          <cell r="AD124">
            <v>182.1</v>
          </cell>
          <cell r="AF124">
            <v>14.6</v>
          </cell>
          <cell r="AG124">
            <v>110.1</v>
          </cell>
          <cell r="AI124">
            <v>0</v>
          </cell>
          <cell r="AJ124">
            <v>0</v>
          </cell>
          <cell r="AK124">
            <v>0</v>
          </cell>
          <cell r="AM124">
            <v>133</v>
          </cell>
          <cell r="AN124">
            <v>34</v>
          </cell>
          <cell r="AO124">
            <v>167</v>
          </cell>
          <cell r="AU124" t="str">
            <v xml:space="preserve"> 2QA</v>
          </cell>
          <cell r="AV124">
            <v>78.8</v>
          </cell>
          <cell r="AX124">
            <v>140</v>
          </cell>
          <cell r="AY124">
            <v>124.7</v>
          </cell>
          <cell r="AZ124">
            <v>264.7</v>
          </cell>
          <cell r="BB124">
            <v>135</v>
          </cell>
          <cell r="BD124">
            <v>16.599999999999994</v>
          </cell>
          <cell r="BF124">
            <v>89.3</v>
          </cell>
          <cell r="BG124">
            <v>56.3</v>
          </cell>
          <cell r="BH124">
            <v>145.6</v>
          </cell>
          <cell r="BI124">
            <v>640.70000000000005</v>
          </cell>
          <cell r="BK124">
            <v>50.8</v>
          </cell>
          <cell r="BL124">
            <v>19.399999999999999</v>
          </cell>
          <cell r="BM124">
            <v>70.199999999999989</v>
          </cell>
          <cell r="BO124">
            <v>88.8</v>
          </cell>
          <cell r="BP124">
            <v>72</v>
          </cell>
          <cell r="BQ124">
            <v>160.80000000000001</v>
          </cell>
          <cell r="BS124">
            <v>3.8</v>
          </cell>
          <cell r="BT124">
            <v>164.60000000000002</v>
          </cell>
          <cell r="BV124">
            <v>0</v>
          </cell>
          <cell r="BX124">
            <v>36.6</v>
          </cell>
          <cell r="BY124">
            <v>2875.2999999999993</v>
          </cell>
          <cell r="BZ124">
            <v>158.19999999999999</v>
          </cell>
          <cell r="CA124">
            <v>3033.4999999999991</v>
          </cell>
        </row>
        <row r="125">
          <cell r="A125" t="str">
            <v xml:space="preserve"> 3QA</v>
          </cell>
          <cell r="B125">
            <v>371.5</v>
          </cell>
          <cell r="C125">
            <v>77.900000000000006</v>
          </cell>
          <cell r="D125">
            <v>449.4</v>
          </cell>
          <cell r="F125">
            <v>577.79999999999995</v>
          </cell>
          <cell r="G125">
            <v>234.6</v>
          </cell>
          <cell r="H125">
            <v>812.4</v>
          </cell>
          <cell r="J125">
            <v>21.8</v>
          </cell>
          <cell r="L125">
            <v>35.700000000000003</v>
          </cell>
          <cell r="R125">
            <v>1319.3</v>
          </cell>
          <cell r="T125" t="str">
            <v xml:space="preserve"> 3QA</v>
          </cell>
          <cell r="U125">
            <v>0.9</v>
          </cell>
          <cell r="V125">
            <v>48.2</v>
          </cell>
          <cell r="W125">
            <v>49.1</v>
          </cell>
          <cell r="Y125">
            <v>1.1000000000000001</v>
          </cell>
          <cell r="Z125">
            <v>18.8</v>
          </cell>
          <cell r="AA125">
            <v>47.7</v>
          </cell>
          <cell r="AB125">
            <v>39.200000000000003</v>
          </cell>
          <cell r="AD125">
            <v>155.9</v>
          </cell>
          <cell r="AF125">
            <v>11.3</v>
          </cell>
          <cell r="AG125">
            <v>105.1</v>
          </cell>
          <cell r="AI125">
            <v>0</v>
          </cell>
          <cell r="AJ125">
            <v>0</v>
          </cell>
          <cell r="AK125">
            <v>0</v>
          </cell>
          <cell r="AM125">
            <v>149.1</v>
          </cell>
          <cell r="AN125">
            <v>34</v>
          </cell>
          <cell r="AO125">
            <v>183.1</v>
          </cell>
          <cell r="AU125" t="str">
            <v xml:space="preserve"> 3QA</v>
          </cell>
          <cell r="AV125">
            <v>76.7</v>
          </cell>
          <cell r="AX125">
            <v>142.6</v>
          </cell>
          <cell r="AY125">
            <v>112.1</v>
          </cell>
          <cell r="AZ125">
            <v>254.7</v>
          </cell>
          <cell r="BB125">
            <v>95</v>
          </cell>
          <cell r="BD125">
            <v>18.900000000000006</v>
          </cell>
          <cell r="BF125">
            <v>106</v>
          </cell>
          <cell r="BG125">
            <v>58.4</v>
          </cell>
          <cell r="BH125">
            <v>164.4</v>
          </cell>
          <cell r="BI125">
            <v>609.69999999999993</v>
          </cell>
          <cell r="BK125">
            <v>49.9</v>
          </cell>
          <cell r="BL125">
            <v>22.6</v>
          </cell>
          <cell r="BM125">
            <v>72.5</v>
          </cell>
          <cell r="BO125">
            <v>109.7</v>
          </cell>
          <cell r="BP125">
            <v>77.400000000000006</v>
          </cell>
          <cell r="BQ125">
            <v>187.10000000000002</v>
          </cell>
          <cell r="BS125">
            <v>4.2</v>
          </cell>
          <cell r="BT125">
            <v>191.3</v>
          </cell>
          <cell r="BV125">
            <v>0</v>
          </cell>
          <cell r="BX125">
            <v>44.3</v>
          </cell>
          <cell r="BY125">
            <v>2692.5</v>
          </cell>
          <cell r="BZ125">
            <v>181.9</v>
          </cell>
          <cell r="CA125">
            <v>2874.4</v>
          </cell>
        </row>
        <row r="126">
          <cell r="A126" t="str">
            <v xml:space="preserve"> 4QA</v>
          </cell>
          <cell r="B126">
            <v>140.4</v>
          </cell>
          <cell r="C126">
            <v>84.9</v>
          </cell>
          <cell r="D126">
            <v>225.3</v>
          </cell>
          <cell r="F126">
            <v>624.4</v>
          </cell>
          <cell r="G126">
            <v>276.10000000000002</v>
          </cell>
          <cell r="H126">
            <v>900.5</v>
          </cell>
          <cell r="J126">
            <v>18.2</v>
          </cell>
          <cell r="L126">
            <v>42.6</v>
          </cell>
          <cell r="R126">
            <v>1186.5999999999999</v>
          </cell>
          <cell r="T126" t="str">
            <v xml:space="preserve"> 4QA</v>
          </cell>
          <cell r="U126">
            <v>0.1</v>
          </cell>
          <cell r="V126">
            <v>60.8</v>
          </cell>
          <cell r="W126">
            <v>60.9</v>
          </cell>
          <cell r="Y126">
            <v>5</v>
          </cell>
          <cell r="Z126">
            <v>25.7</v>
          </cell>
          <cell r="AA126">
            <v>48.7</v>
          </cell>
          <cell r="AB126">
            <v>64.400000000000006</v>
          </cell>
          <cell r="AD126">
            <v>204.70000000000002</v>
          </cell>
          <cell r="AF126">
            <v>13.8</v>
          </cell>
          <cell r="AG126">
            <v>105.5</v>
          </cell>
          <cell r="AI126">
            <v>21.1</v>
          </cell>
          <cell r="AJ126">
            <v>0.1</v>
          </cell>
          <cell r="AK126">
            <v>21.200000000000003</v>
          </cell>
          <cell r="AM126">
            <v>123.8</v>
          </cell>
          <cell r="AN126">
            <v>41.9</v>
          </cell>
          <cell r="AO126">
            <v>165.7</v>
          </cell>
          <cell r="AU126" t="str">
            <v xml:space="preserve"> 4QA</v>
          </cell>
          <cell r="AV126">
            <v>83</v>
          </cell>
          <cell r="AX126">
            <v>141.6</v>
          </cell>
          <cell r="AY126">
            <v>126.1</v>
          </cell>
          <cell r="AZ126">
            <v>267.7</v>
          </cell>
          <cell r="BB126">
            <v>67</v>
          </cell>
          <cell r="BD126">
            <v>20</v>
          </cell>
          <cell r="BF126">
            <v>122.4</v>
          </cell>
          <cell r="BG126">
            <v>70.3</v>
          </cell>
          <cell r="BH126">
            <v>192.7</v>
          </cell>
          <cell r="BI126">
            <v>630.4</v>
          </cell>
          <cell r="BK126">
            <v>42.4</v>
          </cell>
          <cell r="BL126">
            <v>23.9</v>
          </cell>
          <cell r="BM126">
            <v>66.3</v>
          </cell>
          <cell r="BO126">
            <v>117.3</v>
          </cell>
          <cell r="BP126">
            <v>83.6</v>
          </cell>
          <cell r="BQ126">
            <v>200.89999999999998</v>
          </cell>
          <cell r="BS126">
            <v>4.4000000000000004</v>
          </cell>
          <cell r="BT126">
            <v>205.29999999999998</v>
          </cell>
          <cell r="BV126">
            <v>0</v>
          </cell>
          <cell r="BX126">
            <v>41</v>
          </cell>
          <cell r="BY126">
            <v>2640.5000000000005</v>
          </cell>
          <cell r="BZ126">
            <v>188.3</v>
          </cell>
          <cell r="CA126">
            <v>2828.8000000000006</v>
          </cell>
        </row>
        <row r="128">
          <cell r="A128" t="str">
            <v>YearA</v>
          </cell>
          <cell r="B128">
            <v>1659</v>
          </cell>
          <cell r="C128">
            <v>330.90000000000003</v>
          </cell>
          <cell r="D128">
            <v>1989.8999999999999</v>
          </cell>
          <cell r="F128">
            <v>2176.1</v>
          </cell>
          <cell r="G128">
            <v>910.5</v>
          </cell>
          <cell r="H128">
            <v>3086.6</v>
          </cell>
          <cell r="J128">
            <v>86.4</v>
          </cell>
          <cell r="L128">
            <v>149.80000000000001</v>
          </cell>
          <cell r="R128">
            <v>5312.7</v>
          </cell>
          <cell r="T128" t="str">
            <v>YearA</v>
          </cell>
          <cell r="U128">
            <v>4.2</v>
          </cell>
          <cell r="V128">
            <v>227.39999999999998</v>
          </cell>
          <cell r="W128">
            <v>231.6</v>
          </cell>
          <cell r="Y128">
            <v>11.3</v>
          </cell>
          <cell r="Z128">
            <v>80.100000000000009</v>
          </cell>
          <cell r="AA128">
            <v>210.60000000000002</v>
          </cell>
          <cell r="AB128">
            <v>198.00000000000003</v>
          </cell>
          <cell r="AD128">
            <v>731.7</v>
          </cell>
          <cell r="AF128">
            <v>54.4</v>
          </cell>
          <cell r="AG128">
            <v>431.4</v>
          </cell>
          <cell r="AI128">
            <v>21.1</v>
          </cell>
          <cell r="AJ128">
            <v>0.1</v>
          </cell>
          <cell r="AK128">
            <v>21.1</v>
          </cell>
          <cell r="AM128">
            <v>526.19999999999993</v>
          </cell>
          <cell r="AN128">
            <v>138.69999999999999</v>
          </cell>
          <cell r="AO128">
            <v>664.80000000000007</v>
          </cell>
          <cell r="AU128" t="str">
            <v>YearA</v>
          </cell>
          <cell r="AV128">
            <v>312.7</v>
          </cell>
          <cell r="AX128">
            <v>578.4</v>
          </cell>
          <cell r="AY128">
            <v>482.1</v>
          </cell>
          <cell r="AZ128">
            <v>1060.5</v>
          </cell>
          <cell r="BB128">
            <v>361</v>
          </cell>
          <cell r="BD128">
            <v>75.899999999999991</v>
          </cell>
          <cell r="BF128">
            <v>394.6</v>
          </cell>
          <cell r="BG128">
            <v>233.3</v>
          </cell>
          <cell r="BH128">
            <v>627.80000000000007</v>
          </cell>
          <cell r="BI128">
            <v>2437.9</v>
          </cell>
          <cell r="BK128">
            <v>186.4</v>
          </cell>
          <cell r="BL128">
            <v>98.4</v>
          </cell>
          <cell r="BM128">
            <v>284.7</v>
          </cell>
          <cell r="BO128">
            <v>417.3</v>
          </cell>
          <cell r="BP128">
            <v>305.5</v>
          </cell>
          <cell r="BQ128">
            <v>722.7</v>
          </cell>
          <cell r="BS128">
            <v>16.000000000000004</v>
          </cell>
          <cell r="BT128">
            <v>739</v>
          </cell>
          <cell r="BV128">
            <v>0</v>
          </cell>
          <cell r="BX128">
            <v>168.2</v>
          </cell>
          <cell r="BY128">
            <v>10845.800000000001</v>
          </cell>
          <cell r="BZ128">
            <v>696.6</v>
          </cell>
          <cell r="CA128">
            <v>11542.400000000001</v>
          </cell>
        </row>
        <row r="130">
          <cell r="A130" t="str">
            <v>2002A/01</v>
          </cell>
          <cell r="T130" t="str">
            <v>2002A/01</v>
          </cell>
          <cell r="AU130" t="str">
            <v>2002A/01</v>
          </cell>
        </row>
        <row r="131">
          <cell r="A131" t="str">
            <v xml:space="preserve"> 1QA</v>
          </cell>
          <cell r="B131">
            <v>-0.79686057248384112</v>
          </cell>
          <cell r="C131">
            <v>-6.3882063882063966E-2</v>
          </cell>
          <cell r="D131">
            <v>-0.70107561406325258</v>
          </cell>
          <cell r="F131">
            <v>0.23163967162192156</v>
          </cell>
          <cell r="G131">
            <v>0.4179184549356223</v>
          </cell>
          <cell r="H131">
            <v>0.28614032334013517</v>
          </cell>
          <cell r="J131">
            <v>-0.33632286995515692</v>
          </cell>
          <cell r="L131">
            <v>-0.12571428571428567</v>
          </cell>
          <cell r="R131">
            <v>-0.2021559249981022</v>
          </cell>
          <cell r="T131" t="str">
            <v xml:space="preserve"> 1QA</v>
          </cell>
          <cell r="U131" t="str">
            <v>NM</v>
          </cell>
          <cell r="V131">
            <v>-0.12481644640234935</v>
          </cell>
          <cell r="W131">
            <v>-0.13400576368876072</v>
          </cell>
          <cell r="Y131">
            <v>-0.1333333333333333</v>
          </cell>
          <cell r="Z131">
            <v>0.28187919463087252</v>
          </cell>
          <cell r="AA131">
            <v>-0.25301204819277112</v>
          </cell>
          <cell r="AB131">
            <v>6.6666666666666652E-2</v>
          </cell>
          <cell r="AD131">
            <v>-9.317098994176809E-2</v>
          </cell>
          <cell r="AF131">
            <v>-0.22602739726027388</v>
          </cell>
          <cell r="AG131">
            <v>-0.17163504968383014</v>
          </cell>
          <cell r="AI131" t="str">
            <v>NM</v>
          </cell>
          <cell r="AJ131" t="str">
            <v>NM</v>
          </cell>
          <cell r="AK131" t="str">
            <v>NM</v>
          </cell>
          <cell r="AM131">
            <v>0.15960099750623447</v>
          </cell>
          <cell r="AN131">
            <v>0.33333333333333326</v>
          </cell>
          <cell r="AO131">
            <v>0.19315895372233416</v>
          </cell>
          <cell r="AU131" t="str">
            <v xml:space="preserve"> 1QA</v>
          </cell>
          <cell r="AV131">
            <v>4.582210242587581E-2</v>
          </cell>
          <cell r="AX131">
            <v>-0.17574578469520097</v>
          </cell>
          <cell r="AY131">
            <v>-9.8993288590603967E-2</v>
          </cell>
          <cell r="AZ131">
            <v>-0.142282370153621</v>
          </cell>
          <cell r="BB131">
            <v>0.15312499999999996</v>
          </cell>
          <cell r="BD131">
            <v>-0.15270935960591125</v>
          </cell>
          <cell r="BF131">
            <v>0.47204161248374499</v>
          </cell>
          <cell r="BG131">
            <v>0.329192546583851</v>
          </cell>
          <cell r="BH131">
            <v>0.41693290734824284</v>
          </cell>
          <cell r="BI131">
            <v>4.2003231017770482E-2</v>
          </cell>
          <cell r="BK131">
            <v>-0.32563510392609696</v>
          </cell>
          <cell r="BL131">
            <v>-0.6</v>
          </cell>
          <cell r="BM131">
            <v>-0.44327176781002631</v>
          </cell>
          <cell r="BO131">
            <v>7.4876847290640258E-2</v>
          </cell>
          <cell r="BP131">
            <v>0.21931034482758638</v>
          </cell>
          <cell r="BQ131">
            <v>0.13505747126436773</v>
          </cell>
          <cell r="BS131">
            <v>5.2631578947368363E-2</v>
          </cell>
          <cell r="BT131">
            <v>0.13329583802024736</v>
          </cell>
          <cell r="BV131" t="str">
            <v>NM</v>
          </cell>
          <cell r="BX131">
            <v>-5.1835853131749543E-2</v>
          </cell>
          <cell r="BY131">
            <v>-9.2622080679405694E-2</v>
          </cell>
          <cell r="BZ131">
            <v>-1.7846519928612636E-3</v>
          </cell>
          <cell r="CA131">
            <v>-8.7179669957586414E-2</v>
          </cell>
        </row>
        <row r="132">
          <cell r="A132" t="str">
            <v xml:space="preserve"> 2QA</v>
          </cell>
          <cell r="B132">
            <v>-0.79425363276089833</v>
          </cell>
          <cell r="C132">
            <v>-0.18915801614763561</v>
          </cell>
          <cell r="D132">
            <v>-0.7184746497183303</v>
          </cell>
          <cell r="F132">
            <v>0.20967125382262974</v>
          </cell>
          <cell r="G132">
            <v>0.28350515463917514</v>
          </cell>
          <cell r="H132">
            <v>0.23106163453706219</v>
          </cell>
          <cell r="J132">
            <v>-0.10373443983402486</v>
          </cell>
          <cell r="L132">
            <v>6.3186813186813406E-2</v>
          </cell>
          <cell r="R132">
            <v>-0.21982006176984037</v>
          </cell>
          <cell r="T132" t="str">
            <v xml:space="preserve"> 2QA</v>
          </cell>
          <cell r="U132" t="str">
            <v>NM</v>
          </cell>
          <cell r="V132">
            <v>-0.12326043737574544</v>
          </cell>
          <cell r="W132">
            <v>-0.15517241379310331</v>
          </cell>
          <cell r="Y132">
            <v>2.1428571428571432</v>
          </cell>
          <cell r="Z132">
            <v>-0.2125603864734299</v>
          </cell>
          <cell r="AA132">
            <v>-0.22103386809269154</v>
          </cell>
          <cell r="AB132">
            <v>-0.30534351145038163</v>
          </cell>
          <cell r="AD132">
            <v>-0.21636463481603507</v>
          </cell>
          <cell r="AF132">
            <v>-0.21232876712328763</v>
          </cell>
          <cell r="AG132">
            <v>-8.2652134423251589E-2</v>
          </cell>
          <cell r="AI132" t="str">
            <v>NM</v>
          </cell>
          <cell r="AJ132" t="str">
            <v>NM</v>
          </cell>
          <cell r="AK132" t="str">
            <v>NM</v>
          </cell>
          <cell r="AM132">
            <v>4.8120300751879785E-2</v>
          </cell>
          <cell r="AN132">
            <v>0.43529411764705883</v>
          </cell>
          <cell r="AO132">
            <v>0.12694610778443116</v>
          </cell>
          <cell r="AU132" t="str">
            <v xml:space="preserve"> 2QA</v>
          </cell>
          <cell r="AV132">
            <v>4.8223350253806974E-2</v>
          </cell>
          <cell r="AX132">
            <v>-4.500000000000004E-2</v>
          </cell>
          <cell r="AY132">
            <v>-6.4153969526864474E-3</v>
          </cell>
          <cell r="AZ132">
            <v>-2.6822818284850669E-2</v>
          </cell>
          <cell r="BB132">
            <v>4.0000000000000036E-2</v>
          </cell>
          <cell r="BD132">
            <v>-0.27710843373493954</v>
          </cell>
          <cell r="BF132">
            <v>0.44680851063829774</v>
          </cell>
          <cell r="BG132">
            <v>0.34103019538188284</v>
          </cell>
          <cell r="BH132">
            <v>0.4059065934065933</v>
          </cell>
          <cell r="BI132">
            <v>8.8340877165600018E-2</v>
          </cell>
          <cell r="BK132">
            <v>-0.96259842519685035</v>
          </cell>
          <cell r="BL132">
            <v>0.40206185567010322</v>
          </cell>
          <cell r="BM132">
            <v>-0.58547008547008539</v>
          </cell>
          <cell r="BO132">
            <v>0.45720720720720731</v>
          </cell>
          <cell r="BP132">
            <v>0.24583333333333335</v>
          </cell>
          <cell r="BQ132">
            <v>0.36256218905472637</v>
          </cell>
          <cell r="BS132">
            <v>-2.631578947368407E-2</v>
          </cell>
          <cell r="BT132">
            <v>0.35358444714459281</v>
          </cell>
          <cell r="BV132" t="str">
            <v>NM</v>
          </cell>
          <cell r="BX132">
            <v>-2.7868852459016269E-2</v>
          </cell>
          <cell r="BY132">
            <v>-9.1301777205856638E-2</v>
          </cell>
          <cell r="BZ132">
            <v>2.6548672566371723E-2</v>
          </cell>
          <cell r="CA132">
            <v>-8.515576067249031E-2</v>
          </cell>
        </row>
        <row r="133">
          <cell r="A133" t="str">
            <v xml:space="preserve"> 3QA</v>
          </cell>
          <cell r="B133">
            <v>-0.67886944818304173</v>
          </cell>
          <cell r="C133">
            <v>-9.3709884467265914E-2</v>
          </cell>
          <cell r="D133">
            <v>-0.57743658210947935</v>
          </cell>
          <cell r="F133">
            <v>0.18241606092073392</v>
          </cell>
          <cell r="G133">
            <v>0.2395566922421144</v>
          </cell>
          <cell r="H133">
            <v>0.19891678975873961</v>
          </cell>
          <cell r="J133">
            <v>-1</v>
          </cell>
          <cell r="L133">
            <v>0.13725490196078427</v>
          </cell>
          <cell r="R133">
            <v>-8.701584173425303E-2</v>
          </cell>
          <cell r="T133" t="str">
            <v xml:space="preserve"> 3QA</v>
          </cell>
          <cell r="U133" t="str">
            <v>NM</v>
          </cell>
          <cell r="V133">
            <v>-0.11825726141078841</v>
          </cell>
          <cell r="W133">
            <v>-0.13238289205702647</v>
          </cell>
          <cell r="Y133">
            <v>-0.54545454545454541</v>
          </cell>
          <cell r="Z133">
            <v>-0.11170212765957455</v>
          </cell>
          <cell r="AA133">
            <v>-0.34171907756813424</v>
          </cell>
          <cell r="AB133">
            <v>-0.1479591836734695</v>
          </cell>
          <cell r="AD133">
            <v>-0.2007697241821681</v>
          </cell>
          <cell r="AF133">
            <v>-9.7345132743362983E-2</v>
          </cell>
          <cell r="AG133">
            <v>-0.1208372978116079</v>
          </cell>
          <cell r="AI133" t="str">
            <v>NM</v>
          </cell>
          <cell r="AJ133" t="str">
            <v>NM</v>
          </cell>
          <cell r="AK133" t="str">
            <v>NM</v>
          </cell>
          <cell r="AM133">
            <v>0.11401743796109987</v>
          </cell>
          <cell r="AN133">
            <v>0.50882352941176467</v>
          </cell>
          <cell r="AO133">
            <v>0.18732932823593651</v>
          </cell>
          <cell r="AU133" t="str">
            <v xml:space="preserve"> 3QA</v>
          </cell>
          <cell r="AV133">
            <v>8.4745762711864403E-2</v>
          </cell>
          <cell r="AX133">
            <v>-8.9761570827489368E-2</v>
          </cell>
          <cell r="AY133">
            <v>0.1382694023193578</v>
          </cell>
          <cell r="AZ133">
            <v>1.0600706713780772E-2</v>
          </cell>
          <cell r="BB133">
            <v>-0.14000000000000001</v>
          </cell>
          <cell r="BD133">
            <v>-4.2328042328042548E-2</v>
          </cell>
          <cell r="BF133">
            <v>0.26132075471698113</v>
          </cell>
          <cell r="BG133">
            <v>0.37671232876712346</v>
          </cell>
          <cell r="BH133">
            <v>0.30231143552311424</v>
          </cell>
          <cell r="BI133">
            <v>7.3478760045924352E-2</v>
          </cell>
          <cell r="BK133">
            <v>-0.72945891783567141</v>
          </cell>
          <cell r="BL133">
            <v>-0.4823008849557523</v>
          </cell>
          <cell r="BM133">
            <v>-0.65241379310344827</v>
          </cell>
          <cell r="BO133">
            <v>-0.15041020966271645</v>
          </cell>
          <cell r="BP133">
            <v>0.34366925064599463</v>
          </cell>
          <cell r="BQ133">
            <v>5.3981827899518775E-2</v>
          </cell>
          <cell r="BS133">
            <v>0.57142857142857117</v>
          </cell>
          <cell r="BT133">
            <v>6.5342394145321281E-2</v>
          </cell>
          <cell r="BV133" t="str">
            <v>NM</v>
          </cell>
          <cell r="BX133">
            <v>0.45146726862302522</v>
          </cell>
          <cell r="BY133">
            <v>-2.766945218198702E-2</v>
          </cell>
          <cell r="BZ133">
            <v>-7.8614623419461349E-2</v>
          </cell>
          <cell r="CA133">
            <v>-3.0893403840801636E-2</v>
          </cell>
        </row>
        <row r="134">
          <cell r="A134" t="str">
            <v xml:space="preserve"> 4QA</v>
          </cell>
          <cell r="B134">
            <v>-0.30341880341880334</v>
          </cell>
          <cell r="C134">
            <v>-0.23439340400471143</v>
          </cell>
          <cell r="D134">
            <v>-0.27740790057700837</v>
          </cell>
          <cell r="F134">
            <v>5.9577194106342102E-2</v>
          </cell>
          <cell r="G134">
            <v>0.18507787033683432</v>
          </cell>
          <cell r="H134">
            <v>9.8056635202665055E-2</v>
          </cell>
          <cell r="J134" t="str">
            <v>NM</v>
          </cell>
          <cell r="L134">
            <v>-1.4084507042253502E-2</v>
          </cell>
          <cell r="R134">
            <v>8.0903421540534648E-3</v>
          </cell>
          <cell r="T134" t="str">
            <v xml:space="preserve"> 4QA</v>
          </cell>
          <cell r="U134" t="str">
            <v>NM</v>
          </cell>
          <cell r="V134">
            <v>-0.16940789473684204</v>
          </cell>
          <cell r="W134">
            <v>-0.16912972085385869</v>
          </cell>
          <cell r="Y134">
            <v>-0.54</v>
          </cell>
          <cell r="Z134">
            <v>-0.1245136186770428</v>
          </cell>
          <cell r="AA134">
            <v>-0.45995893223819306</v>
          </cell>
          <cell r="AB134">
            <v>-0.42701863354037273</v>
          </cell>
          <cell r="AD134">
            <v>-0.32291157791890579</v>
          </cell>
          <cell r="AF134">
            <v>-7.2463768115942018E-2</v>
          </cell>
          <cell r="AG134">
            <v>-6.2559241706161117E-2</v>
          </cell>
          <cell r="AI134">
            <v>0.27488151658767768</v>
          </cell>
          <cell r="AJ134" t="str">
            <v>NM</v>
          </cell>
          <cell r="AK134">
            <v>0.62735849056603743</v>
          </cell>
          <cell r="AM134">
            <v>0.4628432956381261</v>
          </cell>
          <cell r="AN134">
            <v>0.36754176610978528</v>
          </cell>
          <cell r="AO134">
            <v>0.4387447193723597</v>
          </cell>
          <cell r="AU134" t="str">
            <v xml:space="preserve"> 4QA</v>
          </cell>
          <cell r="AV134">
            <v>3.4939759036144658E-2</v>
          </cell>
          <cell r="AX134">
            <v>-0.11864406779661019</v>
          </cell>
          <cell r="AY134">
            <v>2.8548770816811952E-2</v>
          </cell>
          <cell r="AZ134">
            <v>-4.930892790437047E-2</v>
          </cell>
          <cell r="BB134">
            <v>0.43582089552238812</v>
          </cell>
          <cell r="BD134">
            <v>-0.47499999999999998</v>
          </cell>
          <cell r="BF134">
            <v>0.2434640522875815</v>
          </cell>
          <cell r="BG134">
            <v>0.2204836415362732</v>
          </cell>
          <cell r="BH134">
            <v>0.23508043591074212</v>
          </cell>
          <cell r="BI134">
            <v>8.6770304568527745E-2</v>
          </cell>
          <cell r="BK134">
            <v>-1.0070754716981132</v>
          </cell>
          <cell r="BL134">
            <v>-0.30962343096234302</v>
          </cell>
          <cell r="BM134">
            <v>-0.75565610859728505</v>
          </cell>
          <cell r="BO134">
            <v>0.28303495311167959</v>
          </cell>
          <cell r="BP134">
            <v>0.32057416267942607</v>
          </cell>
          <cell r="BQ134">
            <v>0.29865604778496757</v>
          </cell>
          <cell r="BS134">
            <v>-4.5454545454545525E-2</v>
          </cell>
          <cell r="BT134">
            <v>0.29128105211885047</v>
          </cell>
          <cell r="BV134" t="str">
            <v>NM</v>
          </cell>
          <cell r="BX134">
            <v>0.66829268292682942</v>
          </cell>
          <cell r="BY134">
            <v>4.5142965347471753E-2</v>
          </cell>
          <cell r="BZ134">
            <v>4.036112586298457E-2</v>
          </cell>
          <cell r="CA134">
            <v>4.4824660633483671E-2</v>
          </cell>
        </row>
        <row r="136">
          <cell r="A136" t="str">
            <v>2002/01A</v>
          </cell>
          <cell r="B136">
            <v>-0.72772754671488848</v>
          </cell>
          <cell r="C136">
            <v>-0.14747657902689637</v>
          </cell>
          <cell r="D136">
            <v>-0.63123775064073573</v>
          </cell>
          <cell r="F136">
            <v>0.16391709939800569</v>
          </cell>
          <cell r="G136">
            <v>0.26985172981878103</v>
          </cell>
          <cell r="H136">
            <v>0.19516620229378609</v>
          </cell>
          <cell r="J136">
            <v>-0.57870370370370372</v>
          </cell>
          <cell r="K136" t="e">
            <v>#DIV/0!</v>
          </cell>
          <cell r="L136">
            <v>-0.01</v>
          </cell>
          <cell r="R136">
            <v>-0.13157151730758371</v>
          </cell>
          <cell r="T136" t="str">
            <v>2002/01A</v>
          </cell>
          <cell r="U136">
            <v>-0.83333333333333337</v>
          </cell>
          <cell r="V136">
            <v>-0.13500439753737903</v>
          </cell>
          <cell r="W136">
            <v>-0.1476683937823835</v>
          </cell>
          <cell r="Y136">
            <v>-0.21238938053097367</v>
          </cell>
          <cell r="Z136">
            <v>-6.8664169787765239E-2</v>
          </cell>
          <cell r="AA136">
            <v>-0.31244064577397912</v>
          </cell>
          <cell r="AB136">
            <v>-0.23484848484848497</v>
          </cell>
          <cell r="AD136">
            <v>-0.21115211152111521</v>
          </cell>
          <cell r="AF136">
            <v>-0.15808823529411764</v>
          </cell>
          <cell r="AG136">
            <v>-0.10987482614742694</v>
          </cell>
          <cell r="AI136" t="str">
            <v>NM</v>
          </cell>
          <cell r="AJ136" t="str">
            <v>NM</v>
          </cell>
          <cell r="AK136" t="str">
            <v>NM</v>
          </cell>
          <cell r="AM136">
            <v>0.18985176738882581</v>
          </cell>
          <cell r="AN136">
            <v>0.41167988464311489</v>
          </cell>
          <cell r="AO136">
            <v>0.23631167268351386</v>
          </cell>
          <cell r="AU136" t="str">
            <v>2002/01A</v>
          </cell>
          <cell r="AV136">
            <v>5.3086024944035692E-2</v>
          </cell>
          <cell r="AX136">
            <v>-0.1089211618257262</v>
          </cell>
          <cell r="AY136">
            <v>1.3482679941920539E-2</v>
          </cell>
          <cell r="AZ136">
            <v>-5.3276756247053275E-2</v>
          </cell>
          <cell r="BB136">
            <v>8.6149584487534625E-2</v>
          </cell>
          <cell r="BD136">
            <v>-0.23847167325428187</v>
          </cell>
          <cell r="BF136">
            <v>0.33882412569690801</v>
          </cell>
          <cell r="BG136">
            <v>0.3111873124732103</v>
          </cell>
          <cell r="BH136">
            <v>0.32876712328767099</v>
          </cell>
          <cell r="BI136">
            <v>7.3628942942696396E-2</v>
          </cell>
          <cell r="BK136">
            <v>-0.76233905579399142</v>
          </cell>
          <cell r="BL136">
            <v>-0.30487804878048774</v>
          </cell>
          <cell r="BM136">
            <v>-0.60414471373375489</v>
          </cell>
          <cell r="BO136">
            <v>0.15552360412173494</v>
          </cell>
          <cell r="BP136">
            <v>0.28477905073649756</v>
          </cell>
          <cell r="BQ136">
            <v>0.210322402103224</v>
          </cell>
          <cell r="BS136">
            <v>0.15624999999999978</v>
          </cell>
          <cell r="BT136">
            <v>0.20866035182679302</v>
          </cell>
          <cell r="BV136" t="str">
            <v>NM</v>
          </cell>
          <cell r="BX136">
            <v>0.26147443519619529</v>
          </cell>
          <cell r="BY136">
            <v>-4.2598978406387933E-2</v>
          </cell>
          <cell r="BZ136">
            <v>-4.1630778064886131E-3</v>
          </cell>
          <cell r="CA136">
            <v>-4.0279317992791955E-2</v>
          </cell>
        </row>
        <row r="138">
          <cell r="A138" t="str">
            <v>2002A</v>
          </cell>
          <cell r="T138" t="str">
            <v>2002A</v>
          </cell>
          <cell r="AU138" t="str">
            <v>2002A</v>
          </cell>
        </row>
        <row r="139">
          <cell r="A139" t="str">
            <v xml:space="preserve"> 1QA</v>
          </cell>
          <cell r="B139">
            <v>110</v>
          </cell>
          <cell r="C139">
            <v>76.2</v>
          </cell>
          <cell r="D139">
            <v>186.2</v>
          </cell>
          <cell r="F139">
            <v>555.1</v>
          </cell>
          <cell r="G139">
            <v>264.3</v>
          </cell>
          <cell r="H139">
            <v>819.40000000000009</v>
          </cell>
          <cell r="J139">
            <v>14.8</v>
          </cell>
          <cell r="L139">
            <v>30.6</v>
          </cell>
          <cell r="R139">
            <v>1051</v>
          </cell>
          <cell r="T139" t="str">
            <v xml:space="preserve"> 1QA</v>
          </cell>
          <cell r="U139">
            <v>0.5</v>
          </cell>
          <cell r="V139">
            <v>59.6</v>
          </cell>
          <cell r="W139">
            <v>60.1</v>
          </cell>
          <cell r="Y139">
            <v>3.9</v>
          </cell>
          <cell r="Z139">
            <v>19.100000000000001</v>
          </cell>
          <cell r="AA139">
            <v>43.4</v>
          </cell>
          <cell r="AB139">
            <v>44.8</v>
          </cell>
          <cell r="AD139">
            <v>171.3</v>
          </cell>
          <cell r="AF139">
            <v>11.3</v>
          </cell>
          <cell r="AG139">
            <v>91.7</v>
          </cell>
          <cell r="AI139">
            <v>21.9</v>
          </cell>
          <cell r="AJ139">
            <v>0.1</v>
          </cell>
          <cell r="AK139">
            <v>22</v>
          </cell>
          <cell r="AM139">
            <v>139.5</v>
          </cell>
          <cell r="AN139">
            <v>38.4</v>
          </cell>
          <cell r="AO139">
            <v>177.9</v>
          </cell>
          <cell r="AU139" t="str">
            <v xml:space="preserve"> 1QA</v>
          </cell>
          <cell r="AV139">
            <v>77.599999999999994</v>
          </cell>
          <cell r="AX139">
            <v>127.1</v>
          </cell>
          <cell r="AY139">
            <v>107.4</v>
          </cell>
          <cell r="AZ139">
            <v>234.5</v>
          </cell>
          <cell r="BB139">
            <v>73.8</v>
          </cell>
          <cell r="BD139">
            <v>17.2</v>
          </cell>
          <cell r="BF139">
            <v>113.2</v>
          </cell>
          <cell r="BG139">
            <v>64.2</v>
          </cell>
          <cell r="BH139">
            <v>177.4</v>
          </cell>
          <cell r="BI139">
            <v>580.5</v>
          </cell>
          <cell r="BK139">
            <v>29.2</v>
          </cell>
          <cell r="BL139">
            <v>13</v>
          </cell>
          <cell r="BM139">
            <v>42.2</v>
          </cell>
          <cell r="BO139">
            <v>109.1</v>
          </cell>
          <cell r="BP139">
            <v>88.4</v>
          </cell>
          <cell r="BQ139">
            <v>197.5</v>
          </cell>
          <cell r="BS139">
            <v>4</v>
          </cell>
          <cell r="BT139">
            <v>201.5</v>
          </cell>
          <cell r="BV139">
            <v>0</v>
          </cell>
          <cell r="BX139">
            <v>43.9</v>
          </cell>
          <cell r="BY139">
            <v>2393.2999999999997</v>
          </cell>
          <cell r="BZ139">
            <v>167.8</v>
          </cell>
          <cell r="CA139">
            <v>2561.1</v>
          </cell>
        </row>
        <row r="140">
          <cell r="A140" t="str">
            <v xml:space="preserve"> 2QA</v>
          </cell>
          <cell r="B140">
            <v>124.6</v>
          </cell>
          <cell r="C140">
            <v>70.3</v>
          </cell>
          <cell r="D140">
            <v>194.89999999999998</v>
          </cell>
          <cell r="F140">
            <v>632.9</v>
          </cell>
          <cell r="G140">
            <v>273.89999999999998</v>
          </cell>
          <cell r="H140">
            <v>906.8</v>
          </cell>
          <cell r="J140">
            <v>21.6</v>
          </cell>
          <cell r="L140">
            <v>38.700000000000003</v>
          </cell>
          <cell r="R140">
            <v>1161.9999999999998</v>
          </cell>
          <cell r="T140" t="str">
            <v xml:space="preserve"> 2QA</v>
          </cell>
          <cell r="U140">
            <v>0</v>
          </cell>
          <cell r="V140">
            <v>44.1</v>
          </cell>
          <cell r="W140">
            <v>44.1</v>
          </cell>
          <cell r="Y140">
            <v>2.2000000000000002</v>
          </cell>
          <cell r="Z140">
            <v>16.3</v>
          </cell>
          <cell r="AA140">
            <v>43.7</v>
          </cell>
          <cell r="AB140">
            <v>36.4</v>
          </cell>
          <cell r="AD140">
            <v>142.70000000000002</v>
          </cell>
          <cell r="AF140">
            <v>11.5</v>
          </cell>
          <cell r="AG140">
            <v>101</v>
          </cell>
          <cell r="AI140">
            <v>20.9</v>
          </cell>
          <cell r="AJ140">
            <v>1.7</v>
          </cell>
          <cell r="AK140">
            <v>22.6</v>
          </cell>
          <cell r="AM140">
            <v>139.4</v>
          </cell>
          <cell r="AN140">
            <v>48.8</v>
          </cell>
          <cell r="AO140">
            <v>188.2</v>
          </cell>
          <cell r="AU140" t="str">
            <v xml:space="preserve"> 2QA</v>
          </cell>
          <cell r="AV140">
            <v>82.6</v>
          </cell>
          <cell r="AX140">
            <v>133.69999999999999</v>
          </cell>
          <cell r="AY140">
            <v>123.9</v>
          </cell>
          <cell r="AZ140">
            <v>257.60000000000002</v>
          </cell>
          <cell r="BB140">
            <v>140.4</v>
          </cell>
          <cell r="BD140">
            <v>12</v>
          </cell>
          <cell r="BF140">
            <v>129.19999999999999</v>
          </cell>
          <cell r="BG140">
            <v>75.5</v>
          </cell>
          <cell r="BH140">
            <v>204.7</v>
          </cell>
          <cell r="BI140">
            <v>697.3</v>
          </cell>
          <cell r="BK140">
            <v>1.9</v>
          </cell>
          <cell r="BL140">
            <v>27.2</v>
          </cell>
          <cell r="BM140">
            <v>29.099999999999998</v>
          </cell>
          <cell r="BO140">
            <v>129.4</v>
          </cell>
          <cell r="BP140">
            <v>89.7</v>
          </cell>
          <cell r="BQ140">
            <v>219.10000000000002</v>
          </cell>
          <cell r="BS140">
            <v>3.7</v>
          </cell>
          <cell r="BT140">
            <v>222.8</v>
          </cell>
          <cell r="BV140">
            <v>0</v>
          </cell>
          <cell r="BX140">
            <v>35.580000000000005</v>
          </cell>
          <cell r="BY140">
            <v>2612.7799999999997</v>
          </cell>
          <cell r="BZ140">
            <v>162.4</v>
          </cell>
          <cell r="CA140">
            <v>2775.18</v>
          </cell>
        </row>
        <row r="141">
          <cell r="A141" t="str">
            <v xml:space="preserve"> 3QA</v>
          </cell>
          <cell r="B141">
            <v>119.3</v>
          </cell>
          <cell r="C141">
            <v>70.599999999999994</v>
          </cell>
          <cell r="D141">
            <v>189.89999999999998</v>
          </cell>
          <cell r="F141">
            <v>683.2</v>
          </cell>
          <cell r="G141">
            <v>290.8</v>
          </cell>
          <cell r="H141">
            <v>974</v>
          </cell>
          <cell r="J141">
            <v>0</v>
          </cell>
          <cell r="L141">
            <v>40.6</v>
          </cell>
          <cell r="R141">
            <v>1204.5</v>
          </cell>
          <cell r="T141" t="str">
            <v xml:space="preserve"> 3QA</v>
          </cell>
          <cell r="U141">
            <v>0.1</v>
          </cell>
          <cell r="V141">
            <v>42.5</v>
          </cell>
          <cell r="W141">
            <v>42.6</v>
          </cell>
          <cell r="Y141">
            <v>0.5</v>
          </cell>
          <cell r="Z141">
            <v>16.7</v>
          </cell>
          <cell r="AA141">
            <v>31.4</v>
          </cell>
          <cell r="AB141">
            <v>33.4</v>
          </cell>
          <cell r="AD141">
            <v>124.6</v>
          </cell>
          <cell r="AF141">
            <v>10.199999999999999</v>
          </cell>
          <cell r="AG141">
            <v>92.4</v>
          </cell>
          <cell r="AI141">
            <v>19.600000000000001</v>
          </cell>
          <cell r="AJ141">
            <v>1.5</v>
          </cell>
          <cell r="AK141">
            <v>21.1</v>
          </cell>
          <cell r="AM141">
            <v>166.1</v>
          </cell>
          <cell r="AN141">
            <v>51.3</v>
          </cell>
          <cell r="AO141">
            <v>217.39999999999998</v>
          </cell>
          <cell r="AU141" t="str">
            <v xml:space="preserve"> 3QA</v>
          </cell>
          <cell r="AV141">
            <v>83.2</v>
          </cell>
          <cell r="AX141">
            <v>129.80000000000001</v>
          </cell>
          <cell r="AY141">
            <v>127.6</v>
          </cell>
          <cell r="AZ141">
            <v>257.39999999999998</v>
          </cell>
          <cell r="BB141">
            <v>81.7</v>
          </cell>
          <cell r="BD141">
            <v>18.100000000000001</v>
          </cell>
          <cell r="BF141">
            <v>133.69999999999999</v>
          </cell>
          <cell r="BG141">
            <v>80.400000000000006</v>
          </cell>
          <cell r="BH141">
            <v>214.1</v>
          </cell>
          <cell r="BI141">
            <v>654.5</v>
          </cell>
          <cell r="BK141">
            <v>13.5</v>
          </cell>
          <cell r="BL141">
            <v>11.7</v>
          </cell>
          <cell r="BM141">
            <v>25.2</v>
          </cell>
          <cell r="BO141">
            <v>93.2</v>
          </cell>
          <cell r="BP141">
            <v>104</v>
          </cell>
          <cell r="BQ141">
            <v>197.2</v>
          </cell>
          <cell r="BS141">
            <v>6.6</v>
          </cell>
          <cell r="BT141">
            <v>203.79999999999998</v>
          </cell>
          <cell r="BV141">
            <v>0</v>
          </cell>
          <cell r="BX141">
            <v>64.300000000000011</v>
          </cell>
          <cell r="BY141">
            <v>2618</v>
          </cell>
          <cell r="BZ141">
            <v>167.6</v>
          </cell>
          <cell r="CA141">
            <v>2785.6</v>
          </cell>
        </row>
        <row r="142">
          <cell r="A142" t="str">
            <v xml:space="preserve"> 4QA</v>
          </cell>
          <cell r="B142">
            <v>97.800000000000011</v>
          </cell>
          <cell r="C142">
            <v>65</v>
          </cell>
          <cell r="D142">
            <v>162.80000000000001</v>
          </cell>
          <cell r="F142">
            <v>661.6</v>
          </cell>
          <cell r="G142">
            <v>327.2</v>
          </cell>
          <cell r="H142">
            <v>988.8</v>
          </cell>
          <cell r="J142">
            <v>0</v>
          </cell>
          <cell r="L142">
            <v>42</v>
          </cell>
          <cell r="N142">
            <v>2.6</v>
          </cell>
          <cell r="O142">
            <v>0</v>
          </cell>
          <cell r="P142">
            <v>2.6</v>
          </cell>
          <cell r="R142">
            <v>1196.1999999999998</v>
          </cell>
          <cell r="T142" t="str">
            <v xml:space="preserve"> 4QA</v>
          </cell>
          <cell r="U142">
            <v>0.1</v>
          </cell>
          <cell r="V142">
            <v>50.5</v>
          </cell>
          <cell r="W142">
            <v>50.6</v>
          </cell>
          <cell r="Y142">
            <v>2.2999999999999998</v>
          </cell>
          <cell r="Z142">
            <v>22.5</v>
          </cell>
          <cell r="AA142">
            <v>26.3</v>
          </cell>
          <cell r="AB142">
            <v>36.9</v>
          </cell>
          <cell r="AD142">
            <v>138.6</v>
          </cell>
          <cell r="AF142">
            <v>12.8</v>
          </cell>
          <cell r="AG142">
            <v>98.9</v>
          </cell>
          <cell r="AI142">
            <v>26.9</v>
          </cell>
          <cell r="AJ142">
            <v>7.6</v>
          </cell>
          <cell r="AK142">
            <v>34.5</v>
          </cell>
          <cell r="AM142">
            <v>181.1</v>
          </cell>
          <cell r="AN142">
            <v>57.3</v>
          </cell>
          <cell r="AO142">
            <v>238.39999999999998</v>
          </cell>
          <cell r="AU142" t="str">
            <v xml:space="preserve"> 4QA</v>
          </cell>
          <cell r="AV142">
            <v>85.9</v>
          </cell>
          <cell r="AX142">
            <v>124.8</v>
          </cell>
          <cell r="AY142">
            <v>129.69999999999999</v>
          </cell>
          <cell r="AZ142">
            <v>254.5</v>
          </cell>
          <cell r="BB142">
            <v>96.2</v>
          </cell>
          <cell r="BD142">
            <v>10.5</v>
          </cell>
          <cell r="BF142">
            <v>152.19999999999999</v>
          </cell>
          <cell r="BG142">
            <v>85.8</v>
          </cell>
          <cell r="BH142">
            <v>238</v>
          </cell>
          <cell r="BI142">
            <v>685.09999999999991</v>
          </cell>
          <cell r="BK142">
            <v>-0.3</v>
          </cell>
          <cell r="BL142">
            <v>16.5</v>
          </cell>
          <cell r="BM142">
            <v>16.2</v>
          </cell>
          <cell r="BO142">
            <v>150.5</v>
          </cell>
          <cell r="BP142">
            <v>110.4</v>
          </cell>
          <cell r="BQ142">
            <v>260.89999999999998</v>
          </cell>
          <cell r="BS142">
            <v>4.2</v>
          </cell>
          <cell r="BT142">
            <v>265.09999999999997</v>
          </cell>
          <cell r="BV142">
            <v>0</v>
          </cell>
          <cell r="BX142">
            <v>68.400000000000006</v>
          </cell>
          <cell r="BY142">
            <v>2759.6999999999994</v>
          </cell>
          <cell r="BZ142">
            <v>195.9</v>
          </cell>
          <cell r="CA142">
            <v>2955.5999999999995</v>
          </cell>
        </row>
        <row r="144">
          <cell r="A144" t="str">
            <v>Year A</v>
          </cell>
          <cell r="B144">
            <v>451.7</v>
          </cell>
          <cell r="C144">
            <v>282.10000000000002</v>
          </cell>
          <cell r="D144">
            <v>733.8</v>
          </cell>
          <cell r="F144">
            <v>2532.8000000000002</v>
          </cell>
          <cell r="G144">
            <v>1156.2</v>
          </cell>
          <cell r="H144">
            <v>3689</v>
          </cell>
          <cell r="J144">
            <v>36.400000000000006</v>
          </cell>
          <cell r="L144">
            <v>151.9</v>
          </cell>
          <cell r="N144">
            <v>2.6</v>
          </cell>
          <cell r="O144">
            <v>0</v>
          </cell>
          <cell r="P144">
            <v>2.6</v>
          </cell>
          <cell r="R144">
            <v>4613.7</v>
          </cell>
          <cell r="T144" t="str">
            <v>Year A</v>
          </cell>
          <cell r="U144">
            <v>0.7</v>
          </cell>
          <cell r="V144">
            <v>196.7</v>
          </cell>
          <cell r="W144">
            <v>197.39999999999998</v>
          </cell>
          <cell r="Y144">
            <v>8.8999999999999986</v>
          </cell>
          <cell r="Z144">
            <v>74.600000000000009</v>
          </cell>
          <cell r="AA144">
            <v>144.80000000000001</v>
          </cell>
          <cell r="AB144">
            <v>151.5</v>
          </cell>
          <cell r="AD144">
            <v>577.20000000000005</v>
          </cell>
          <cell r="AF144">
            <v>45.8</v>
          </cell>
          <cell r="AG144">
            <v>384</v>
          </cell>
          <cell r="AI144">
            <v>89.3</v>
          </cell>
          <cell r="AJ144">
            <v>10.899999999999999</v>
          </cell>
          <cell r="AK144">
            <v>100.19999999999999</v>
          </cell>
          <cell r="AM144">
            <v>626.1</v>
          </cell>
          <cell r="AN144">
            <v>195.8</v>
          </cell>
          <cell r="AO144">
            <v>821.90000000000009</v>
          </cell>
          <cell r="AU144" t="str">
            <v>Year A</v>
          </cell>
          <cell r="AV144">
            <v>329.29999999999995</v>
          </cell>
          <cell r="AX144">
            <v>515.4</v>
          </cell>
          <cell r="AY144">
            <v>488.59999999999997</v>
          </cell>
          <cell r="AZ144">
            <v>1004</v>
          </cell>
          <cell r="BB144">
            <v>392.09999999999997</v>
          </cell>
          <cell r="BD144">
            <v>57.8</v>
          </cell>
          <cell r="BF144">
            <v>528.29999999999995</v>
          </cell>
          <cell r="BG144">
            <v>305.89999999999998</v>
          </cell>
          <cell r="BH144">
            <v>834.19999999999993</v>
          </cell>
          <cell r="BI144">
            <v>2617.3999999999996</v>
          </cell>
          <cell r="BK144">
            <v>44.3</v>
          </cell>
          <cell r="BL144">
            <v>68.400000000000006</v>
          </cell>
          <cell r="BM144">
            <v>112.7</v>
          </cell>
          <cell r="BO144">
            <v>482.2</v>
          </cell>
          <cell r="BP144">
            <v>392.5</v>
          </cell>
          <cell r="BQ144">
            <v>874.7</v>
          </cell>
          <cell r="BS144">
            <v>18.5</v>
          </cell>
          <cell r="BT144">
            <v>893.2</v>
          </cell>
          <cell r="BV144">
            <v>0</v>
          </cell>
          <cell r="BX144">
            <v>212.18000000000004</v>
          </cell>
          <cell r="BY144">
            <v>10383.779999999999</v>
          </cell>
          <cell r="BZ144">
            <v>693.7</v>
          </cell>
          <cell r="CA144">
            <v>11077.48</v>
          </cell>
        </row>
        <row r="146">
          <cell r="A146" t="str">
            <v>2003E/02</v>
          </cell>
          <cell r="T146" t="str">
            <v>2003E/02</v>
          </cell>
          <cell r="AU146" t="str">
            <v>2003E/02</v>
          </cell>
        </row>
        <row r="147">
          <cell r="A147" t="str">
            <v xml:space="preserve"> 1QE</v>
          </cell>
          <cell r="B147">
            <v>-0.3</v>
          </cell>
          <cell r="C147">
            <v>-0.18</v>
          </cell>
          <cell r="D147">
            <v>-0.25089151450053693</v>
          </cell>
          <cell r="F147">
            <v>0.2</v>
          </cell>
          <cell r="G147">
            <v>0.2</v>
          </cell>
          <cell r="H147">
            <v>0.19999999999999973</v>
          </cell>
          <cell r="J147" t="str">
            <v>NM</v>
          </cell>
          <cell r="L147">
            <v>-0.03</v>
          </cell>
          <cell r="N147" t="str">
            <v>NM</v>
          </cell>
          <cell r="O147" t="str">
            <v>NM</v>
          </cell>
          <cell r="P147" t="str">
            <v>NM</v>
          </cell>
          <cell r="T147" t="str">
            <v xml:space="preserve"> 1QE</v>
          </cell>
          <cell r="U147">
            <v>-1</v>
          </cell>
          <cell r="V147">
            <v>-0.12</v>
          </cell>
          <cell r="W147">
            <v>-0.12732113144758739</v>
          </cell>
          <cell r="Y147">
            <v>-0.25</v>
          </cell>
          <cell r="Z147">
            <v>-0.2</v>
          </cell>
          <cell r="AA147">
            <v>-0.1</v>
          </cell>
          <cell r="AB147">
            <v>-0.2</v>
          </cell>
          <cell r="AD147">
            <v>-0.15030356100408648</v>
          </cell>
          <cell r="AF147">
            <v>-0.08</v>
          </cell>
          <cell r="AG147">
            <v>-0.05</v>
          </cell>
          <cell r="AI147">
            <v>0.3</v>
          </cell>
          <cell r="AJ147" t="str">
            <v>NM</v>
          </cell>
          <cell r="AK147">
            <v>0.74863636363636354</v>
          </cell>
          <cell r="AM147">
            <v>7.0000000000000007E-2</v>
          </cell>
          <cell r="AN147">
            <v>0.45</v>
          </cell>
          <cell r="AO147">
            <v>0.15202360876897147</v>
          </cell>
          <cell r="AU147" t="str">
            <v xml:space="preserve"> 1QE</v>
          </cell>
          <cell r="AV147">
            <v>7.0000000000000007E-2</v>
          </cell>
          <cell r="AX147">
            <v>-0.1</v>
          </cell>
          <cell r="AY147">
            <v>0.05</v>
          </cell>
          <cell r="AZ147">
            <v>-3.130063965884855E-2</v>
          </cell>
          <cell r="BB147">
            <v>0.2</v>
          </cell>
          <cell r="BD147">
            <v>-0.2</v>
          </cell>
          <cell r="BF147">
            <v>0.25</v>
          </cell>
          <cell r="BG147">
            <v>0.28000000000000003</v>
          </cell>
          <cell r="BH147">
            <v>0.26085682074408112</v>
          </cell>
          <cell r="BI147">
            <v>9.5931093884582319E-2</v>
          </cell>
          <cell r="BK147">
            <v>-0.9</v>
          </cell>
          <cell r="BL147">
            <v>0.2</v>
          </cell>
          <cell r="BM147">
            <v>-0.56113744075829386</v>
          </cell>
          <cell r="BO147">
            <v>-0.05</v>
          </cell>
          <cell r="BP147">
            <v>0.12</v>
          </cell>
          <cell r="BQ147">
            <v>2.6091139240506322E-2</v>
          </cell>
          <cell r="BS147">
            <v>0</v>
          </cell>
          <cell r="BT147">
            <v>2.5573200992556E-2</v>
          </cell>
          <cell r="BV147" t="str">
            <v>NM</v>
          </cell>
          <cell r="BX147">
            <v>0.45</v>
          </cell>
          <cell r="BY147">
            <v>9.4280282455187603E-2</v>
          </cell>
          <cell r="BZ147">
            <v>-0.05</v>
          </cell>
          <cell r="CA147">
            <v>8.4827222677755776E-2</v>
          </cell>
        </row>
        <row r="148">
          <cell r="A148" t="str">
            <v xml:space="preserve"> 2QE</v>
          </cell>
          <cell r="B148">
            <v>-0.5</v>
          </cell>
          <cell r="C148">
            <v>-0.12</v>
          </cell>
          <cell r="D148">
            <v>-0.3629348383786557</v>
          </cell>
          <cell r="F148">
            <v>0.12</v>
          </cell>
          <cell r="G148">
            <v>0.19</v>
          </cell>
          <cell r="H148">
            <v>0.14114358182620212</v>
          </cell>
          <cell r="J148" t="str">
            <v>NM</v>
          </cell>
          <cell r="L148">
            <v>-0.03</v>
          </cell>
          <cell r="N148" t="str">
            <v>NM</v>
          </cell>
          <cell r="O148" t="str">
            <v>NM</v>
          </cell>
          <cell r="P148" t="str">
            <v>NM</v>
          </cell>
          <cell r="T148" t="str">
            <v xml:space="preserve"> 2QE</v>
          </cell>
          <cell r="U148">
            <v>-1</v>
          </cell>
          <cell r="V148">
            <v>0</v>
          </cell>
          <cell r="W148">
            <v>0</v>
          </cell>
          <cell r="Y148">
            <v>-0.1</v>
          </cell>
          <cell r="Z148">
            <v>-0.05</v>
          </cell>
          <cell r="AA148">
            <v>-0.15</v>
          </cell>
          <cell r="AB148">
            <v>-0.12</v>
          </cell>
          <cell r="AD148">
            <v>-8.3798177995795364E-2</v>
          </cell>
          <cell r="AF148">
            <v>-0.08</v>
          </cell>
          <cell r="AG148">
            <v>-0.18</v>
          </cell>
          <cell r="AI148">
            <v>0.5</v>
          </cell>
          <cell r="AJ148" t="str">
            <v>NM</v>
          </cell>
          <cell r="AK148">
            <v>0.82964601769911472</v>
          </cell>
          <cell r="AM148">
            <v>0.2</v>
          </cell>
          <cell r="AN148">
            <v>0.2</v>
          </cell>
          <cell r="AO148">
            <v>0.20000000000000018</v>
          </cell>
          <cell r="AU148" t="str">
            <v xml:space="preserve"> 2QE</v>
          </cell>
          <cell r="AV148">
            <v>0.05</v>
          </cell>
          <cell r="AX148">
            <v>-0.1</v>
          </cell>
          <cell r="AY148">
            <v>-0.05</v>
          </cell>
          <cell r="AZ148">
            <v>-7.5951086956521863E-2</v>
          </cell>
          <cell r="BB148">
            <v>7.0000000000000007E-2</v>
          </cell>
          <cell r="BD148">
            <v>0</v>
          </cell>
          <cell r="BF148">
            <v>0.22</v>
          </cell>
          <cell r="BG148">
            <v>0.14000000000000001</v>
          </cell>
          <cell r="BH148">
            <v>0.1904934049829019</v>
          </cell>
          <cell r="BI148">
            <v>4.788039581241943E-2</v>
          </cell>
          <cell r="BK148">
            <v>-0.9</v>
          </cell>
          <cell r="BL148">
            <v>-0.3</v>
          </cell>
          <cell r="BM148">
            <v>-0.33917525773195867</v>
          </cell>
          <cell r="BO148">
            <v>0.08</v>
          </cell>
          <cell r="BP148">
            <v>0.2</v>
          </cell>
          <cell r="BQ148">
            <v>0.12912825193975341</v>
          </cell>
          <cell r="BS148">
            <v>0</v>
          </cell>
          <cell r="BT148">
            <v>0.12698384201077184</v>
          </cell>
          <cell r="BV148" t="str">
            <v>NM</v>
          </cell>
          <cell r="BX148">
            <v>0.4</v>
          </cell>
          <cell r="BY148">
            <v>6.7309532375477321E-2</v>
          </cell>
          <cell r="BZ148">
            <v>0.05</v>
          </cell>
          <cell r="CA148">
            <v>6.6296600580863174E-2</v>
          </cell>
        </row>
        <row r="149">
          <cell r="A149" t="str">
            <v xml:space="preserve"> 3QE</v>
          </cell>
          <cell r="B149">
            <v>-0.5</v>
          </cell>
          <cell r="C149">
            <v>-0.12</v>
          </cell>
          <cell r="D149">
            <v>-0.35872564507635596</v>
          </cell>
          <cell r="F149">
            <v>0.08</v>
          </cell>
          <cell r="G149">
            <v>0.15</v>
          </cell>
          <cell r="H149">
            <v>0.10089938398357301</v>
          </cell>
          <cell r="J149" t="str">
            <v>NM</v>
          </cell>
          <cell r="L149">
            <v>-0.03</v>
          </cell>
          <cell r="N149" t="str">
            <v>NM</v>
          </cell>
          <cell r="O149" t="str">
            <v>NM</v>
          </cell>
          <cell r="P149" t="str">
            <v>NM</v>
          </cell>
          <cell r="T149" t="str">
            <v xml:space="preserve"> 3QE</v>
          </cell>
          <cell r="U149">
            <v>-1</v>
          </cell>
          <cell r="V149">
            <v>0</v>
          </cell>
          <cell r="W149">
            <v>-2.3474178403756207E-3</v>
          </cell>
          <cell r="Y149">
            <v>2</v>
          </cell>
          <cell r="Z149">
            <v>0</v>
          </cell>
          <cell r="AA149">
            <v>-0.15</v>
          </cell>
          <cell r="AB149">
            <v>-0.05</v>
          </cell>
          <cell r="AD149">
            <v>-4.398073836276073E-2</v>
          </cell>
          <cell r="AF149">
            <v>-0.08</v>
          </cell>
          <cell r="AG149">
            <v>-0.15</v>
          </cell>
          <cell r="AI149">
            <v>0.65</v>
          </cell>
          <cell r="AJ149" t="str">
            <v>NM</v>
          </cell>
          <cell r="AK149">
            <v>1.1014218009478673</v>
          </cell>
          <cell r="AM149">
            <v>0.08</v>
          </cell>
          <cell r="AN149">
            <v>0.25</v>
          </cell>
          <cell r="AO149">
            <v>0.12011499540018411</v>
          </cell>
          <cell r="AU149" t="str">
            <v xml:space="preserve"> 3QE</v>
          </cell>
          <cell r="AV149">
            <v>0.05</v>
          </cell>
          <cell r="AX149">
            <v>-0.1</v>
          </cell>
          <cell r="AY149">
            <v>-0.05</v>
          </cell>
          <cell r="AZ149">
            <v>-7.5213675213675169E-2</v>
          </cell>
          <cell r="BB149">
            <v>0.18</v>
          </cell>
          <cell r="BD149">
            <v>-0.15</v>
          </cell>
          <cell r="BF149">
            <v>0.22</v>
          </cell>
          <cell r="BG149">
            <v>0.15</v>
          </cell>
          <cell r="BH149">
            <v>0.19371321812237263</v>
          </cell>
          <cell r="BI149">
            <v>5.8464476699770618E-2</v>
          </cell>
          <cell r="BK149">
            <v>-0.9</v>
          </cell>
          <cell r="BL149">
            <v>0.2</v>
          </cell>
          <cell r="BM149">
            <v>-0.38928571428571435</v>
          </cell>
          <cell r="BO149">
            <v>0.34</v>
          </cell>
          <cell r="BP149">
            <v>0.13</v>
          </cell>
          <cell r="BQ149">
            <v>0.22924949290060859</v>
          </cell>
          <cell r="BS149">
            <v>-0.05</v>
          </cell>
          <cell r="BT149">
            <v>0.22020608439646727</v>
          </cell>
          <cell r="BV149" t="str">
            <v>NM</v>
          </cell>
          <cell r="BX149">
            <v>0.08</v>
          </cell>
          <cell r="BY149">
            <v>7.8919022154316121E-2</v>
          </cell>
          <cell r="BZ149">
            <v>0.05</v>
          </cell>
          <cell r="CA149">
            <v>7.7179063756461774E-2</v>
          </cell>
        </row>
        <row r="150">
          <cell r="A150" t="str">
            <v xml:space="preserve"> 4QE</v>
          </cell>
          <cell r="B150">
            <v>-0.49401840490797566</v>
          </cell>
          <cell r="C150">
            <v>-4.9661538461538202E-2</v>
          </cell>
          <cell r="D150">
            <v>-0.31660319410319415</v>
          </cell>
          <cell r="F150">
            <v>0.15160822249093098</v>
          </cell>
          <cell r="G150">
            <v>7.6127750611247436E-2</v>
          </cell>
          <cell r="H150">
            <v>0.12663127022653731</v>
          </cell>
          <cell r="J150" t="str">
            <v>NM</v>
          </cell>
          <cell r="L150">
            <v>-2.9999999999999805E-2</v>
          </cell>
          <cell r="N150" t="str">
            <v>NM</v>
          </cell>
          <cell r="O150" t="str">
            <v>NM</v>
          </cell>
          <cell r="P150" t="str">
            <v>NM</v>
          </cell>
          <cell r="T150" t="str">
            <v xml:space="preserve"> 4QE</v>
          </cell>
          <cell r="U150">
            <v>-1</v>
          </cell>
          <cell r="V150">
            <v>2.477227722772235E-2</v>
          </cell>
          <cell r="W150">
            <v>2.2747035573122076E-2</v>
          </cell>
          <cell r="Y150">
            <v>-0.30217391304347918</v>
          </cell>
          <cell r="Z150">
            <v>-0.12555555555555509</v>
          </cell>
          <cell r="AA150">
            <v>-0.23250950570342199</v>
          </cell>
          <cell r="AB150">
            <v>-8.6233062330622778E-2</v>
          </cell>
          <cell r="AD150">
            <v>-8.4170274170274006E-2</v>
          </cell>
          <cell r="AF150">
            <v>-8.0000000000000293E-2</v>
          </cell>
          <cell r="AG150">
            <v>-0.21208291203235641</v>
          </cell>
          <cell r="AI150">
            <v>0.22156133828996283</v>
          </cell>
          <cell r="AJ150" t="str">
            <v>NM</v>
          </cell>
          <cell r="AK150">
            <v>0.2886956521739128</v>
          </cell>
          <cell r="AM150">
            <v>2.9906129210381494E-2</v>
          </cell>
          <cell r="AN150">
            <v>0.15855148342059322</v>
          </cell>
          <cell r="AO150">
            <v>6.0826342281879553E-2</v>
          </cell>
          <cell r="AU150" t="str">
            <v xml:space="preserve"> 4QE</v>
          </cell>
          <cell r="AV150">
            <v>3.1932479627472699E-2</v>
          </cell>
          <cell r="AX150">
            <v>-0.10000000000000053</v>
          </cell>
          <cell r="AY150">
            <v>-1.9791827293754838E-2</v>
          </cell>
          <cell r="AZ150">
            <v>-5.9123772102161465E-2</v>
          </cell>
          <cell r="BB150">
            <v>0.12140332640332607</v>
          </cell>
          <cell r="BD150">
            <v>3.5714285714285809E-2</v>
          </cell>
          <cell r="BF150">
            <v>0.19768725361366601</v>
          </cell>
          <cell r="BG150">
            <v>0.23979020979020937</v>
          </cell>
          <cell r="BH150">
            <v>0.21286554621848697</v>
          </cell>
          <cell r="BI150">
            <v>7.3583418479053808E-2</v>
          </cell>
          <cell r="BK150">
            <v>-0.90000000000000213</v>
          </cell>
          <cell r="BL150">
            <v>-1.2121212121211866E-2</v>
          </cell>
          <cell r="BM150">
            <v>4.3209876543213177E-3</v>
          </cell>
          <cell r="BO150">
            <v>4.5269102990033172E-2</v>
          </cell>
          <cell r="BP150">
            <v>8.1132246376811379E-2</v>
          </cell>
          <cell r="BQ150">
            <v>6.0444614794940454E-2</v>
          </cell>
          <cell r="BS150">
            <v>7.8571428571428736E-2</v>
          </cell>
          <cell r="BT150">
            <v>6.0731799321010804E-2</v>
          </cell>
          <cell r="BV150" t="str">
            <v>NM</v>
          </cell>
          <cell r="BX150">
            <v>-1.3722222222221969E-2</v>
          </cell>
          <cell r="BY150">
            <v>9.810827263833044E-2</v>
          </cell>
          <cell r="BZ150">
            <v>-4.1398672792240521E-2</v>
          </cell>
          <cell r="CA150">
            <v>8.8861618622276595E-2</v>
          </cell>
        </row>
        <row r="151">
          <cell r="AU151">
            <v>0</v>
          </cell>
        </row>
        <row r="152">
          <cell r="A152" t="str">
            <v xml:space="preserve">2003/02E </v>
          </cell>
          <cell r="B152">
            <v>-0.45</v>
          </cell>
          <cell r="C152">
            <v>-0.12</v>
          </cell>
          <cell r="D152">
            <v>-0.32313573180703187</v>
          </cell>
          <cell r="F152">
            <v>0.13500000000000001</v>
          </cell>
          <cell r="G152">
            <v>0.15</v>
          </cell>
          <cell r="H152">
            <v>0.13970127405801036</v>
          </cell>
          <cell r="J152" t="str">
            <v>NM</v>
          </cell>
          <cell r="L152">
            <v>-0.03</v>
          </cell>
          <cell r="N152" t="str">
            <v>NM</v>
          </cell>
          <cell r="O152" t="str">
            <v>NM</v>
          </cell>
          <cell r="P152" t="str">
            <v>NM</v>
          </cell>
          <cell r="R152">
            <v>8.8797277673017358E-2</v>
          </cell>
          <cell r="T152" t="str">
            <v xml:space="preserve">2003/02E </v>
          </cell>
          <cell r="U152">
            <v>-1</v>
          </cell>
          <cell r="V152">
            <v>-0.03</v>
          </cell>
          <cell r="W152">
            <v>-3.3439716312056736E-2</v>
          </cell>
          <cell r="Y152">
            <v>-0.1</v>
          </cell>
          <cell r="Z152">
            <v>-0.1</v>
          </cell>
          <cell r="AA152">
            <v>-0.15</v>
          </cell>
          <cell r="AB152">
            <v>-0.12</v>
          </cell>
          <cell r="AD152">
            <v>-9.5029452529452718E-2</v>
          </cell>
          <cell r="AF152">
            <v>-0.08</v>
          </cell>
          <cell r="AG152">
            <v>-0.15</v>
          </cell>
          <cell r="AI152">
            <v>0.4</v>
          </cell>
          <cell r="AJ152">
            <v>3</v>
          </cell>
          <cell r="AK152">
            <v>0.68283433133732563</v>
          </cell>
          <cell r="AM152">
            <v>0.09</v>
          </cell>
          <cell r="AN152">
            <v>0.25</v>
          </cell>
          <cell r="AO152">
            <v>0.12811655919211579</v>
          </cell>
          <cell r="AU152" t="str">
            <v xml:space="preserve">2003/02E </v>
          </cell>
          <cell r="AV152">
            <v>0.05</v>
          </cell>
          <cell r="AX152">
            <v>-0.1</v>
          </cell>
          <cell r="AY152">
            <v>-0.02</v>
          </cell>
          <cell r="AZ152">
            <v>-6.1067729083665465E-2</v>
          </cell>
          <cell r="BB152">
            <v>0.13</v>
          </cell>
          <cell r="BD152">
            <v>-0.1</v>
          </cell>
          <cell r="BF152">
            <v>0.22</v>
          </cell>
          <cell r="BG152">
            <v>0.2</v>
          </cell>
          <cell r="BH152">
            <v>0.21266602733157525</v>
          </cell>
          <cell r="BI152">
            <v>6.7911668067548114E-2</v>
          </cell>
          <cell r="BK152">
            <v>-0.9</v>
          </cell>
          <cell r="BL152">
            <v>-0.05</v>
          </cell>
          <cell r="BM152">
            <v>-0.384117125110914</v>
          </cell>
          <cell r="BO152">
            <v>0.09</v>
          </cell>
          <cell r="BP152">
            <v>0.13</v>
          </cell>
          <cell r="BQ152">
            <v>0.10794901108951627</v>
          </cell>
          <cell r="BS152">
            <v>0</v>
          </cell>
          <cell r="BT152">
            <v>0.1057131661442005</v>
          </cell>
          <cell r="BV152" t="str">
            <v>NM</v>
          </cell>
          <cell r="BX152">
            <v>0.18</v>
          </cell>
          <cell r="BY152">
            <v>8.4638291643313004E-2</v>
          </cell>
          <cell r="BZ152">
            <v>0</v>
          </cell>
          <cell r="CA152">
            <v>7.9338026338120274E-2</v>
          </cell>
        </row>
        <row r="153">
          <cell r="AU153">
            <v>0</v>
          </cell>
        </row>
        <row r="154">
          <cell r="A154" t="str">
            <v>2003E</v>
          </cell>
          <cell r="T154" t="str">
            <v>2003E</v>
          </cell>
          <cell r="AU154" t="str">
            <v>2003E</v>
          </cell>
        </row>
        <row r="155">
          <cell r="A155" t="str">
            <v xml:space="preserve"> 1QE</v>
          </cell>
          <cell r="B155">
            <v>77</v>
          </cell>
          <cell r="C155">
            <v>62.484000000000009</v>
          </cell>
          <cell r="D155">
            <v>139.48400000000001</v>
          </cell>
          <cell r="F155">
            <v>666.12</v>
          </cell>
          <cell r="G155">
            <v>317.16000000000003</v>
          </cell>
          <cell r="H155">
            <v>983.28</v>
          </cell>
          <cell r="J155">
            <v>0</v>
          </cell>
          <cell r="L155">
            <v>29.682000000000002</v>
          </cell>
          <cell r="N155">
            <v>40</v>
          </cell>
          <cell r="O155">
            <v>0</v>
          </cell>
          <cell r="P155">
            <v>40</v>
          </cell>
          <cell r="R155">
            <v>1192.4459999999999</v>
          </cell>
          <cell r="T155" t="str">
            <v xml:space="preserve"> 1QE</v>
          </cell>
          <cell r="U155">
            <v>0</v>
          </cell>
          <cell r="V155">
            <v>52.448</v>
          </cell>
          <cell r="W155">
            <v>52.448</v>
          </cell>
          <cell r="Y155">
            <v>2.9249999999999998</v>
          </cell>
          <cell r="Z155">
            <v>15.280000000000001</v>
          </cell>
          <cell r="AA155">
            <v>39.06</v>
          </cell>
          <cell r="AB155">
            <v>35.839999999999996</v>
          </cell>
          <cell r="AD155">
            <v>145.553</v>
          </cell>
          <cell r="AF155">
            <v>10.396000000000001</v>
          </cell>
          <cell r="AG155">
            <v>87.114999999999995</v>
          </cell>
          <cell r="AI155">
            <v>28.47</v>
          </cell>
          <cell r="AJ155">
            <v>10</v>
          </cell>
          <cell r="AK155">
            <v>38.47</v>
          </cell>
          <cell r="AM155">
            <v>149.26500000000001</v>
          </cell>
          <cell r="AN155">
            <v>55.68</v>
          </cell>
          <cell r="AO155">
            <v>204.94500000000002</v>
          </cell>
          <cell r="AU155" t="str">
            <v xml:space="preserve"> 1QE</v>
          </cell>
          <cell r="AV155">
            <v>83.031999999999996</v>
          </cell>
          <cell r="AX155">
            <v>114.39</v>
          </cell>
          <cell r="AY155">
            <v>112.77000000000001</v>
          </cell>
          <cell r="AZ155">
            <v>227.16000000000003</v>
          </cell>
          <cell r="BB155">
            <v>88.559999999999988</v>
          </cell>
          <cell r="BD155">
            <v>13.76</v>
          </cell>
          <cell r="BF155">
            <v>141.5</v>
          </cell>
          <cell r="BG155">
            <v>82.176000000000002</v>
          </cell>
          <cell r="BH155">
            <v>223.67599999999999</v>
          </cell>
          <cell r="BI155">
            <v>636.18799999999999</v>
          </cell>
          <cell r="BK155">
            <v>2.9199999999999995</v>
          </cell>
          <cell r="BL155">
            <v>15.6</v>
          </cell>
          <cell r="BM155">
            <v>18.52</v>
          </cell>
          <cell r="BO155">
            <v>103.645</v>
          </cell>
          <cell r="BP155">
            <v>99.00800000000001</v>
          </cell>
          <cell r="BQ155">
            <v>202.65300000000002</v>
          </cell>
          <cell r="BS155">
            <v>4</v>
          </cell>
          <cell r="BT155">
            <v>206.65300000000002</v>
          </cell>
          <cell r="BV155">
            <v>0</v>
          </cell>
          <cell r="BX155">
            <v>63.654999999999994</v>
          </cell>
          <cell r="BY155">
            <v>2618.9410000000003</v>
          </cell>
          <cell r="BZ155">
            <v>159.41</v>
          </cell>
          <cell r="CA155">
            <v>2778.3510000000001</v>
          </cell>
        </row>
        <row r="156">
          <cell r="A156" t="str">
            <v xml:space="preserve"> 2QE</v>
          </cell>
          <cell r="B156">
            <v>62.3</v>
          </cell>
          <cell r="C156">
            <v>61.863999999999997</v>
          </cell>
          <cell r="D156">
            <v>124.16399999999999</v>
          </cell>
          <cell r="F156">
            <v>708.84800000000007</v>
          </cell>
          <cell r="G156">
            <v>325.94099999999997</v>
          </cell>
          <cell r="H156">
            <v>1034.789</v>
          </cell>
          <cell r="J156">
            <v>0</v>
          </cell>
          <cell r="L156">
            <v>37.539000000000001</v>
          </cell>
          <cell r="N156">
            <v>35</v>
          </cell>
          <cell r="O156">
            <v>0</v>
          </cell>
          <cell r="P156">
            <v>35</v>
          </cell>
          <cell r="R156">
            <v>1231.492</v>
          </cell>
          <cell r="T156" t="str">
            <v xml:space="preserve"> 2QE</v>
          </cell>
          <cell r="U156">
            <v>0</v>
          </cell>
          <cell r="V156">
            <v>44.1</v>
          </cell>
          <cell r="W156">
            <v>44.1</v>
          </cell>
          <cell r="Y156">
            <v>1.9800000000000002</v>
          </cell>
          <cell r="Z156">
            <v>15.484999999999999</v>
          </cell>
          <cell r="AA156">
            <v>37.145000000000003</v>
          </cell>
          <cell r="AB156">
            <v>32.031999999999996</v>
          </cell>
          <cell r="AD156">
            <v>130.74200000000002</v>
          </cell>
          <cell r="AF156">
            <v>10.58</v>
          </cell>
          <cell r="AG156">
            <v>82.820000000000007</v>
          </cell>
          <cell r="AI156">
            <v>31.349999999999998</v>
          </cell>
          <cell r="AJ156">
            <v>10</v>
          </cell>
          <cell r="AK156">
            <v>41.349999999999994</v>
          </cell>
          <cell r="AM156">
            <v>167.28</v>
          </cell>
          <cell r="AN156">
            <v>58.559999999999995</v>
          </cell>
          <cell r="AO156">
            <v>225.84</v>
          </cell>
          <cell r="AU156" t="str">
            <v xml:space="preserve"> 2QE</v>
          </cell>
          <cell r="AV156">
            <v>86.73</v>
          </cell>
          <cell r="AX156">
            <v>120.33</v>
          </cell>
          <cell r="AY156">
            <v>117.705</v>
          </cell>
          <cell r="AZ156">
            <v>238.035</v>
          </cell>
          <cell r="BB156">
            <v>150.22800000000001</v>
          </cell>
          <cell r="BD156">
            <v>12</v>
          </cell>
          <cell r="BF156">
            <v>157.624</v>
          </cell>
          <cell r="BG156">
            <v>86.070000000000007</v>
          </cell>
          <cell r="BH156">
            <v>243.69400000000002</v>
          </cell>
          <cell r="BI156">
            <v>730.68700000000001</v>
          </cell>
          <cell r="BK156">
            <v>0.18999999999999995</v>
          </cell>
          <cell r="BL156">
            <v>19.04</v>
          </cell>
          <cell r="BM156">
            <v>19.23</v>
          </cell>
          <cell r="BO156">
            <v>139.75200000000001</v>
          </cell>
          <cell r="BP156">
            <v>107.64</v>
          </cell>
          <cell r="BQ156">
            <v>247.392</v>
          </cell>
          <cell r="BS156">
            <v>3.7</v>
          </cell>
          <cell r="BT156">
            <v>251.09199999999998</v>
          </cell>
          <cell r="BV156">
            <v>0</v>
          </cell>
          <cell r="BX156">
            <v>49.812000000000005</v>
          </cell>
          <cell r="BY156">
            <v>2788.6449999999995</v>
          </cell>
          <cell r="BZ156">
            <v>170.52</v>
          </cell>
          <cell r="CA156">
            <v>2959.1649999999995</v>
          </cell>
        </row>
        <row r="157">
          <cell r="A157" t="str">
            <v xml:space="preserve"> 3QE</v>
          </cell>
          <cell r="B157">
            <v>59.65</v>
          </cell>
          <cell r="C157">
            <v>62.127999999999993</v>
          </cell>
          <cell r="D157">
            <v>121.77799999999999</v>
          </cell>
          <cell r="F157">
            <v>737.85600000000011</v>
          </cell>
          <cell r="G157">
            <v>334.41999999999996</v>
          </cell>
          <cell r="H157">
            <v>1072.2760000000001</v>
          </cell>
          <cell r="J157">
            <v>0</v>
          </cell>
          <cell r="L157">
            <v>39.381999999999998</v>
          </cell>
          <cell r="N157">
            <v>45</v>
          </cell>
          <cell r="O157">
            <v>5</v>
          </cell>
          <cell r="P157">
            <v>50</v>
          </cell>
          <cell r="R157">
            <v>1283.4360000000001</v>
          </cell>
          <cell r="T157" t="str">
            <v xml:space="preserve"> 3QE</v>
          </cell>
          <cell r="U157">
            <v>0</v>
          </cell>
          <cell r="V157">
            <v>42.5</v>
          </cell>
          <cell r="W157">
            <v>42.5</v>
          </cell>
          <cell r="Y157">
            <v>1.5</v>
          </cell>
          <cell r="Z157">
            <v>16.7</v>
          </cell>
          <cell r="AA157">
            <v>26.689999999999998</v>
          </cell>
          <cell r="AB157">
            <v>31.729999999999997</v>
          </cell>
          <cell r="AD157">
            <v>119.12</v>
          </cell>
          <cell r="AF157">
            <v>9.3840000000000003</v>
          </cell>
          <cell r="AG157">
            <v>78.540000000000006</v>
          </cell>
          <cell r="AI157">
            <v>32.340000000000003</v>
          </cell>
          <cell r="AJ157">
            <v>12</v>
          </cell>
          <cell r="AK157">
            <v>44.34</v>
          </cell>
          <cell r="AM157">
            <v>179.38800000000001</v>
          </cell>
          <cell r="AN157">
            <v>64.125</v>
          </cell>
          <cell r="AO157">
            <v>243.51300000000001</v>
          </cell>
          <cell r="AU157" t="str">
            <v xml:space="preserve"> 3QE</v>
          </cell>
          <cell r="AV157">
            <v>87.360000000000014</v>
          </cell>
          <cell r="AX157">
            <v>116.82000000000001</v>
          </cell>
          <cell r="AY157">
            <v>121.21999999999998</v>
          </cell>
          <cell r="AZ157">
            <v>238.04</v>
          </cell>
          <cell r="BB157">
            <v>96.405999999999992</v>
          </cell>
          <cell r="BD157">
            <v>15.385000000000002</v>
          </cell>
          <cell r="BF157">
            <v>163.11399999999998</v>
          </cell>
          <cell r="BG157">
            <v>92.46</v>
          </cell>
          <cell r="BH157">
            <v>255.57399999999996</v>
          </cell>
          <cell r="BI157">
            <v>692.76499999999987</v>
          </cell>
          <cell r="BK157">
            <v>1.3499999999999996</v>
          </cell>
          <cell r="BL157">
            <v>14.04</v>
          </cell>
          <cell r="BM157">
            <v>15.389999999999999</v>
          </cell>
          <cell r="BO157">
            <v>124.88800000000001</v>
          </cell>
          <cell r="BP157">
            <v>117.51999999999998</v>
          </cell>
          <cell r="BQ157">
            <v>242.40799999999999</v>
          </cell>
          <cell r="BS157">
            <v>6.27</v>
          </cell>
          <cell r="BT157">
            <v>248.678</v>
          </cell>
          <cell r="BV157">
            <v>0</v>
          </cell>
          <cell r="BX157">
            <v>69.444000000000017</v>
          </cell>
          <cell r="BY157">
            <v>2824.6099999999997</v>
          </cell>
          <cell r="BZ157">
            <v>175.98</v>
          </cell>
          <cell r="CA157">
            <v>3000.5899999999997</v>
          </cell>
        </row>
        <row r="158">
          <cell r="A158" t="str">
            <v xml:space="preserve"> 4QE</v>
          </cell>
          <cell r="B158">
            <v>49.484999999999985</v>
          </cell>
          <cell r="C158">
            <v>61.77200000000002</v>
          </cell>
          <cell r="D158">
            <v>111.25700000000001</v>
          </cell>
          <cell r="F158">
            <v>761.904</v>
          </cell>
          <cell r="G158">
            <v>352.10900000000015</v>
          </cell>
          <cell r="H158">
            <v>1114.0130000000001</v>
          </cell>
          <cell r="J158">
            <v>0</v>
          </cell>
          <cell r="L158">
            <v>40.740000000000009</v>
          </cell>
          <cell r="N158">
            <v>45</v>
          </cell>
          <cell r="O158">
            <v>5</v>
          </cell>
          <cell r="P158">
            <v>50</v>
          </cell>
          <cell r="R158">
            <v>1316.0100000000002</v>
          </cell>
          <cell r="T158" t="str">
            <v xml:space="preserve"> 4QE</v>
          </cell>
          <cell r="U158">
            <v>0</v>
          </cell>
          <cell r="V158">
            <v>51.750999999999976</v>
          </cell>
          <cell r="W158">
            <v>51.750999999999976</v>
          </cell>
          <cell r="Y158">
            <v>1.6049999999999978</v>
          </cell>
          <cell r="Z158">
            <v>19.675000000000011</v>
          </cell>
          <cell r="AA158">
            <v>20.185000000000002</v>
          </cell>
          <cell r="AB158">
            <v>33.718000000000018</v>
          </cell>
          <cell r="AD158">
            <v>126.93400000000001</v>
          </cell>
          <cell r="AF158">
            <v>11.775999999999996</v>
          </cell>
          <cell r="AG158">
            <v>77.924999999999955</v>
          </cell>
          <cell r="AI158">
            <v>32.86</v>
          </cell>
          <cell r="AJ158">
            <v>11.599999999999994</v>
          </cell>
          <cell r="AK158">
            <v>44.459999999999994</v>
          </cell>
          <cell r="AM158">
            <v>186.51600000000008</v>
          </cell>
          <cell r="AN158">
            <v>66.384999999999991</v>
          </cell>
          <cell r="AO158">
            <v>252.90100000000007</v>
          </cell>
          <cell r="AU158" t="str">
            <v xml:space="preserve"> 4QE</v>
          </cell>
          <cell r="AV158">
            <v>88.642999999999915</v>
          </cell>
          <cell r="AX158">
            <v>112.31999999999994</v>
          </cell>
          <cell r="AY158">
            <v>127.13299999999998</v>
          </cell>
          <cell r="AZ158">
            <v>239.45299999999992</v>
          </cell>
          <cell r="BB158">
            <v>107.87899999999996</v>
          </cell>
          <cell r="BD158">
            <v>10.875</v>
          </cell>
          <cell r="BF158">
            <v>182.28799999999995</v>
          </cell>
          <cell r="BG158">
            <v>106.37399999999997</v>
          </cell>
          <cell r="BH158">
            <v>288.66199999999992</v>
          </cell>
          <cell r="BI158">
            <v>735.51199999999972</v>
          </cell>
          <cell r="BK158">
            <v>-2.9999999999999361E-2</v>
          </cell>
          <cell r="BL158">
            <v>16.300000000000004</v>
          </cell>
          <cell r="BM158">
            <v>16.270000000000003</v>
          </cell>
          <cell r="BO158">
            <v>157.31299999999999</v>
          </cell>
          <cell r="BP158">
            <v>119.35699999999997</v>
          </cell>
          <cell r="BQ158">
            <v>276.66999999999996</v>
          </cell>
          <cell r="BS158">
            <v>4.5300000000000011</v>
          </cell>
          <cell r="BT158">
            <v>281.19999999999993</v>
          </cell>
          <cell r="BV158">
            <v>75</v>
          </cell>
          <cell r="BX158">
            <v>67.461400000000026</v>
          </cell>
          <cell r="BY158">
            <v>3030.4494</v>
          </cell>
          <cell r="BZ158">
            <v>187.79000000000008</v>
          </cell>
          <cell r="CA158">
            <v>3218.2393999999999</v>
          </cell>
        </row>
        <row r="160">
          <cell r="A160" t="str">
            <v>2003E</v>
          </cell>
          <cell r="B160">
            <v>248.435</v>
          </cell>
          <cell r="C160">
            <v>248.24800000000002</v>
          </cell>
          <cell r="D160">
            <v>496.68299999999999</v>
          </cell>
          <cell r="F160">
            <v>2874.7280000000001</v>
          </cell>
          <cell r="G160">
            <v>1329.63</v>
          </cell>
          <cell r="H160">
            <v>4204.3580000000002</v>
          </cell>
          <cell r="J160">
            <v>0</v>
          </cell>
          <cell r="L160">
            <v>147.34300000000002</v>
          </cell>
          <cell r="N160">
            <v>165</v>
          </cell>
          <cell r="O160">
            <v>10</v>
          </cell>
          <cell r="P160">
            <v>175</v>
          </cell>
          <cell r="R160">
            <v>5023.384</v>
          </cell>
          <cell r="T160" t="str">
            <v>2003E</v>
          </cell>
          <cell r="U160">
            <v>0</v>
          </cell>
          <cell r="V160">
            <v>190.79899999999998</v>
          </cell>
          <cell r="W160">
            <v>190.79899999999998</v>
          </cell>
          <cell r="Y160">
            <v>8.009999999999998</v>
          </cell>
          <cell r="Z160">
            <v>67.140000000000015</v>
          </cell>
          <cell r="AA160">
            <v>123.08000000000001</v>
          </cell>
          <cell r="AB160">
            <v>133.32</v>
          </cell>
          <cell r="AD160">
            <v>522.34899999999993</v>
          </cell>
          <cell r="AF160">
            <v>42.135999999999996</v>
          </cell>
          <cell r="AG160">
            <v>326.39999999999998</v>
          </cell>
          <cell r="AI160">
            <v>125.02</v>
          </cell>
          <cell r="AJ160">
            <v>43.599999999999994</v>
          </cell>
          <cell r="AK160">
            <v>168.62</v>
          </cell>
          <cell r="AM160">
            <v>682.44900000000007</v>
          </cell>
          <cell r="AN160">
            <v>244.75</v>
          </cell>
          <cell r="AO160">
            <v>927.19900000000007</v>
          </cell>
          <cell r="AU160" t="str">
            <v>2003E</v>
          </cell>
          <cell r="AV160">
            <v>345.76499999999993</v>
          </cell>
          <cell r="AX160">
            <v>463.85999999999996</v>
          </cell>
          <cell r="AY160">
            <v>478.82799999999997</v>
          </cell>
          <cell r="AZ160">
            <v>942.68799999999987</v>
          </cell>
          <cell r="BB160">
            <v>443.07299999999998</v>
          </cell>
          <cell r="BD160">
            <v>52.019999999999996</v>
          </cell>
          <cell r="BF160">
            <v>644.52599999999995</v>
          </cell>
          <cell r="BG160">
            <v>367.08</v>
          </cell>
          <cell r="BH160">
            <v>1011.606</v>
          </cell>
          <cell r="BI160">
            <v>2795.152</v>
          </cell>
          <cell r="BK160">
            <v>4.43</v>
          </cell>
          <cell r="BL160">
            <v>64.98</v>
          </cell>
          <cell r="BM160">
            <v>69.41</v>
          </cell>
          <cell r="BO160">
            <v>525.59799999999996</v>
          </cell>
          <cell r="BP160">
            <v>443.52499999999998</v>
          </cell>
          <cell r="BQ160">
            <v>969.12299999999993</v>
          </cell>
          <cell r="BS160">
            <v>18.5</v>
          </cell>
          <cell r="BT160">
            <v>987.62299999999993</v>
          </cell>
          <cell r="BV160">
            <v>75</v>
          </cell>
          <cell r="BX160">
            <v>250.37240000000003</v>
          </cell>
          <cell r="BY160">
            <v>11262.645399999999</v>
          </cell>
          <cell r="BZ160">
            <v>693.7</v>
          </cell>
          <cell r="CA160">
            <v>11956.3454</v>
          </cell>
        </row>
        <row r="162">
          <cell r="A162" t="str">
            <v xml:space="preserve">2004/03E </v>
          </cell>
          <cell r="B162">
            <v>-0.15</v>
          </cell>
          <cell r="C162">
            <v>-0.1</v>
          </cell>
          <cell r="D162">
            <v>-0.1250094124421412</v>
          </cell>
          <cell r="F162">
            <v>0.11</v>
          </cell>
          <cell r="G162">
            <v>0.1</v>
          </cell>
          <cell r="H162">
            <v>0.10683749576035147</v>
          </cell>
          <cell r="J162" t="str">
            <v>NM</v>
          </cell>
          <cell r="L162">
            <v>-0.03</v>
          </cell>
          <cell r="R162">
            <v>0.10106190169813814</v>
          </cell>
          <cell r="T162" t="str">
            <v xml:space="preserve">2004/03E </v>
          </cell>
          <cell r="U162">
            <v>0</v>
          </cell>
          <cell r="V162">
            <v>-0.03</v>
          </cell>
          <cell r="W162">
            <v>-3.0000000000000047E-2</v>
          </cell>
          <cell r="Y162">
            <v>0</v>
          </cell>
          <cell r="Z162">
            <v>-0.1</v>
          </cell>
          <cell r="AA162">
            <v>-0.05</v>
          </cell>
          <cell r="AB162">
            <v>-0.12</v>
          </cell>
          <cell r="AD162">
            <v>-6.6220802566866133E-2</v>
          </cell>
          <cell r="AF162">
            <v>-0.05</v>
          </cell>
          <cell r="AG162">
            <v>-0.1</v>
          </cell>
          <cell r="AI162">
            <v>0.3</v>
          </cell>
          <cell r="AJ162">
            <v>0.8</v>
          </cell>
          <cell r="AK162">
            <v>0.42928478235084805</v>
          </cell>
          <cell r="AM162">
            <v>0.09</v>
          </cell>
          <cell r="AN162">
            <v>0.18</v>
          </cell>
          <cell r="AO162">
            <v>0.11375703597609575</v>
          </cell>
          <cell r="AU162" t="str">
            <v xml:space="preserve">2004/03E </v>
          </cell>
          <cell r="AV162">
            <v>0.04</v>
          </cell>
          <cell r="AX162">
            <v>-7.0000000000000007E-2</v>
          </cell>
          <cell r="AY162">
            <v>-0.02</v>
          </cell>
          <cell r="AZ162">
            <v>-4.4603050001697224E-2</v>
          </cell>
          <cell r="BB162">
            <v>0.1</v>
          </cell>
          <cell r="BD162">
            <v>0</v>
          </cell>
          <cell r="BF162">
            <v>0.17</v>
          </cell>
          <cell r="BG162">
            <v>0.15</v>
          </cell>
          <cell r="BH162">
            <v>0.16274262904727724</v>
          </cell>
          <cell r="BI162">
            <v>6.4655718186345398E-2</v>
          </cell>
          <cell r="BK162">
            <v>-0.1</v>
          </cell>
          <cell r="BL162">
            <v>-0.05</v>
          </cell>
          <cell r="BM162">
            <v>-5.3191182826681935E-2</v>
          </cell>
          <cell r="BO162">
            <v>0.09</v>
          </cell>
          <cell r="BP162">
            <v>0.1</v>
          </cell>
          <cell r="BQ162">
            <v>9.4576560457238085E-2</v>
          </cell>
          <cell r="BS162">
            <v>0</v>
          </cell>
          <cell r="BT162">
            <v>9.2804967077518383E-2</v>
          </cell>
          <cell r="BV162">
            <v>6</v>
          </cell>
          <cell r="BX162">
            <v>0</v>
          </cell>
          <cell r="BY162">
            <v>0.11852311891129963</v>
          </cell>
          <cell r="BZ162">
            <v>0</v>
          </cell>
          <cell r="CA162">
            <v>0.11164647853013696</v>
          </cell>
        </row>
        <row r="163">
          <cell r="A163" t="str">
            <v xml:space="preserve">2005/04E </v>
          </cell>
          <cell r="B163">
            <v>-0.1</v>
          </cell>
          <cell r="C163">
            <v>-0.1</v>
          </cell>
          <cell r="D163">
            <v>-0.1</v>
          </cell>
          <cell r="F163">
            <v>0.09</v>
          </cell>
          <cell r="G163">
            <v>0.1</v>
          </cell>
          <cell r="H163">
            <v>9.3142967849334971E-2</v>
          </cell>
          <cell r="J163" t="str">
            <v>NM</v>
          </cell>
          <cell r="L163">
            <v>-0.03</v>
          </cell>
          <cell r="R163">
            <v>8.7812812945397417E-2</v>
          </cell>
          <cell r="T163" t="str">
            <v xml:space="preserve">2005/04E </v>
          </cell>
          <cell r="U163">
            <v>0</v>
          </cell>
          <cell r="V163">
            <v>-0.03</v>
          </cell>
          <cell r="W163">
            <v>-2.999999999999995E-2</v>
          </cell>
          <cell r="Y163">
            <v>0</v>
          </cell>
          <cell r="Z163">
            <v>-0.03</v>
          </cell>
          <cell r="AA163">
            <v>-0.05</v>
          </cell>
          <cell r="AB163">
            <v>-0.1</v>
          </cell>
          <cell r="AD163">
            <v>-5.1139004757332483E-2</v>
          </cell>
          <cell r="AF163">
            <v>-0.05</v>
          </cell>
          <cell r="AG163">
            <v>-0.05</v>
          </cell>
          <cell r="AI163">
            <v>0.35</v>
          </cell>
          <cell r="AJ163">
            <v>0.4</v>
          </cell>
          <cell r="AK163">
            <v>0.36628175232151905</v>
          </cell>
          <cell r="AM163">
            <v>0.08</v>
          </cell>
          <cell r="AN163">
            <v>0.15</v>
          </cell>
          <cell r="AO163">
            <v>9.9576693103104991E-2</v>
          </cell>
          <cell r="AU163" t="str">
            <v xml:space="preserve">2005/04E </v>
          </cell>
          <cell r="AV163">
            <v>0.04</v>
          </cell>
          <cell r="AX163">
            <v>0</v>
          </cell>
          <cell r="AY163">
            <v>0</v>
          </cell>
          <cell r="AZ163">
            <v>0</v>
          </cell>
          <cell r="BB163">
            <v>0.09</v>
          </cell>
          <cell r="BD163">
            <v>0</v>
          </cell>
          <cell r="BF163">
            <v>0.15</v>
          </cell>
          <cell r="BG163">
            <v>0.15</v>
          </cell>
          <cell r="BH163">
            <v>0.15000000000000011</v>
          </cell>
          <cell r="BI163">
            <v>7.88620821436775E-2</v>
          </cell>
          <cell r="BK163">
            <v>-0.05</v>
          </cell>
          <cell r="BL163">
            <v>-0.05</v>
          </cell>
          <cell r="BM163">
            <v>-5.0000000000000079E-2</v>
          </cell>
          <cell r="BO163">
            <v>0.09</v>
          </cell>
          <cell r="BP163">
            <v>0.08</v>
          </cell>
          <cell r="BQ163">
            <v>8.5400763468880564E-2</v>
          </cell>
          <cell r="BS163">
            <v>0</v>
          </cell>
          <cell r="BT163">
            <v>8.3936903192029996E-2</v>
          </cell>
          <cell r="BV163">
            <v>2.3333333333333335</v>
          </cell>
          <cell r="BX163">
            <v>0</v>
          </cell>
          <cell r="BY163">
            <v>0.13154644822789641</v>
          </cell>
          <cell r="BZ163">
            <v>0</v>
          </cell>
          <cell r="CA163">
            <v>0.12468073480511163</v>
          </cell>
        </row>
        <row r="164">
          <cell r="A164" t="str">
            <v>2006/05E</v>
          </cell>
          <cell r="B164">
            <v>-0.1</v>
          </cell>
          <cell r="C164">
            <v>-0.1</v>
          </cell>
          <cell r="D164">
            <v>-9.9999999999999978E-2</v>
          </cell>
          <cell r="F164">
            <v>0.06</v>
          </cell>
          <cell r="G164">
            <v>0.06</v>
          </cell>
          <cell r="H164">
            <v>6.0000000000000164E-2</v>
          </cell>
          <cell r="J164" t="str">
            <v>NM</v>
          </cell>
          <cell r="L164">
            <v>-0.03</v>
          </cell>
          <cell r="R164">
            <v>6.0156473499803263E-2</v>
          </cell>
          <cell r="T164" t="str">
            <v>2006/05E</v>
          </cell>
          <cell r="U164">
            <v>0</v>
          </cell>
          <cell r="V164">
            <v>-0.03</v>
          </cell>
          <cell r="W164">
            <v>-3.0000000000000037E-2</v>
          </cell>
          <cell r="Y164">
            <v>0</v>
          </cell>
          <cell r="Z164">
            <v>-0.03</v>
          </cell>
          <cell r="AA164">
            <v>-0.05</v>
          </cell>
          <cell r="AB164">
            <v>-0.1</v>
          </cell>
          <cell r="AD164">
            <v>-5.0251184561996072E-2</v>
          </cell>
          <cell r="AF164">
            <v>-0.05</v>
          </cell>
          <cell r="AG164">
            <v>-0.05</v>
          </cell>
          <cell r="AI164">
            <v>0.3</v>
          </cell>
          <cell r="AJ164">
            <v>0.3</v>
          </cell>
          <cell r="AK164">
            <v>0.3</v>
          </cell>
          <cell r="AM164">
            <v>0.08</v>
          </cell>
          <cell r="AN164">
            <v>0.12</v>
          </cell>
          <cell r="AO164">
            <v>9.1699669627298058E-2</v>
          </cell>
          <cell r="AU164" t="str">
            <v>2006/05E</v>
          </cell>
          <cell r="AV164">
            <v>0.04</v>
          </cell>
          <cell r="AX164">
            <v>0</v>
          </cell>
          <cell r="AY164">
            <v>0</v>
          </cell>
          <cell r="AZ164">
            <v>0</v>
          </cell>
          <cell r="BB164">
            <v>-0.4</v>
          </cell>
          <cell r="BD164">
            <v>0</v>
          </cell>
          <cell r="BF164">
            <v>0.14000000000000001</v>
          </cell>
          <cell r="BG164">
            <v>0.14000000000000001</v>
          </cell>
          <cell r="BH164">
            <v>0.13999999999999996</v>
          </cell>
          <cell r="BI164">
            <v>-2.5429874340756947E-3</v>
          </cell>
          <cell r="BK164">
            <v>-0.03</v>
          </cell>
          <cell r="BL164">
            <v>-0.03</v>
          </cell>
          <cell r="BM164">
            <v>-2.9999999999999978E-2</v>
          </cell>
          <cell r="BO164">
            <v>0.08</v>
          </cell>
          <cell r="BP164">
            <v>7.0000000000000007E-2</v>
          </cell>
          <cell r="BQ164">
            <v>7.5423648461666895E-2</v>
          </cell>
          <cell r="BS164">
            <v>0</v>
          </cell>
          <cell r="BT164">
            <v>7.4230920482529522E-2</v>
          </cell>
          <cell r="BV164">
            <v>1.6666666666666667</v>
          </cell>
          <cell r="BX164">
            <v>0</v>
          </cell>
          <cell r="BY164">
            <v>9.7339754297769435E-2</v>
          </cell>
          <cell r="BZ164">
            <v>0</v>
          </cell>
          <cell r="CA164">
            <v>9.2822572858335825E-2</v>
          </cell>
        </row>
        <row r="165">
          <cell r="A165" t="str">
            <v>2007/06E</v>
          </cell>
          <cell r="B165">
            <v>-0.1</v>
          </cell>
          <cell r="C165">
            <v>-0.1</v>
          </cell>
          <cell r="D165">
            <v>-0.1</v>
          </cell>
          <cell r="F165">
            <v>0.06</v>
          </cell>
          <cell r="G165">
            <v>4.3999999999999997E-2</v>
          </cell>
          <cell r="H165">
            <v>5.4939707268379712E-2</v>
          </cell>
          <cell r="J165" t="str">
            <v>NM</v>
          </cell>
          <cell r="L165">
            <v>-0.03</v>
          </cell>
          <cell r="R165">
            <v>5.596905093027451E-2</v>
          </cell>
          <cell r="T165" t="str">
            <v>2007/06E</v>
          </cell>
          <cell r="U165">
            <v>0</v>
          </cell>
          <cell r="V165">
            <v>-0.03</v>
          </cell>
          <cell r="W165">
            <v>-3.0000000000000044E-2</v>
          </cell>
          <cell r="Y165">
            <v>0</v>
          </cell>
          <cell r="Z165">
            <v>-0.03</v>
          </cell>
          <cell r="AA165">
            <v>-0.05</v>
          </cell>
          <cell r="AB165">
            <v>-0.1</v>
          </cell>
          <cell r="AD165">
            <v>-4.9388445886639938E-2</v>
          </cell>
          <cell r="AF165">
            <v>-0.05</v>
          </cell>
          <cell r="AG165">
            <v>-0.05</v>
          </cell>
          <cell r="AI165">
            <v>0.23</v>
          </cell>
          <cell r="AJ165">
            <v>0.2</v>
          </cell>
          <cell r="AK165">
            <v>0.21998985975854757</v>
          </cell>
          <cell r="AM165">
            <v>7.0000000000000007E-2</v>
          </cell>
          <cell r="AN165">
            <v>0.12</v>
          </cell>
          <cell r="AO165">
            <v>8.5003702880856596E-2</v>
          </cell>
          <cell r="AU165" t="str">
            <v>2007/06E</v>
          </cell>
          <cell r="AV165">
            <v>0.04</v>
          </cell>
          <cell r="AX165">
            <v>0</v>
          </cell>
          <cell r="AY165">
            <v>0</v>
          </cell>
          <cell r="AZ165">
            <v>0</v>
          </cell>
          <cell r="BB165">
            <v>-0.6</v>
          </cell>
          <cell r="BD165">
            <v>0</v>
          </cell>
          <cell r="BF165">
            <v>0.14000000000000001</v>
          </cell>
          <cell r="BG165">
            <v>0.14000000000000001</v>
          </cell>
          <cell r="BH165">
            <v>0.14000000000000024</v>
          </cell>
          <cell r="BI165">
            <v>1.2551901080898839E-2</v>
          </cell>
          <cell r="BK165">
            <v>-0.03</v>
          </cell>
          <cell r="BL165">
            <v>-0.03</v>
          </cell>
          <cell r="BM165">
            <v>-2.9999999999999954E-2</v>
          </cell>
          <cell r="BO165">
            <v>7.0000000000000007E-2</v>
          </cell>
          <cell r="BP165">
            <v>0.06</v>
          </cell>
          <cell r="BQ165">
            <v>6.5446728223782988E-2</v>
          </cell>
          <cell r="BS165">
            <v>0</v>
          </cell>
          <cell r="BT165">
            <v>6.4483289358207005E-2</v>
          </cell>
          <cell r="BV165">
            <v>1.4857142857142858</v>
          </cell>
          <cell r="BX165">
            <v>0</v>
          </cell>
          <cell r="BY165">
            <v>9.9359074636535413E-2</v>
          </cell>
          <cell r="BZ165">
            <v>0</v>
          </cell>
          <cell r="CA165">
            <v>9.5139825497598154E-2</v>
          </cell>
        </row>
        <row r="166">
          <cell r="A166" t="str">
            <v>2001E</v>
          </cell>
          <cell r="B166">
            <v>1659</v>
          </cell>
          <cell r="C166">
            <v>330.90000000000003</v>
          </cell>
          <cell r="D166">
            <v>1989.8999999999999</v>
          </cell>
          <cell r="F166">
            <v>2176.1</v>
          </cell>
          <cell r="G166">
            <v>910.5</v>
          </cell>
          <cell r="H166">
            <v>3086.6</v>
          </cell>
          <cell r="I166">
            <v>0</v>
          </cell>
          <cell r="J166">
            <v>86.4</v>
          </cell>
          <cell r="K166">
            <v>0</v>
          </cell>
          <cell r="L166">
            <v>149.80000000000001</v>
          </cell>
          <cell r="M166">
            <v>0</v>
          </cell>
          <cell r="R166">
            <v>5312.7</v>
          </cell>
          <cell r="T166" t="str">
            <v>2001E</v>
          </cell>
          <cell r="U166">
            <v>4.2</v>
          </cell>
          <cell r="V166">
            <v>227.39999999999998</v>
          </cell>
          <cell r="W166">
            <v>231.6</v>
          </cell>
          <cell r="Y166">
            <v>11.3</v>
          </cell>
          <cell r="Z166">
            <v>80.100000000000009</v>
          </cell>
          <cell r="AA166">
            <v>210.60000000000002</v>
          </cell>
          <cell r="AB166">
            <v>198.00000000000003</v>
          </cell>
          <cell r="AD166">
            <v>731.7</v>
          </cell>
          <cell r="AF166">
            <v>54.4</v>
          </cell>
          <cell r="AG166">
            <v>431.4</v>
          </cell>
          <cell r="AI166">
            <v>21.1</v>
          </cell>
          <cell r="AJ166">
            <v>0.1</v>
          </cell>
          <cell r="AL166">
            <v>0</v>
          </cell>
          <cell r="AM166">
            <v>526.19999999999993</v>
          </cell>
          <cell r="AN166">
            <v>138.69999999999999</v>
          </cell>
          <cell r="AO166">
            <v>664.80000000000007</v>
          </cell>
          <cell r="AU166" t="str">
            <v>YearA</v>
          </cell>
          <cell r="AV166">
            <v>312.7</v>
          </cell>
          <cell r="AX166">
            <v>578.4</v>
          </cell>
          <cell r="AY166">
            <v>482.1</v>
          </cell>
          <cell r="AZ166">
            <v>1060.5</v>
          </cell>
          <cell r="BB166">
            <v>361</v>
          </cell>
          <cell r="BD166">
            <v>75.899999999999991</v>
          </cell>
          <cell r="BF166">
            <v>394.6</v>
          </cell>
          <cell r="BG166">
            <v>233.3</v>
          </cell>
          <cell r="BH166">
            <v>627.80000000000007</v>
          </cell>
          <cell r="BI166">
            <v>2437.9</v>
          </cell>
          <cell r="BK166">
            <v>186.4</v>
          </cell>
          <cell r="BL166">
            <v>98.4</v>
          </cell>
          <cell r="BM166">
            <v>284.7</v>
          </cell>
          <cell r="BO166">
            <v>417.3</v>
          </cell>
          <cell r="BP166">
            <v>305.5</v>
          </cell>
          <cell r="BQ166">
            <v>722.7</v>
          </cell>
          <cell r="BS166">
            <v>16.000000000000004</v>
          </cell>
          <cell r="BT166">
            <v>739</v>
          </cell>
          <cell r="BU166">
            <v>0</v>
          </cell>
          <cell r="BV166">
            <v>0</v>
          </cell>
          <cell r="BW166">
            <v>0</v>
          </cell>
          <cell r="BX166">
            <v>168.2</v>
          </cell>
          <cell r="BY166">
            <v>10824.800000000001</v>
          </cell>
          <cell r="BZ166">
            <v>696.6</v>
          </cell>
          <cell r="CA166">
            <v>11542.400000000001</v>
          </cell>
        </row>
        <row r="168">
          <cell r="A168" t="str">
            <v>2004E</v>
          </cell>
          <cell r="B168">
            <v>211.16974999999999</v>
          </cell>
          <cell r="C168">
            <v>223.42320000000001</v>
          </cell>
          <cell r="D168">
            <v>434.59294999999997</v>
          </cell>
          <cell r="F168">
            <v>3190.9480800000001</v>
          </cell>
          <cell r="G168">
            <v>1462.5930000000001</v>
          </cell>
          <cell r="H168">
            <v>4653.54108</v>
          </cell>
          <cell r="J168">
            <v>0</v>
          </cell>
          <cell r="L168">
            <v>142.92271000000002</v>
          </cell>
          <cell r="N168">
            <v>250</v>
          </cell>
          <cell r="O168">
            <v>50</v>
          </cell>
          <cell r="P168">
            <v>300</v>
          </cell>
          <cell r="R168">
            <v>5531.05674</v>
          </cell>
          <cell r="T168" t="str">
            <v>2004E</v>
          </cell>
          <cell r="U168">
            <v>0</v>
          </cell>
          <cell r="V168">
            <v>185.07502999999997</v>
          </cell>
          <cell r="W168">
            <v>185.07502999999997</v>
          </cell>
          <cell r="Y168">
            <v>8.009999999999998</v>
          </cell>
          <cell r="Z168">
            <v>60.426000000000016</v>
          </cell>
          <cell r="AA168">
            <v>116.92600000000002</v>
          </cell>
          <cell r="AB168">
            <v>117.32159999999999</v>
          </cell>
          <cell r="AD168">
            <v>487.75862999999998</v>
          </cell>
          <cell r="AF168">
            <v>40.029199999999996</v>
          </cell>
          <cell r="AG168">
            <v>293.76</v>
          </cell>
          <cell r="AI168">
            <v>162.52600000000001</v>
          </cell>
          <cell r="AJ168">
            <v>78.47999999999999</v>
          </cell>
          <cell r="AK168">
            <v>241.006</v>
          </cell>
          <cell r="AM168">
            <v>743.86941000000002</v>
          </cell>
          <cell r="AN168">
            <v>288.80500000000001</v>
          </cell>
          <cell r="AO168">
            <v>1032.6744100000001</v>
          </cell>
          <cell r="AU168" t="str">
            <v>2004E</v>
          </cell>
          <cell r="AV168">
            <v>359.59559999999993</v>
          </cell>
          <cell r="AX168">
            <v>431.38979999999998</v>
          </cell>
          <cell r="AY168">
            <v>469.25144</v>
          </cell>
          <cell r="AZ168">
            <v>900.64123999999993</v>
          </cell>
          <cell r="BB168">
            <v>487.38029999999998</v>
          </cell>
          <cell r="BD168">
            <v>52.019999999999996</v>
          </cell>
          <cell r="BF168">
            <v>754.09541999999999</v>
          </cell>
          <cell r="BG168">
            <v>422.142</v>
          </cell>
          <cell r="BH168">
            <v>1176.2374199999999</v>
          </cell>
          <cell r="BI168">
            <v>2975.8745599999997</v>
          </cell>
          <cell r="BK168">
            <v>3.9869999999999997</v>
          </cell>
          <cell r="BL168">
            <v>61.731000000000002</v>
          </cell>
          <cell r="BM168">
            <v>65.718000000000004</v>
          </cell>
          <cell r="BO168">
            <v>572.90181999999993</v>
          </cell>
          <cell r="BP168">
            <v>487.8775</v>
          </cell>
          <cell r="BQ168">
            <v>1060.7793199999999</v>
          </cell>
          <cell r="BS168">
            <v>18.5</v>
          </cell>
          <cell r="BT168">
            <v>1079.2793199999999</v>
          </cell>
          <cell r="BV168">
            <v>450</v>
          </cell>
          <cell r="BX168">
            <v>250.37240000000003</v>
          </cell>
          <cell r="BY168">
            <v>12597.529260000001</v>
          </cell>
          <cell r="BZ168">
            <v>693.7</v>
          </cell>
          <cell r="CA168">
            <v>13291.229260000002</v>
          </cell>
        </row>
        <row r="169">
          <cell r="A169" t="str">
            <v>2005E</v>
          </cell>
          <cell r="B169">
            <v>190.052775</v>
          </cell>
          <cell r="C169">
            <v>201.08088000000001</v>
          </cell>
          <cell r="D169">
            <v>391.13365499999998</v>
          </cell>
          <cell r="F169">
            <v>3478.1334072</v>
          </cell>
          <cell r="G169">
            <v>1608.8523</v>
          </cell>
          <cell r="H169">
            <v>5086.9857071999995</v>
          </cell>
          <cell r="J169">
            <v>0</v>
          </cell>
          <cell r="L169">
            <v>138.63502870000002</v>
          </cell>
          <cell r="N169">
            <v>325</v>
          </cell>
          <cell r="O169">
            <v>75</v>
          </cell>
          <cell r="P169">
            <v>400</v>
          </cell>
          <cell r="R169">
            <v>6016.7543908999996</v>
          </cell>
          <cell r="T169" t="str">
            <v>2005E</v>
          </cell>
          <cell r="U169">
            <v>0</v>
          </cell>
          <cell r="V169">
            <v>179.52277909999998</v>
          </cell>
          <cell r="W169">
            <v>179.52277909999998</v>
          </cell>
          <cell r="Y169">
            <v>8.009999999999998</v>
          </cell>
          <cell r="Z169">
            <v>58.613220000000013</v>
          </cell>
          <cell r="AA169">
            <v>111.07970000000002</v>
          </cell>
          <cell r="AB169">
            <v>105.58944</v>
          </cell>
          <cell r="AD169">
            <v>462.81513910000001</v>
          </cell>
          <cell r="AF169">
            <v>38.027739999999994</v>
          </cell>
          <cell r="AG169">
            <v>279.072</v>
          </cell>
          <cell r="AI169">
            <v>219.4101</v>
          </cell>
          <cell r="AJ169">
            <v>109.87199999999999</v>
          </cell>
          <cell r="AK169">
            <v>329.28210000000001</v>
          </cell>
          <cell r="AM169">
            <v>803.37896280000007</v>
          </cell>
          <cell r="AN169">
            <v>332.12574999999998</v>
          </cell>
          <cell r="AO169">
            <v>1135.5047128000001</v>
          </cell>
          <cell r="AU169" t="str">
            <v>2005E</v>
          </cell>
          <cell r="AV169">
            <v>373.97942399999994</v>
          </cell>
          <cell r="AX169">
            <v>431.38979999999998</v>
          </cell>
          <cell r="AY169">
            <v>469.25144</v>
          </cell>
          <cell r="AZ169">
            <v>900.64123999999993</v>
          </cell>
          <cell r="BB169">
            <v>531.24452699999995</v>
          </cell>
          <cell r="BD169">
            <v>52.019999999999996</v>
          </cell>
          <cell r="BF169">
            <v>867.20973300000003</v>
          </cell>
          <cell r="BG169">
            <v>485.4633</v>
          </cell>
          <cell r="BH169">
            <v>1352.673033</v>
          </cell>
          <cell r="BI169">
            <v>3210.5582239999999</v>
          </cell>
          <cell r="BK169">
            <v>3.7876499999999997</v>
          </cell>
          <cell r="BL169">
            <v>58.644449999999999</v>
          </cell>
          <cell r="BM169">
            <v>62.432099999999998</v>
          </cell>
          <cell r="BO169">
            <v>624.46298379999996</v>
          </cell>
          <cell r="BP169">
            <v>526.90769999999998</v>
          </cell>
          <cell r="BQ169">
            <v>1151.3706837999998</v>
          </cell>
          <cell r="BS169">
            <v>18.5</v>
          </cell>
          <cell r="BT169">
            <v>1169.8706837999998</v>
          </cell>
          <cell r="BV169">
            <v>1050</v>
          </cell>
          <cell r="BX169">
            <v>250.37240000000003</v>
          </cell>
          <cell r="BY169">
            <v>14254.689490600002</v>
          </cell>
          <cell r="BZ169">
            <v>693.7</v>
          </cell>
          <cell r="CA169">
            <v>14948.389490600002</v>
          </cell>
        </row>
        <row r="170">
          <cell r="A170" t="str">
            <v>2006E</v>
          </cell>
          <cell r="B170">
            <v>171.04749749999999</v>
          </cell>
          <cell r="C170">
            <v>180.972792</v>
          </cell>
          <cell r="D170">
            <v>352.02028949999999</v>
          </cell>
          <cell r="F170">
            <v>3686.821411632</v>
          </cell>
          <cell r="G170">
            <v>1705.3834380000001</v>
          </cell>
          <cell r="H170">
            <v>5392.2048496320003</v>
          </cell>
          <cell r="J170">
            <v>0</v>
          </cell>
          <cell r="L170">
            <v>134.47597783900002</v>
          </cell>
          <cell r="N170">
            <v>400</v>
          </cell>
          <cell r="O170">
            <v>100</v>
          </cell>
          <cell r="P170">
            <v>500</v>
          </cell>
          <cell r="R170">
            <v>6378.7011169710004</v>
          </cell>
          <cell r="T170" t="str">
            <v>2006E</v>
          </cell>
          <cell r="U170">
            <v>0</v>
          </cell>
          <cell r="V170">
            <v>174.13709572699997</v>
          </cell>
          <cell r="W170">
            <v>174.13709572699997</v>
          </cell>
          <cell r="Y170">
            <v>8.009999999999998</v>
          </cell>
          <cell r="Z170">
            <v>56.854823400000015</v>
          </cell>
          <cell r="AA170">
            <v>105.52571500000002</v>
          </cell>
          <cell r="AB170">
            <v>95.030495999999999</v>
          </cell>
          <cell r="AD170">
            <v>439.55813012700003</v>
          </cell>
          <cell r="AF170">
            <v>36.126352999999995</v>
          </cell>
          <cell r="AG170">
            <v>265.11840000000001</v>
          </cell>
          <cell r="AI170">
            <v>285.23313000000002</v>
          </cell>
          <cell r="AJ170">
            <v>142.83359999999999</v>
          </cell>
          <cell r="AK170">
            <v>428.06673000000001</v>
          </cell>
          <cell r="AM170">
            <v>867.64927982400013</v>
          </cell>
          <cell r="AN170">
            <v>371.98084</v>
          </cell>
          <cell r="AO170">
            <v>1239.6301198240001</v>
          </cell>
          <cell r="AU170" t="str">
            <v>2006E</v>
          </cell>
          <cell r="AV170">
            <v>388.93860095999992</v>
          </cell>
          <cell r="AX170">
            <v>431.38979999999998</v>
          </cell>
          <cell r="AY170">
            <v>469.25144</v>
          </cell>
          <cell r="AZ170">
            <v>900.64123999999993</v>
          </cell>
          <cell r="BB170">
            <v>318.74671619999992</v>
          </cell>
          <cell r="BD170">
            <v>52.019999999999996</v>
          </cell>
          <cell r="BF170">
            <v>988.61909562000005</v>
          </cell>
          <cell r="BG170">
            <v>553.42816200000004</v>
          </cell>
          <cell r="BH170">
            <v>1542.04725762</v>
          </cell>
          <cell r="BI170">
            <v>3202.3938147799995</v>
          </cell>
          <cell r="BK170">
            <v>3.6740204999999997</v>
          </cell>
          <cell r="BL170">
            <v>56.885116500000002</v>
          </cell>
          <cell r="BM170">
            <v>60.559137</v>
          </cell>
          <cell r="BO170">
            <v>674.42002250399992</v>
          </cell>
          <cell r="BP170">
            <v>563.79123900000002</v>
          </cell>
          <cell r="BQ170">
            <v>1238.211261504</v>
          </cell>
          <cell r="BS170">
            <v>18.5</v>
          </cell>
          <cell r="BT170">
            <v>1256.711261504</v>
          </cell>
          <cell r="BV170">
            <v>1750</v>
          </cell>
          <cell r="BX170">
            <v>250.37240000000003</v>
          </cell>
          <cell r="BY170">
            <v>15642.237463206002</v>
          </cell>
          <cell r="BZ170">
            <v>693.7</v>
          </cell>
          <cell r="CA170">
            <v>16335.937463206003</v>
          </cell>
        </row>
        <row r="171">
          <cell r="A171" t="str">
            <v>2007E</v>
          </cell>
          <cell r="B171">
            <v>153.94274775</v>
          </cell>
          <cell r="C171">
            <v>162.8755128</v>
          </cell>
          <cell r="D171">
            <v>316.81826054999999</v>
          </cell>
          <cell r="F171">
            <v>3908.0306963299199</v>
          </cell>
          <cell r="G171">
            <v>1780.4203092720002</v>
          </cell>
          <cell r="H171">
            <v>5688.4510056019199</v>
          </cell>
          <cell r="J171">
            <v>0</v>
          </cell>
          <cell r="L171">
            <v>130.44169850383003</v>
          </cell>
          <cell r="N171">
            <v>475</v>
          </cell>
          <cell r="O171">
            <v>125</v>
          </cell>
          <cell r="P171">
            <v>600</v>
          </cell>
          <cell r="R171">
            <v>6735.7109646557492</v>
          </cell>
          <cell r="T171" t="str">
            <v>2007E</v>
          </cell>
          <cell r="U171">
            <v>0</v>
          </cell>
          <cell r="V171">
            <v>168.91298285518997</v>
          </cell>
          <cell r="W171">
            <v>168.91298285518997</v>
          </cell>
          <cell r="Y171">
            <v>8.009999999999998</v>
          </cell>
          <cell r="Z171">
            <v>55.149178698000014</v>
          </cell>
          <cell r="AA171">
            <v>100.24942925000002</v>
          </cell>
          <cell r="AB171">
            <v>85.527446400000002</v>
          </cell>
          <cell r="AD171">
            <v>417.84903720319005</v>
          </cell>
          <cell r="AF171">
            <v>34.320035349999998</v>
          </cell>
          <cell r="AG171">
            <v>251.86248000000001</v>
          </cell>
          <cell r="AI171">
            <v>350.83674990000003</v>
          </cell>
          <cell r="AJ171">
            <v>171.40031999999999</v>
          </cell>
          <cell r="AK171">
            <v>522.23706990000005</v>
          </cell>
          <cell r="AM171">
            <v>928.38472941168015</v>
          </cell>
          <cell r="AN171">
            <v>416.61854080000001</v>
          </cell>
          <cell r="AO171">
            <v>1345.00327021168</v>
          </cell>
          <cell r="AU171" t="str">
            <v>2007E</v>
          </cell>
          <cell r="AV171">
            <v>404.49614499839993</v>
          </cell>
          <cell r="AX171">
            <v>431.38979999999998</v>
          </cell>
          <cell r="AY171">
            <v>469.25144</v>
          </cell>
          <cell r="AZ171">
            <v>900.64123999999993</v>
          </cell>
          <cell r="BB171">
            <v>127.49868647999998</v>
          </cell>
          <cell r="BD171">
            <v>52.019999999999996</v>
          </cell>
          <cell r="BF171">
            <v>1127.0257690068001</v>
          </cell>
          <cell r="BG171">
            <v>630.90810468000006</v>
          </cell>
          <cell r="BH171">
            <v>1757.9338736868003</v>
          </cell>
          <cell r="BI171">
            <v>3242.5899451652003</v>
          </cell>
          <cell r="BK171">
            <v>3.5637998849999999</v>
          </cell>
          <cell r="BL171">
            <v>55.178563005000001</v>
          </cell>
          <cell r="BM171">
            <v>58.742362890000003</v>
          </cell>
          <cell r="BO171">
            <v>721.62942407927994</v>
          </cell>
          <cell r="BP171">
            <v>597.61871334</v>
          </cell>
          <cell r="BQ171">
            <v>1319.2481374192798</v>
          </cell>
          <cell r="BS171">
            <v>18.5</v>
          </cell>
          <cell r="BT171">
            <v>1337.7481374192798</v>
          </cell>
          <cell r="BV171">
            <v>2600</v>
          </cell>
          <cell r="BX171">
            <v>250.37240000000003</v>
          </cell>
          <cell r="BY171">
            <v>17196.435702795097</v>
          </cell>
          <cell r="BZ171">
            <v>693.7</v>
          </cell>
          <cell r="CA171">
            <v>17890.135702795098</v>
          </cell>
        </row>
        <row r="173">
          <cell r="A173" t="str">
            <v>Notes:</v>
          </cell>
          <cell r="T173" t="str">
            <v>Notes:</v>
          </cell>
          <cell r="AU173" t="str">
            <v>Notes:</v>
          </cell>
        </row>
        <row r="174">
          <cell r="A174" t="str">
            <v>(a) Dynabac has been licensed out to Bock Pharmaceuticals in the U.S.  LLY records sales to Bock in U.S. and international sales.</v>
          </cell>
          <cell r="T174" t="str">
            <v>(a) Dynabac has been licensed out to Bock Pharmaceuticals in the U.S.  LLY records sales to Bock in U.S. and international sales.</v>
          </cell>
          <cell r="AU174" t="str">
            <v>(a) Dynabac has been licensed out to Bock Pharmaceuticals in the U.S.  LLY records sales to Bock in U.S. and international sales.</v>
          </cell>
        </row>
        <row r="175">
          <cell r="A175" t="str">
            <v xml:space="preserve">(b) Other injectables include Nebcin, Mandol, Kefzol, and Tazidime.  </v>
          </cell>
          <cell r="T175" t="str">
            <v xml:space="preserve">(b) Other injectables include Nebcin, Mandol, Kefzol, and Tazidime.  </v>
          </cell>
          <cell r="AU175" t="str">
            <v xml:space="preserve">(b) Other injectables include Nebcin, Mandol, Kefzol, and Tazidime.  </v>
          </cell>
        </row>
        <row r="176">
          <cell r="A176" t="str">
            <v>(c) LLY records 100% of ReoPro sales and pays a third-party manufacturing fee to Centocor (CNTO) of 50% of sales.</v>
          </cell>
          <cell r="T176" t="str">
            <v>(c) LLY records 100% of ReoPro sales and pays a third-party manufacturing fee to Centocor (CNTO) of 50% of sales.</v>
          </cell>
          <cell r="AU176" t="str">
            <v>(c) LLY records 100% of ReoPro sales and pays a third-party manufacturing fee to Centocor (CNTO) of 50% of sales.</v>
          </cell>
        </row>
        <row r="177">
          <cell r="A177" t="str">
            <v>(d) Other pharma includes Lorabid (sold to KG) , Cynt, Darvon, and other cardio and neuroscience</v>
          </cell>
          <cell r="T177" t="str">
            <v>(d) Other pharma includes Lorabid (sold to KG) , Cynt, Darvon, and other cardio and neuroscience</v>
          </cell>
        </row>
        <row r="179">
          <cell r="A179" t="str">
            <v>E = Morgan Stanley Research Estimates       A = Actual       NM = Not Meaningful</v>
          </cell>
          <cell r="T179" t="str">
            <v>E = Morgan Stanley Research Estimates       A = Actual       NM = Not Meaningful</v>
          </cell>
          <cell r="AU179" t="str">
            <v>E = Morgan Stanley Research Estimates       A = Actual       NM = Not Meaningful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S Chg"/>
      <sheetName val="Qtr Rpt"/>
      <sheetName val="RAPID2"/>
      <sheetName val="Model"/>
      <sheetName val="Encl Acq"/>
      <sheetName val="FCall Hdr"/>
      <sheetName val="Convt Dilution"/>
      <sheetName val="Old Model"/>
      <sheetName val="ALRN Model"/>
      <sheetName val="Acq Dilution"/>
      <sheetName val="Valuation"/>
      <sheetName val="Margin Chart"/>
      <sheetName val="OLD SANM Model"/>
      <sheetName val="ELEX Model"/>
      <sheetName val="Buyback"/>
      <sheetName val="00 Dilution"/>
      <sheetName val="Schu Acq Analysis"/>
      <sheetName val="Schu Acq Analysis (stock)"/>
    </sheetNames>
    <sheetDataSet>
      <sheetData sheetId="0"/>
      <sheetData sheetId="1"/>
      <sheetData sheetId="2"/>
      <sheetData sheetId="3" refreshError="1">
        <row r="3">
          <cell r="FZ3" t="str">
            <v>Date:</v>
          </cell>
          <cell r="GA3">
            <v>35731.399022569443</v>
          </cell>
          <cell r="GJ3" t="str">
            <v>Date:</v>
          </cell>
          <cell r="GK3" t="str">
            <v>Sanmina Corporation</v>
          </cell>
        </row>
        <row r="4">
          <cell r="FZ4" t="str">
            <v>FY End:</v>
          </cell>
          <cell r="GA4" t="str">
            <v>Sep</v>
          </cell>
          <cell r="GJ4" t="str">
            <v>FY End:</v>
          </cell>
          <cell r="GK4" t="str">
            <v>SANM (NASDAQ)</v>
          </cell>
        </row>
        <row r="5">
          <cell r="FZ5" t="str">
            <v>Price:</v>
          </cell>
          <cell r="GA5">
            <v>64.625</v>
          </cell>
          <cell r="GB5" t="str">
            <v>Sep</v>
          </cell>
          <cell r="GJ5" t="str">
            <v>Price:</v>
          </cell>
          <cell r="GK5" t="str">
            <v>($ In Millions Except Per Share Data)</v>
          </cell>
          <cell r="GL5" t="str">
            <v>Sep</v>
          </cell>
        </row>
        <row r="7">
          <cell r="FZ7" t="str">
            <v>Tax</v>
          </cell>
          <cell r="GA7" t="str">
            <v>1992A</v>
          </cell>
          <cell r="GB7">
            <v>1990</v>
          </cell>
          <cell r="GC7" t="str">
            <v>Net</v>
          </cell>
          <cell r="GD7" t="str">
            <v>1992A</v>
          </cell>
          <cell r="GE7" t="str">
            <v>F.D.</v>
          </cell>
          <cell r="GF7" t="str">
            <v>1994A</v>
          </cell>
          <cell r="GG7" t="str">
            <v>1995A</v>
          </cell>
          <cell r="GH7" t="str">
            <v>Avg FD</v>
          </cell>
          <cell r="GI7" t="str">
            <v>1997E</v>
          </cell>
          <cell r="GJ7" t="str">
            <v>Balance Sheet</v>
          </cell>
          <cell r="GL7">
            <v>1990</v>
          </cell>
          <cell r="GM7">
            <v>1991</v>
          </cell>
          <cell r="GN7" t="str">
            <v>1992A</v>
          </cell>
          <cell r="GO7" t="str">
            <v>1991A</v>
          </cell>
          <cell r="GP7" t="str">
            <v>1992A</v>
          </cell>
          <cell r="GQ7" t="str">
            <v>1993A</v>
          </cell>
          <cell r="GR7" t="str">
            <v>1994A</v>
          </cell>
          <cell r="GS7" t="str">
            <v>1995A</v>
          </cell>
        </row>
        <row r="8">
          <cell r="FZ8" t="str">
            <v>Rate</v>
          </cell>
          <cell r="GB8" t="str">
            <v>Inc.</v>
          </cell>
          <cell r="GC8" t="str">
            <v>%</v>
          </cell>
          <cell r="GD8" t="str">
            <v>Chg.</v>
          </cell>
          <cell r="GE8" t="str">
            <v>EPS</v>
          </cell>
          <cell r="GF8" t="str">
            <v>Chg.</v>
          </cell>
          <cell r="GG8" t="str">
            <v>Div.</v>
          </cell>
          <cell r="GH8" t="str">
            <v>Shares</v>
          </cell>
          <cell r="GJ8" t="str">
            <v>ASSETS</v>
          </cell>
          <cell r="GL8" t="str">
            <v>Net Income</v>
          </cell>
          <cell r="GO8">
            <v>-13.233000000000009</v>
          </cell>
          <cell r="GP8">
            <v>-14.124000000000009</v>
          </cell>
          <cell r="GQ8">
            <v>-11.233999999999984</v>
          </cell>
          <cell r="GR8">
            <v>-0.55499999999999972</v>
          </cell>
          <cell r="GS8">
            <v>22.086000000000002</v>
          </cell>
        </row>
        <row r="9">
          <cell r="FZ9">
            <v>0.17659137577002038</v>
          </cell>
          <cell r="GA9">
            <v>-14.124000000000006</v>
          </cell>
          <cell r="GB9">
            <v>-13.233000000000009</v>
          </cell>
          <cell r="GC9">
            <v>-8.0318774430066339E-2</v>
          </cell>
          <cell r="GD9">
            <v>7.5280000000000058</v>
          </cell>
          <cell r="GE9">
            <v>-1.2265541982091823</v>
          </cell>
          <cell r="GF9">
            <v>27.412000000000042</v>
          </cell>
          <cell r="GG9">
            <v>0</v>
          </cell>
          <cell r="GH9">
            <v>9.7117600000000017</v>
          </cell>
          <cell r="GI9">
            <v>123.65399999999987</v>
          </cell>
          <cell r="GJ9" t="str">
            <v xml:space="preserve">  Cash &amp; Equivalents</v>
          </cell>
          <cell r="GL9" t="e">
            <v>#REF!</v>
          </cell>
          <cell r="GM9">
            <v>0</v>
          </cell>
          <cell r="GN9">
            <v>7.5280000000000058</v>
          </cell>
          <cell r="GO9">
            <v>4.2969999999999997</v>
          </cell>
          <cell r="GP9">
            <v>4.274</v>
          </cell>
          <cell r="GQ9">
            <v>11.794</v>
          </cell>
          <cell r="GR9">
            <v>10.704000000000001</v>
          </cell>
          <cell r="GS9">
            <v>10.012</v>
          </cell>
        </row>
        <row r="10">
          <cell r="FZ10">
            <v>-1.2545702200874587E-2</v>
          </cell>
          <cell r="GA10">
            <v>4.274</v>
          </cell>
          <cell r="GB10">
            <v>-14.124000000000009</v>
          </cell>
          <cell r="GC10">
            <v>-8.4832904884318827E-2</v>
          </cell>
          <cell r="GD10">
            <v>6.7331670822942599E-2</v>
          </cell>
          <cell r="GE10">
            <v>-1.4549882330762594</v>
          </cell>
          <cell r="GF10">
            <v>0.18624047367870067</v>
          </cell>
          <cell r="GG10">
            <v>0</v>
          </cell>
          <cell r="GH10">
            <v>9.707295000000002</v>
          </cell>
          <cell r="GI10">
            <v>75.329000000000008</v>
          </cell>
          <cell r="GJ10" t="str">
            <v xml:space="preserve">  Receivables</v>
          </cell>
          <cell r="GL10">
            <v>0</v>
          </cell>
          <cell r="GM10">
            <v>0</v>
          </cell>
          <cell r="GN10">
            <v>9.7919999999999998</v>
          </cell>
          <cell r="GO10">
            <v>0</v>
          </cell>
          <cell r="GP10">
            <v>0</v>
          </cell>
          <cell r="GQ10">
            <v>0</v>
          </cell>
          <cell r="GR10">
            <v>0</v>
          </cell>
          <cell r="GS10">
            <v>0</v>
          </cell>
        </row>
        <row r="11">
          <cell r="FZ11" t="str">
            <v xml:space="preserve">  Inventory (LIFO)</v>
          </cell>
          <cell r="GA11">
            <v>0</v>
          </cell>
          <cell r="GB11">
            <v>0</v>
          </cell>
          <cell r="GC11">
            <v>0</v>
          </cell>
          <cell r="GD11">
            <v>5.8440000000000003</v>
          </cell>
          <cell r="GE11">
            <v>9.7249999999999996</v>
          </cell>
          <cell r="GF11">
            <v>17.565000000000001</v>
          </cell>
          <cell r="GG11">
            <v>27.337</v>
          </cell>
          <cell r="GH11">
            <v>42.798999999999999</v>
          </cell>
          <cell r="GI11">
            <v>67.00800000000001</v>
          </cell>
          <cell r="GJ11" t="str">
            <v xml:space="preserve">  Inventory (LIFO)</v>
          </cell>
          <cell r="GL11">
            <v>0</v>
          </cell>
          <cell r="GM11">
            <v>0</v>
          </cell>
          <cell r="GN11">
            <v>5.8440000000000003</v>
          </cell>
          <cell r="GO11">
            <v>2.4980000000000002</v>
          </cell>
          <cell r="GP11">
            <v>2.0099999999999998</v>
          </cell>
          <cell r="GQ11">
            <v>4.3499999999999996</v>
          </cell>
          <cell r="GR11">
            <v>7.0309999999999988</v>
          </cell>
          <cell r="GS11">
            <v>-1.472</v>
          </cell>
        </row>
        <row r="12">
          <cell r="FZ12">
            <v>0.39860139860139887</v>
          </cell>
          <cell r="GA12">
            <v>2.0099999999999998</v>
          </cell>
          <cell r="GB12">
            <v>0.86</v>
          </cell>
          <cell r="GC12">
            <v>4.2200304234751455E-2</v>
          </cell>
          <cell r="GD12">
            <v>2.016</v>
          </cell>
          <cell r="GE12">
            <v>9.2353951890034355E-2</v>
          </cell>
          <cell r="GF12">
            <v>3.1280000000000001</v>
          </cell>
          <cell r="GG12">
            <v>0</v>
          </cell>
          <cell r="GH12">
            <v>9.3120000000000012</v>
          </cell>
          <cell r="GI12">
            <v>12.597999999999999</v>
          </cell>
          <cell r="GJ12" t="str">
            <v xml:space="preserve">  Other</v>
          </cell>
          <cell r="GL12">
            <v>0</v>
          </cell>
          <cell r="GM12">
            <v>0</v>
          </cell>
          <cell r="GN12">
            <v>2.016</v>
          </cell>
          <cell r="GO12">
            <v>-2.5000000000000022E-2</v>
          </cell>
          <cell r="GP12">
            <v>2.9359999999999995</v>
          </cell>
          <cell r="GQ12">
            <v>-2.5059999999999989</v>
          </cell>
          <cell r="GR12">
            <v>-11.043000000000001</v>
          </cell>
          <cell r="GS12">
            <v>-3</v>
          </cell>
        </row>
        <row r="13">
          <cell r="FZ13">
            <v>0.40035693039857251</v>
          </cell>
          <cell r="GA13">
            <v>2.9359999999999995</v>
          </cell>
          <cell r="GB13">
            <v>0.18400000000000005</v>
          </cell>
          <cell r="GC13">
            <v>8.6299892125134853E-3</v>
          </cell>
          <cell r="GD13">
            <v>25.180000000000007</v>
          </cell>
          <cell r="GE13">
            <v>0.10824742268041236</v>
          </cell>
          <cell r="GF13">
            <v>74.06700000000005</v>
          </cell>
          <cell r="GG13">
            <v>0</v>
          </cell>
          <cell r="GH13">
            <v>9.3120000000000012</v>
          </cell>
          <cell r="GI13">
            <v>278.58899999999988</v>
          </cell>
          <cell r="GJ13" t="str">
            <v>Total Current</v>
          </cell>
          <cell r="GL13" t="e">
            <v>#REF!</v>
          </cell>
          <cell r="GM13">
            <v>0</v>
          </cell>
          <cell r="GN13">
            <v>25.180000000000007</v>
          </cell>
          <cell r="GO13">
            <v>-6.4630000000000107</v>
          </cell>
          <cell r="GP13">
            <v>-4.9040000000000088</v>
          </cell>
          <cell r="GQ13">
            <v>2.4040000000000172</v>
          </cell>
          <cell r="GR13">
            <v>6.1369999999999987</v>
          </cell>
          <cell r="GS13">
            <v>27.625999999999998</v>
          </cell>
        </row>
        <row r="14">
          <cell r="FZ14">
            <v>0.40271793172025194</v>
          </cell>
          <cell r="GA14">
            <v>-4.9040000000000052</v>
          </cell>
          <cell r="GB14">
            <v>1.802</v>
          </cell>
          <cell r="GC14">
            <v>8.1686310063463288E-2</v>
          </cell>
          <cell r="GD14">
            <v>27.626000000000005</v>
          </cell>
          <cell r="GE14">
            <v>0.12805571347356451</v>
          </cell>
          <cell r="GF14">
            <v>60.00000000000005</v>
          </cell>
          <cell r="GG14">
            <v>0</v>
          </cell>
          <cell r="GH14">
            <v>14.072000000000001</v>
          </cell>
          <cell r="GI14">
            <v>85.82023680000006</v>
          </cell>
          <cell r="GJ14">
            <v>194.70144000000005</v>
          </cell>
        </row>
        <row r="15">
          <cell r="FZ15">
            <v>-0.11817026683608639</v>
          </cell>
          <cell r="GB15">
            <v>-14.079999999999984</v>
          </cell>
          <cell r="GC15">
            <v>-0.11356120852354284</v>
          </cell>
          <cell r="GD15">
            <v>9.0169999999999995</v>
          </cell>
          <cell r="GE15">
            <v>-0.86996602930945122</v>
          </cell>
          <cell r="GF15">
            <v>26.360999999999997</v>
          </cell>
          <cell r="GG15">
            <v>0</v>
          </cell>
          <cell r="GH15">
            <v>16.184539999999998</v>
          </cell>
          <cell r="GI15">
            <v>80.028000000000006</v>
          </cell>
          <cell r="GJ15" t="str">
            <v>Fixed Assets</v>
          </cell>
          <cell r="GL15">
            <v>0</v>
          </cell>
          <cell r="GM15">
            <v>0</v>
          </cell>
          <cell r="GN15">
            <v>9.0169999999999995</v>
          </cell>
          <cell r="GO15">
            <v>3.2690000000000001</v>
          </cell>
          <cell r="GP15">
            <v>2.0550000000000002</v>
          </cell>
          <cell r="GQ15">
            <v>7.798</v>
          </cell>
          <cell r="GR15">
            <v>6.7519999999999998</v>
          </cell>
          <cell r="GS15">
            <v>14.608000000000001</v>
          </cell>
        </row>
        <row r="16">
          <cell r="FZ16">
            <v>-0.61045792079208061</v>
          </cell>
          <cell r="GA16">
            <v>2.0550000000000002</v>
          </cell>
          <cell r="GB16">
            <v>-11.233999999999984</v>
          </cell>
          <cell r="GC16">
            <v>-5.9836161622617706E-2</v>
          </cell>
          <cell r="GD16">
            <v>-0.20461625601812683</v>
          </cell>
          <cell r="GE16">
            <v>-0.85187274935996893</v>
          </cell>
          <cell r="GF16">
            <v>-0.41451571222753647</v>
          </cell>
          <cell r="GG16">
            <v>0</v>
          </cell>
          <cell r="GH16">
            <v>12.220135000000001</v>
          </cell>
          <cell r="GI16">
            <v>19.212</v>
          </cell>
          <cell r="GJ16" t="str">
            <v>Other Assets</v>
          </cell>
          <cell r="GL16" t="e">
            <v>#REF!</v>
          </cell>
          <cell r="GM16">
            <v>0</v>
          </cell>
          <cell r="GN16">
            <v>15.263999999999999</v>
          </cell>
          <cell r="GO16">
            <v>0</v>
          </cell>
          <cell r="GP16">
            <v>0</v>
          </cell>
          <cell r="GQ16">
            <v>0</v>
          </cell>
          <cell r="GR16">
            <v>0</v>
          </cell>
          <cell r="GS16">
            <v>0</v>
          </cell>
        </row>
        <row r="17">
          <cell r="FZ17" t="str">
            <v>Total Assets</v>
          </cell>
          <cell r="GA17">
            <v>0</v>
          </cell>
          <cell r="GB17" t="e">
            <v>#REF!</v>
          </cell>
          <cell r="GC17">
            <v>0</v>
          </cell>
          <cell r="GD17">
            <v>49.460999999999999</v>
          </cell>
          <cell r="GE17">
            <v>47.968000000000032</v>
          </cell>
          <cell r="GF17">
            <v>101.45000000000006</v>
          </cell>
          <cell r="GG17">
            <v>233.24500000000003</v>
          </cell>
          <cell r="GH17">
            <v>292.64599999999996</v>
          </cell>
          <cell r="GI17">
            <v>377.82899999999989</v>
          </cell>
          <cell r="GJ17" t="str">
            <v>Total Assets</v>
          </cell>
          <cell r="GL17" t="e">
            <v>#REF!</v>
          </cell>
          <cell r="GM17">
            <v>0</v>
          </cell>
          <cell r="GN17">
            <v>49.460999999999999</v>
          </cell>
          <cell r="GO17">
            <v>47.968000000000032</v>
          </cell>
          <cell r="GP17">
            <v>104.87600000000005</v>
          </cell>
          <cell r="GQ17">
            <v>236.67100000000005</v>
          </cell>
          <cell r="GR17">
            <v>292.64600000000002</v>
          </cell>
          <cell r="GS17">
            <v>381.92700000000002</v>
          </cell>
        </row>
        <row r="18">
          <cell r="FZ18">
            <v>1.6159420289854973</v>
          </cell>
          <cell r="GB18">
            <v>-0.67999999999999328</v>
          </cell>
          <cell r="GC18">
            <v>-1.2988749450843185E-2</v>
          </cell>
          <cell r="GD18" t="str">
            <v xml:space="preserve"> N.M.</v>
          </cell>
          <cell r="GE18">
            <v>-3.9534883720929843E-2</v>
          </cell>
          <cell r="GF18" t="str">
            <v xml:space="preserve"> N.M.</v>
          </cell>
          <cell r="GG18">
            <v>0</v>
          </cell>
          <cell r="GH18">
            <v>17.2</v>
          </cell>
          <cell r="GL18" t="str">
            <v>Excess Cash Flow</v>
          </cell>
          <cell r="GO18">
            <v>-9.73200000000001</v>
          </cell>
          <cell r="GP18">
            <v>-6.9590000000000085</v>
          </cell>
          <cell r="GQ18">
            <v>-5.3939999999999824</v>
          </cell>
          <cell r="GR18">
            <v>-0.6150000000000011</v>
          </cell>
          <cell r="GS18">
            <v>13.017999999999997</v>
          </cell>
        </row>
        <row r="19">
          <cell r="FZ19">
            <v>0.46162018592297538</v>
          </cell>
          <cell r="GA19">
            <v>-6.959000000000005</v>
          </cell>
          <cell r="GB19">
            <v>2.0269999999999948</v>
          </cell>
          <cell r="GC19">
            <v>3.7510640660276005E-2</v>
          </cell>
          <cell r="GD19" t="str">
            <v>N.M.</v>
          </cell>
          <cell r="GE19">
            <v>0.1119889502762428</v>
          </cell>
          <cell r="GF19">
            <v>3.456458826624307E-2</v>
          </cell>
          <cell r="GG19">
            <v>0</v>
          </cell>
          <cell r="GH19">
            <v>18.100000000000001</v>
          </cell>
          <cell r="GI19">
            <v>-4.1797631999999396</v>
          </cell>
          <cell r="GJ19" t="str">
            <v>LIABILITIES &amp; EQUITY</v>
          </cell>
        </row>
        <row r="20">
          <cell r="FZ20">
            <v>0.50952249516974835</v>
          </cell>
          <cell r="GB20">
            <v>11.944000000000003</v>
          </cell>
          <cell r="GC20">
            <v>0.22603660036713918</v>
          </cell>
          <cell r="GD20">
            <v>5.6281908990011118</v>
          </cell>
          <cell r="GE20">
            <v>9.1128205128205311E-2</v>
          </cell>
          <cell r="GF20">
            <v>-0.28837064230626785</v>
          </cell>
          <cell r="GG20">
            <v>0</v>
          </cell>
          <cell r="GH20">
            <v>19.5</v>
          </cell>
          <cell r="GI20">
            <v>6.585</v>
          </cell>
          <cell r="GJ20" t="str">
            <v xml:space="preserve">  Current Debt</v>
          </cell>
          <cell r="GL20">
            <v>0</v>
          </cell>
          <cell r="GM20">
            <v>0</v>
          </cell>
          <cell r="GN20">
            <v>3.9820000000000002</v>
          </cell>
          <cell r="GO20">
            <v>0</v>
          </cell>
          <cell r="GP20">
            <v>3.5059999999999998</v>
          </cell>
          <cell r="GQ20">
            <v>3.6860000000000004</v>
          </cell>
          <cell r="GR20">
            <v>6.5849999999999991</v>
          </cell>
          <cell r="GS20">
            <v>8.7880000000000003</v>
          </cell>
        </row>
        <row r="21">
          <cell r="FZ21">
            <v>0.16706634692246194</v>
          </cell>
          <cell r="GB21">
            <v>-10.420000000000009</v>
          </cell>
          <cell r="GC21">
            <v>-0.20204370503945879</v>
          </cell>
          <cell r="GD21">
            <v>-0.25994318181818038</v>
          </cell>
          <cell r="GE21">
            <v>-0.55132275132275188</v>
          </cell>
          <cell r="GF21">
            <v>-0.36627094306156677</v>
          </cell>
          <cell r="GG21">
            <v>0</v>
          </cell>
          <cell r="GH21">
            <v>18.899999999999999</v>
          </cell>
          <cell r="GI21">
            <v>93.138999999999996</v>
          </cell>
          <cell r="GJ21" t="str">
            <v xml:space="preserve">  Payables &amp; Accruals</v>
          </cell>
          <cell r="GL21">
            <v>0</v>
          </cell>
          <cell r="GM21">
            <v>0</v>
          </cell>
          <cell r="GN21">
            <v>10.514999999999999</v>
          </cell>
          <cell r="GO21">
            <v>12.666</v>
          </cell>
          <cell r="GP21">
            <v>-8.4832904884318827E-2</v>
          </cell>
          <cell r="GQ21">
            <v>-5.9836161622617706E-2</v>
          </cell>
          <cell r="GR21">
            <v>-2.6327648774934166E-3</v>
          </cell>
          <cell r="GS21">
            <v>8.127113561012228E-2</v>
          </cell>
        </row>
        <row r="22">
          <cell r="FZ22">
            <v>-0.81582877053260194</v>
          </cell>
          <cell r="GA22">
            <v>-8.4832904884318813E-2</v>
          </cell>
          <cell r="GB22">
            <v>2.8709999999999951</v>
          </cell>
          <cell r="GC22">
            <v>1.3619221555465928E-2</v>
          </cell>
          <cell r="GD22">
            <v>-1.2555634680434395</v>
          </cell>
          <cell r="GE22">
            <v>-0.39146991622239175</v>
          </cell>
          <cell r="GF22">
            <v>-0.54045963259593421</v>
          </cell>
          <cell r="GG22">
            <v>0</v>
          </cell>
          <cell r="GH22">
            <v>18.382000000000001</v>
          </cell>
          <cell r="GI22">
            <v>6.7249999999999996</v>
          </cell>
          <cell r="GJ22" t="str">
            <v xml:space="preserve">  Other </v>
          </cell>
          <cell r="GL22" t="e">
            <v>#REF!</v>
          </cell>
          <cell r="GM22">
            <v>0</v>
          </cell>
          <cell r="GN22">
            <v>2.1999999999999999E-2</v>
          </cell>
          <cell r="GO22">
            <v>2.3260000000000001</v>
          </cell>
          <cell r="GP22">
            <v>6.7322536948302698</v>
          </cell>
          <cell r="GQ22">
            <v>3.8540065073027527</v>
          </cell>
          <cell r="GR22">
            <v>2.8216814573879971</v>
          </cell>
          <cell r="GS22">
            <v>1.6239083344537559</v>
          </cell>
        </row>
        <row r="23">
          <cell r="FZ23" t="str">
            <v>Total Current</v>
          </cell>
          <cell r="GB23" t="e">
            <v>#REF!</v>
          </cell>
          <cell r="GC23">
            <v>0</v>
          </cell>
          <cell r="GD23">
            <v>14.519</v>
          </cell>
          <cell r="GE23">
            <v>14.992000000000001</v>
          </cell>
          <cell r="GF23">
            <v>32.221000000000004</v>
          </cell>
          <cell r="GG23">
            <v>51.569999999999993</v>
          </cell>
          <cell r="GH23">
            <v>63.119</v>
          </cell>
          <cell r="GI23">
            <v>106.44899999999998</v>
          </cell>
          <cell r="GJ23" t="str">
            <v>Total Current</v>
          </cell>
          <cell r="GL23" t="e">
            <v>#REF!</v>
          </cell>
          <cell r="GM23">
            <v>0</v>
          </cell>
          <cell r="GN23">
            <v>14.519</v>
          </cell>
          <cell r="GO23">
            <v>14.992000000000001</v>
          </cell>
          <cell r="GP23">
            <v>575.12790697674427</v>
          </cell>
          <cell r="GQ23">
            <v>3.7173871570834458</v>
          </cell>
          <cell r="GR23">
            <v>1.8926608061206407</v>
          </cell>
          <cell r="GS23">
            <v>2.4993652547941942</v>
          </cell>
        </row>
        <row r="24">
          <cell r="FZ24">
            <v>0.38265218141058804</v>
          </cell>
          <cell r="GB24">
            <v>3.5799999999999996</v>
          </cell>
          <cell r="GC24">
            <v>6.2260869565217383E-2</v>
          </cell>
          <cell r="GD24" t="str">
            <v xml:space="preserve"> N.M.</v>
          </cell>
          <cell r="GE24">
            <v>0.18358974358974356</v>
          </cell>
          <cell r="GF24" t="str">
            <v xml:space="preserve"> N.M.</v>
          </cell>
          <cell r="GG24">
            <v>0</v>
          </cell>
          <cell r="GH24">
            <v>19.5</v>
          </cell>
          <cell r="GI24">
            <v>1.8720559827604735</v>
          </cell>
          <cell r="GJ24">
            <v>1.7748136607591043</v>
          </cell>
          <cell r="GL24" t="str">
            <v>Return on Equity</v>
          </cell>
          <cell r="GQ24">
            <v>-0.8572627723301145</v>
          </cell>
          <cell r="GR24">
            <v>-1.4060243710890982E-2</v>
          </cell>
          <cell r="GS24">
            <v>0.32985841448115188</v>
          </cell>
        </row>
        <row r="25">
          <cell r="FZ25">
            <v>0.4623502056877129</v>
          </cell>
          <cell r="GB25">
            <v>4.8389999999999942</v>
          </cell>
          <cell r="GC25">
            <v>7.7113080061193176E-2</v>
          </cell>
          <cell r="GD25">
            <v>1.3872718302910738</v>
          </cell>
          <cell r="GE25">
            <v>0.15029999999999971</v>
          </cell>
          <cell r="GF25">
            <v>0.34209669462259595</v>
          </cell>
          <cell r="GG25">
            <v>0</v>
          </cell>
          <cell r="GH25">
            <v>20</v>
          </cell>
          <cell r="GI25">
            <v>100.69800000000001</v>
          </cell>
          <cell r="GJ25" t="str">
            <v>Long Term Debt &amp; Lease</v>
          </cell>
          <cell r="GL25">
            <v>0</v>
          </cell>
          <cell r="GM25">
            <v>0</v>
          </cell>
          <cell r="GN25">
            <v>31.163</v>
          </cell>
          <cell r="GO25">
            <v>4.4379999999999997</v>
          </cell>
          <cell r="GP25">
            <v>16.405999999999999</v>
          </cell>
          <cell r="GQ25">
            <v>99.53</v>
          </cell>
          <cell r="GR25">
            <v>100.69799999999999</v>
          </cell>
          <cell r="GS25">
            <v>108.38200000000001</v>
          </cell>
        </row>
        <row r="26">
          <cell r="FZ26">
            <v>0.34968373314237999</v>
          </cell>
          <cell r="GB26">
            <v>5.4489999999999945</v>
          </cell>
          <cell r="GC26">
            <v>7.5799518689053574E-2</v>
          </cell>
          <cell r="GD26">
            <v>-0.54378767582049625</v>
          </cell>
          <cell r="GE26">
            <v>0.27109452736318379</v>
          </cell>
          <cell r="GF26">
            <v>1.9748696024659953</v>
          </cell>
          <cell r="GG26">
            <v>0</v>
          </cell>
          <cell r="GH26">
            <v>20.100000000000001</v>
          </cell>
          <cell r="GI26">
            <v>0</v>
          </cell>
          <cell r="GJ26" t="str">
            <v>Deferred Taxes</v>
          </cell>
          <cell r="GL26">
            <v>0</v>
          </cell>
          <cell r="GM26">
            <v>0</v>
          </cell>
          <cell r="GN26">
            <v>0</v>
          </cell>
          <cell r="GO26">
            <v>0</v>
          </cell>
          <cell r="GP26">
            <v>0</v>
          </cell>
          <cell r="GQ26">
            <v>0</v>
          </cell>
          <cell r="GR26">
            <v>0</v>
          </cell>
          <cell r="GS26">
            <v>0</v>
          </cell>
        </row>
        <row r="27">
          <cell r="FZ27">
            <v>0.30005962013457038</v>
          </cell>
          <cell r="GB27">
            <v>8.2180000000000302</v>
          </cell>
          <cell r="GC27">
            <v>0.10321786530684054</v>
          </cell>
          <cell r="GD27">
            <v>-1.7886756238003862</v>
          </cell>
          <cell r="GE27">
            <v>0.3735454545454559</v>
          </cell>
          <cell r="GF27">
            <v>-1.6775440586285135</v>
          </cell>
          <cell r="GG27">
            <v>0</v>
          </cell>
          <cell r="GH27">
            <v>22</v>
          </cell>
          <cell r="GI27">
            <v>0.59199999999999997</v>
          </cell>
          <cell r="GJ27" t="str">
            <v>Other Liabilities</v>
          </cell>
          <cell r="GL27" t="e">
            <v>#REF!</v>
          </cell>
          <cell r="GM27">
            <v>0</v>
          </cell>
          <cell r="GN27">
            <v>0</v>
          </cell>
          <cell r="GO27">
            <v>0</v>
          </cell>
          <cell r="GP27">
            <v>9.707295000000002</v>
          </cell>
          <cell r="GQ27">
            <v>12.220135000000001</v>
          </cell>
          <cell r="GR27">
            <v>18.730720000000002</v>
          </cell>
          <cell r="GS27">
            <v>20.86056</v>
          </cell>
        </row>
        <row r="28">
          <cell r="FZ28">
            <v>0.35725166613773385</v>
          </cell>
          <cell r="GA28">
            <v>21.786359999999998</v>
          </cell>
          <cell r="GB28">
            <v>22.08600000000002</v>
          </cell>
          <cell r="GC28">
            <v>8.127113561012235E-2</v>
          </cell>
          <cell r="GD28" t="str">
            <v>N.M.</v>
          </cell>
          <cell r="GE28">
            <v>1.0079446814771233</v>
          </cell>
          <cell r="GF28">
            <v>-3.5747691960689925</v>
          </cell>
          <cell r="GG28">
            <v>0</v>
          </cell>
          <cell r="GH28">
            <v>20.390999999999998</v>
          </cell>
          <cell r="GI28">
            <v>64.380499999999998</v>
          </cell>
          <cell r="GJ28">
            <v>69.75</v>
          </cell>
          <cell r="GL28" t="str">
            <v>Per Share</v>
          </cell>
        </row>
        <row r="29">
          <cell r="FZ29" t="str">
            <v>Preferred Stock</v>
          </cell>
          <cell r="GB29">
            <v>0</v>
          </cell>
          <cell r="GC29">
            <v>0</v>
          </cell>
          <cell r="GD29">
            <v>0</v>
          </cell>
          <cell r="GE29">
            <v>0</v>
          </cell>
          <cell r="GF29">
            <v>0</v>
          </cell>
          <cell r="GG29">
            <v>0</v>
          </cell>
          <cell r="GH29">
            <v>0</v>
          </cell>
          <cell r="GI29">
            <v>0</v>
          </cell>
          <cell r="GJ29" t="str">
            <v>Preferred Stock</v>
          </cell>
          <cell r="GL29">
            <v>0</v>
          </cell>
          <cell r="GM29">
            <v>0</v>
          </cell>
          <cell r="GN29">
            <v>0</v>
          </cell>
          <cell r="GO29">
            <v>0</v>
          </cell>
          <cell r="GP29">
            <v>8.8593166273405691E-3</v>
          </cell>
          <cell r="GQ29">
            <v>2.1377014247387609</v>
          </cell>
          <cell r="GR29">
            <v>2.8201265087513985</v>
          </cell>
          <cell r="GS29">
            <v>3.8871919066410481</v>
          </cell>
        </row>
        <row r="30">
          <cell r="FZ30">
            <v>0.31289055525798948</v>
          </cell>
          <cell r="GA30">
            <v>3.9474239845481299E-3</v>
          </cell>
          <cell r="GB30">
            <v>7.6970000000000054</v>
          </cell>
          <cell r="GC30">
            <v>9.4929761596428325E-2</v>
          </cell>
          <cell r="GD30">
            <v>1.1500000000000017</v>
          </cell>
          <cell r="GE30">
            <v>0.3637570101459825</v>
          </cell>
          <cell r="GF30">
            <v>0.98135801615828488</v>
          </cell>
          <cell r="GG30">
            <v>0</v>
          </cell>
          <cell r="GH30">
            <v>23.359000000000002</v>
          </cell>
          <cell r="GI30">
            <v>170.08999999999995</v>
          </cell>
          <cell r="GJ30" t="str">
            <v>Common Equity</v>
          </cell>
          <cell r="GL30" t="e">
            <v>#REF!</v>
          </cell>
          <cell r="GM30">
            <v>0</v>
          </cell>
          <cell r="GN30">
            <v>8.5999999999999993E-2</v>
          </cell>
          <cell r="GO30">
            <v>26.123000000000001</v>
          </cell>
          <cell r="GP30">
            <v>0.77549925082116122</v>
          </cell>
          <cell r="GQ30">
            <v>0.24746044131263956</v>
          </cell>
          <cell r="GR30">
            <v>1.4634781791623621</v>
          </cell>
          <cell r="GS30">
            <v>5.513274811414461</v>
          </cell>
        </row>
        <row r="31">
          <cell r="FZ31">
            <v>0.31343747571306457</v>
          </cell>
          <cell r="GA31">
            <v>0.17602756954351284</v>
          </cell>
          <cell r="GB31">
            <v>8.8339999999999961</v>
          </cell>
          <cell r="GC31">
            <v>9.4370259587650857E-2</v>
          </cell>
          <cell r="GD31">
            <v>0.82558379830543638</v>
          </cell>
          <cell r="GE31">
            <v>0.40085771947527732</v>
          </cell>
          <cell r="GF31">
            <v>1.6670506951116306</v>
          </cell>
          <cell r="GG31">
            <v>0</v>
          </cell>
          <cell r="GH31">
            <v>23.783999999999999</v>
          </cell>
          <cell r="GI31">
            <v>170.08999999999995</v>
          </cell>
          <cell r="GJ31" t="str">
            <v>Total Equity</v>
          </cell>
          <cell r="GL31" t="e">
            <v>#REF!</v>
          </cell>
          <cell r="GM31">
            <v>0</v>
          </cell>
          <cell r="GN31">
            <v>8.5999999999999993E-2</v>
          </cell>
          <cell r="GO31">
            <v>26.123000000000001</v>
          </cell>
          <cell r="GP31">
            <v>1.0982462158613706</v>
          </cell>
          <cell r="GQ31">
            <v>0.88452377981094554</v>
          </cell>
          <cell r="GR31">
            <v>2.234083900672267</v>
          </cell>
          <cell r="GS31">
            <v>6.523218935637396</v>
          </cell>
        </row>
        <row r="32">
          <cell r="FZ32">
            <v>0.32877102936983182</v>
          </cell>
          <cell r="GA32">
            <v>0.31983314330617918</v>
          </cell>
          <cell r="GB32">
            <v>9.4159999999999986</v>
          </cell>
          <cell r="GC32">
            <v>9.2292914342844257E-2</v>
          </cell>
          <cell r="GD32">
            <v>0.72802349054872606</v>
          </cell>
          <cell r="GE32">
            <v>0.42630612585544986</v>
          </cell>
          <cell r="GF32">
            <v>0.5725368195438707</v>
          </cell>
          <cell r="GG32">
            <v>0</v>
          </cell>
          <cell r="GH32">
            <v>23.963999999999999</v>
          </cell>
          <cell r="GI32">
            <v>377.82899999999995</v>
          </cell>
          <cell r="GJ32" t="str">
            <v>Total Liab. &amp; Equity</v>
          </cell>
          <cell r="GL32" t="e">
            <v>#REF!</v>
          </cell>
          <cell r="GM32">
            <v>0</v>
          </cell>
          <cell r="GN32">
            <v>45.768000000000001</v>
          </cell>
          <cell r="GO32">
            <v>45.552999999999997</v>
          </cell>
          <cell r="GP32">
            <v>101.45</v>
          </cell>
          <cell r="GQ32">
            <v>233.245</v>
          </cell>
          <cell r="GR32">
            <v>292.64600000000002</v>
          </cell>
          <cell r="GS32">
            <v>381.92700000000002</v>
          </cell>
        </row>
        <row r="33">
          <cell r="FZ33">
            <v>0.33165481211052894</v>
          </cell>
          <cell r="GB33">
            <v>10.618000000000084</v>
          </cell>
          <cell r="GC33">
            <v>9.2115764999827182E-2</v>
          </cell>
          <cell r="GD33">
            <v>0.29204185933317656</v>
          </cell>
          <cell r="GE33">
            <v>0.47247421399279588</v>
          </cell>
          <cell r="GF33">
            <v>0.26483727279647989</v>
          </cell>
          <cell r="GG33">
            <v>0</v>
          </cell>
          <cell r="GH33">
            <v>24.140999999999998</v>
          </cell>
          <cell r="GL33" t="str">
            <v xml:space="preserve">     From Operations</v>
          </cell>
          <cell r="GP33">
            <v>-0.50518707837765386</v>
          </cell>
          <cell r="GQ33">
            <v>0.19672450427102622</v>
          </cell>
          <cell r="GR33">
            <v>0.32764357162992125</v>
          </cell>
          <cell r="GS33">
            <v>1.32431727623803</v>
          </cell>
        </row>
        <row r="34">
          <cell r="FZ34">
            <v>0.3226696799051566</v>
          </cell>
          <cell r="GA34">
            <v>-0.22509496767702386</v>
          </cell>
          <cell r="GB34">
            <v>36.565000000000083</v>
          </cell>
          <cell r="GC34">
            <v>9.3282344597456213E-2</v>
          </cell>
          <cell r="GD34">
            <v>0.65557366657611382</v>
          </cell>
          <cell r="GE34">
            <v>1.6551911200133569</v>
          </cell>
          <cell r="GF34">
            <v>0.64214480261724916</v>
          </cell>
          <cell r="GG34">
            <v>0</v>
          </cell>
          <cell r="GH34">
            <v>23.963999999999999</v>
          </cell>
          <cell r="GI34">
            <v>1.3330160032929235</v>
          </cell>
          <cell r="GJ34" t="str">
            <v>Balance Sheet Analysis</v>
          </cell>
          <cell r="GL34" t="str">
            <v xml:space="preserve">     Excess</v>
          </cell>
          <cell r="GP34">
            <v>-0.71688353964724538</v>
          </cell>
          <cell r="GQ34">
            <v>-0.44140265226202346</v>
          </cell>
          <cell r="GR34">
            <v>-3.2833761862864914E-2</v>
          </cell>
          <cell r="GS34">
            <v>0.62404844357006706</v>
          </cell>
        </row>
        <row r="35">
          <cell r="FZ35" t="str">
            <v>Inventory T/O (COGS)</v>
          </cell>
          <cell r="GA35">
            <v>-0.31942004079616815</v>
          </cell>
          <cell r="GB35">
            <v>-0.20129810031915116</v>
          </cell>
          <cell r="GC35">
            <v>7.6460668044826277E-2</v>
          </cell>
          <cell r="GD35">
            <v>53.316563997262143</v>
          </cell>
          <cell r="GE35">
            <v>21.272785663819128</v>
          </cell>
          <cell r="GF35">
            <v>12.860095272993771</v>
          </cell>
          <cell r="GG35">
            <v>9.6572090330052127</v>
          </cell>
          <cell r="GH35">
            <v>8.7038610699212953</v>
          </cell>
          <cell r="GI35">
            <v>8.1435609751655171</v>
          </cell>
          <cell r="GJ35" t="str">
            <v>Inventory T/O (COGS)</v>
          </cell>
          <cell r="GN35">
            <v>53.316563997262143</v>
          </cell>
          <cell r="GO35">
            <v>21.272785663819128</v>
          </cell>
          <cell r="GP35">
            <v>12.860095272993771</v>
          </cell>
          <cell r="GQ35">
            <v>9.6572090330052109</v>
          </cell>
          <cell r="GR35">
            <v>8.7038610699212953</v>
          </cell>
          <cell r="GS35">
            <v>8.6975181366933949</v>
          </cell>
        </row>
        <row r="36">
          <cell r="FZ36">
            <v>0.33791054814482657</v>
          </cell>
          <cell r="GB36">
            <v>11.813000000000013</v>
          </cell>
          <cell r="GC36">
            <v>9.4372633294454222E-2</v>
          </cell>
          <cell r="GD36">
            <v>10.586454604425438</v>
          </cell>
          <cell r="GE36">
            <v>20.129749768303984</v>
          </cell>
          <cell r="GF36">
            <v>31.734920898460665</v>
          </cell>
          <cell r="GG36">
            <v>43.359177500487569</v>
          </cell>
          <cell r="GH36">
            <v>41.504762973810031</v>
          </cell>
          <cell r="GI36">
            <v>39.807850008761179</v>
          </cell>
          <cell r="GJ36">
            <v>42.325469387755106</v>
          </cell>
          <cell r="GL36" t="str">
            <v>Valuation Measures-a</v>
          </cell>
          <cell r="GN36">
            <v>10.586454604425438</v>
          </cell>
          <cell r="GO36">
            <v>20.129749768303984</v>
          </cell>
          <cell r="GP36">
            <v>31.734920898460665</v>
          </cell>
          <cell r="GQ36">
            <v>43.359177500487569</v>
          </cell>
          <cell r="GR36">
            <v>41.504762973810024</v>
          </cell>
          <cell r="GS36">
            <v>40.505030827309149</v>
          </cell>
        </row>
        <row r="37">
          <cell r="FZ37">
            <v>0.3750146284376828</v>
          </cell>
          <cell r="GB37">
            <v>10.681000000000004</v>
          </cell>
          <cell r="GC37">
            <v>7.9814381683268223E-2</v>
          </cell>
          <cell r="GD37">
            <v>11.368113783244839</v>
          </cell>
          <cell r="GE37">
            <v>22.224601323064135</v>
          </cell>
          <cell r="GF37">
            <v>31.570977917981075</v>
          </cell>
          <cell r="GG37">
            <v>44.04471641944825</v>
          </cell>
          <cell r="GH37">
            <v>42.245919455485208</v>
          </cell>
          <cell r="GI37">
            <v>45.08610478359909</v>
          </cell>
          <cell r="GJ37">
            <v>49.537469387755102</v>
          </cell>
          <cell r="GL37" t="str">
            <v>Historical P/E:  High-b</v>
          </cell>
          <cell r="GN37">
            <v>11.368113783244839</v>
          </cell>
          <cell r="GO37">
            <v>22.224601323064135</v>
          </cell>
          <cell r="GP37">
            <v>0</v>
          </cell>
          <cell r="GQ37">
            <v>-16.434379442843444</v>
          </cell>
          <cell r="GR37">
            <v>-26.31692501398993</v>
          </cell>
          <cell r="GS37">
            <v>25.218008936947609</v>
          </cell>
        </row>
        <row r="38">
          <cell r="FZ38">
            <v>0.34439124487004102</v>
          </cell>
          <cell r="GB38">
            <v>13.419000000000004</v>
          </cell>
          <cell r="GC38">
            <v>8.9342068469620117E-2</v>
          </cell>
          <cell r="GD38">
            <v>1.1246759896316683</v>
          </cell>
          <cell r="GE38">
            <v>0.14521776119891364</v>
          </cell>
          <cell r="GF38">
            <v>0.28762512819772063</v>
          </cell>
          <cell r="GG38">
            <v>0.57145704493990124</v>
          </cell>
          <cell r="GH38">
            <v>0.46861772992334061</v>
          </cell>
          <cell r="GI38">
            <v>0.39618816195695533</v>
          </cell>
          <cell r="GJ38">
            <v>0.28780169775212644</v>
          </cell>
          <cell r="GL38" t="str">
            <v>Historical P/E:  Low-b</v>
          </cell>
          <cell r="GN38">
            <v>1.1246759896316683</v>
          </cell>
          <cell r="GO38">
            <v>0.14521776119891364</v>
          </cell>
          <cell r="GP38">
            <v>0</v>
          </cell>
          <cell r="GQ38">
            <v>-6.0161567603266182</v>
          </cell>
          <cell r="GR38">
            <v>-12.740733538518935</v>
          </cell>
          <cell r="GS38">
            <v>10.11217190045919</v>
          </cell>
        </row>
        <row r="39">
          <cell r="FZ39">
            <v>4.6980096087850596</v>
          </cell>
          <cell r="GB39">
            <v>-5.3879999999999661</v>
          </cell>
          <cell r="GC39">
            <v>-3.3550861811297975E-2</v>
          </cell>
          <cell r="GD39">
            <v>-1.9927054280197392</v>
          </cell>
          <cell r="GE39">
            <v>-0.62534573799345583</v>
          </cell>
          <cell r="GF39">
            <v>-1.4529914529914481</v>
          </cell>
          <cell r="GG39">
            <v>38.467300832342438</v>
          </cell>
          <cell r="GH39">
            <v>41.136802973977659</v>
          </cell>
          <cell r="GI39">
            <v>25.686367558239827</v>
          </cell>
          <cell r="GJ39">
            <v>96.794791666666626</v>
          </cell>
          <cell r="GL39" t="str">
            <v>Historical P/Gross CF:  High</v>
          </cell>
          <cell r="GN39">
            <v>-1.9927054280197392</v>
          </cell>
          <cell r="GO39">
            <v>-0.62534573799345583</v>
          </cell>
          <cell r="GP39">
            <v>0</v>
          </cell>
          <cell r="GQ39">
            <v>305.50337499998523</v>
          </cell>
          <cell r="GR39">
            <v>27.802746083357942</v>
          </cell>
          <cell r="GS39">
            <v>15.911905258894642</v>
          </cell>
        </row>
        <row r="40">
          <cell r="FZ40">
            <v>0.46312679177585836</v>
          </cell>
          <cell r="GB40">
            <v>30.525000000000059</v>
          </cell>
          <cell r="GC40">
            <v>5.3572650832679668E-2</v>
          </cell>
          <cell r="GD40">
            <v>-0.16518528647613862</v>
          </cell>
          <cell r="GE40">
            <v>1.3226630007855478</v>
          </cell>
          <cell r="GF40">
            <v>-0.20090013485882263</v>
          </cell>
          <cell r="GG40">
            <v>0</v>
          </cell>
          <cell r="GH40">
            <v>25.46</v>
          </cell>
          <cell r="GL40" t="str">
            <v>Historical P/Gross CF:  Low</v>
          </cell>
          <cell r="GP40">
            <v>0</v>
          </cell>
          <cell r="GQ40">
            <v>111.83605691963744</v>
          </cell>
          <cell r="GR40">
            <v>13.4600596117844</v>
          </cell>
          <cell r="GS40">
            <v>6.3805164652003263</v>
          </cell>
        </row>
        <row r="41">
          <cell r="FZ41" t="str">
            <v>Invested Capital</v>
          </cell>
          <cell r="GF41">
            <v>45.322999999999958</v>
          </cell>
          <cell r="GG41">
            <v>70.350999999999971</v>
          </cell>
          <cell r="GH41">
            <v>120.09500000000013</v>
          </cell>
          <cell r="GI41">
            <v>154.31100000000004</v>
          </cell>
          <cell r="GJ41" t="str">
            <v>Invested Capital</v>
          </cell>
          <cell r="GL41" t="str">
            <v>EV/EBITDA</v>
          </cell>
          <cell r="GP41">
            <v>41.896999999999963</v>
          </cell>
          <cell r="GQ41">
            <v>66.924999999999955</v>
          </cell>
          <cell r="GR41">
            <v>120.09500000000003</v>
          </cell>
          <cell r="GS41">
            <v>166.35000000000002</v>
          </cell>
        </row>
        <row r="42">
          <cell r="FZ42">
            <v>0.36504391085841931</v>
          </cell>
          <cell r="GB42">
            <v>12.507999999999996</v>
          </cell>
          <cell r="GC42">
            <v>7.8613763065107103E-2</v>
          </cell>
          <cell r="GD42">
            <v>5.8833488529584477E-2</v>
          </cell>
          <cell r="GE42">
            <v>0.53446422171783525</v>
          </cell>
          <cell r="GF42">
            <v>3.8856613168393173E-2</v>
          </cell>
          <cell r="GG42">
            <v>0</v>
          </cell>
          <cell r="GH42">
            <v>25.113</v>
          </cell>
          <cell r="GL42" t="str">
            <v>YE Market Cap. (Avg. Shares)</v>
          </cell>
          <cell r="GP42">
            <v>0</v>
          </cell>
          <cell r="GQ42">
            <v>155.80672125000001</v>
          </cell>
          <cell r="GR42">
            <v>227.10998000000001</v>
          </cell>
          <cell r="GS42">
            <v>498.04586999999998</v>
          </cell>
        </row>
        <row r="43">
          <cell r="FZ43">
            <v>0.36499999999999999</v>
          </cell>
          <cell r="GB43">
            <v>16.221074999999988</v>
          </cell>
          <cell r="GC43">
            <v>9.6842238805970079E-2</v>
          </cell>
          <cell r="GD43">
            <v>0.51868504821645744</v>
          </cell>
          <cell r="GE43">
            <v>0.666734435797665</v>
          </cell>
          <cell r="GF43">
            <v>0.42590132018878019</v>
          </cell>
          <cell r="GG43">
            <v>0</v>
          </cell>
          <cell r="GH43">
            <v>25.7</v>
          </cell>
          <cell r="GL43" t="str">
            <v>Total Debt</v>
          </cell>
          <cell r="GP43">
            <v>35.145000000000003</v>
          </cell>
          <cell r="GQ43">
            <v>4.4379999999999997</v>
          </cell>
          <cell r="GR43">
            <v>19.911999999999999</v>
          </cell>
          <cell r="GS43">
            <v>103.21600000000001</v>
          </cell>
        </row>
        <row r="44">
          <cell r="FZ44">
            <v>0.36499999999999999</v>
          </cell>
          <cell r="GB44">
            <v>19.185254999999994</v>
          </cell>
          <cell r="GC44">
            <v>0.10044636125654448</v>
          </cell>
          <cell r="GD44">
            <v>0.42970824949698105</v>
          </cell>
          <cell r="GE44">
            <v>0.77304826923076908</v>
          </cell>
          <cell r="GF44">
            <v>0.3520590831172058</v>
          </cell>
          <cell r="GG44">
            <v>0</v>
          </cell>
          <cell r="GH44">
            <v>26</v>
          </cell>
          <cell r="GL44" t="str">
            <v>Cash &amp; Equivalents</v>
          </cell>
          <cell r="GP44">
            <v>7.5280000000000058</v>
          </cell>
          <cell r="GQ44">
            <v>3.0240000000000329</v>
          </cell>
          <cell r="GR44">
            <v>27.412000000000042</v>
          </cell>
          <cell r="GS44">
            <v>115.01000000000005</v>
          </cell>
        </row>
        <row r="45">
          <cell r="FZ45">
            <v>0.36499999999999999</v>
          </cell>
          <cell r="GB45">
            <v>21.6321005</v>
          </cell>
          <cell r="GC45">
            <v>0.10355241981809478</v>
          </cell>
          <cell r="GD45">
            <v>-5.0148664625093051</v>
          </cell>
          <cell r="GE45">
            <v>0.84566922053231941</v>
          </cell>
          <cell r="GF45">
            <v>-4.2112828975670684</v>
          </cell>
          <cell r="GG45">
            <v>0</v>
          </cell>
          <cell r="GH45">
            <v>26.3</v>
          </cell>
          <cell r="GL45" t="str">
            <v>Total Enterprise Value</v>
          </cell>
          <cell r="GP45">
            <v>27.616999999999997</v>
          </cell>
          <cell r="GQ45">
            <v>157.22072124999997</v>
          </cell>
          <cell r="GR45">
            <v>219.60997999999998</v>
          </cell>
          <cell r="GS45">
            <v>486.25187</v>
          </cell>
        </row>
        <row r="46">
          <cell r="FZ46">
            <v>0.36500789786282911</v>
          </cell>
          <cell r="GB46">
            <v>69.546430499999985</v>
          </cell>
          <cell r="GC46">
            <v>9.5727130640172756E-2</v>
          </cell>
          <cell r="GD46">
            <v>1.2783433415233367</v>
          </cell>
          <cell r="GE46">
            <v>2.8181288683289201</v>
          </cell>
          <cell r="GF46">
            <v>1.1306476907989369</v>
          </cell>
          <cell r="GG46">
            <v>0</v>
          </cell>
          <cell r="GH46">
            <v>25.77825</v>
          </cell>
          <cell r="GL46" t="str">
            <v>EBITDA</v>
          </cell>
          <cell r="GP46">
            <v>-7.5950000000000033</v>
          </cell>
          <cell r="GQ46">
            <v>3.3400000000000265</v>
          </cell>
          <cell r="GR46">
            <v>-2.7199999999999918</v>
          </cell>
          <cell r="GS46">
            <v>41.676999999999985</v>
          </cell>
        </row>
        <row r="47">
          <cell r="FZ47" t="str">
            <v>Source: Company Reports and BARS Estimates.</v>
          </cell>
          <cell r="GJ47" t="str">
            <v>Source: Company Reports and BARS Estimates.</v>
          </cell>
          <cell r="GL47" t="str">
            <v>a. Fiscal year ending unless otherwise noted</v>
          </cell>
        </row>
        <row r="48">
          <cell r="FZ48">
            <v>0.36499999999999999</v>
          </cell>
          <cell r="GB48">
            <v>22.320250000000001</v>
          </cell>
          <cell r="GC48">
            <v>0.10381511627906978</v>
          </cell>
          <cell r="GD48">
            <v>0.7844779341221626</v>
          </cell>
          <cell r="GE48">
            <v>0.84546401515151526</v>
          </cell>
          <cell r="GF48">
            <v>0.58189076236775494</v>
          </cell>
          <cell r="GG48">
            <v>0</v>
          </cell>
          <cell r="GH48">
            <v>26.4</v>
          </cell>
          <cell r="GJ48" t="str">
            <v>Source: Company Reports and BARS Estimates.</v>
          </cell>
          <cell r="GL48" t="str">
            <v>b. From continuing operations</v>
          </cell>
        </row>
        <row r="49">
          <cell r="FZ49">
            <v>0.36499999999999999</v>
          </cell>
          <cell r="GB49">
            <v>23.965693749999993</v>
          </cell>
          <cell r="GC49">
            <v>0.10307825268817201</v>
          </cell>
          <cell r="GD49">
            <v>0.47744176942650285</v>
          </cell>
          <cell r="GE49">
            <v>0.90436580188679216</v>
          </cell>
          <cell r="GF49">
            <v>0.35641081865650259</v>
          </cell>
          <cell r="GG49">
            <v>0</v>
          </cell>
          <cell r="GH49">
            <v>26.5</v>
          </cell>
          <cell r="GJ49">
            <v>0</v>
          </cell>
        </row>
        <row r="50">
          <cell r="FZ50">
            <v>0.36499999999999999</v>
          </cell>
          <cell r="GB50">
            <v>25.551606249999999</v>
          </cell>
          <cell r="GC50">
            <v>0.10323881313131313</v>
          </cell>
          <cell r="GD50">
            <v>0.33183563366762686</v>
          </cell>
          <cell r="GE50">
            <v>0.95698899812734084</v>
          </cell>
          <cell r="GF50">
            <v>0.23794210040674973</v>
          </cell>
          <cell r="GG50">
            <v>0</v>
          </cell>
          <cell r="GH50">
            <v>26.7</v>
          </cell>
          <cell r="GJ50">
            <v>0</v>
          </cell>
        </row>
        <row r="51">
          <cell r="FZ51">
            <v>0.36499999999999999</v>
          </cell>
          <cell r="GB51">
            <v>26.723339999999993</v>
          </cell>
          <cell r="GC51">
            <v>0.10377996116504852</v>
          </cell>
          <cell r="GD51">
            <v>0.2353557621461676</v>
          </cell>
          <cell r="GE51">
            <v>0.99343271375464659</v>
          </cell>
          <cell r="GF51">
            <v>0.17472965745320043</v>
          </cell>
          <cell r="GG51">
            <v>0</v>
          </cell>
          <cell r="GH51">
            <v>26.9</v>
          </cell>
          <cell r="GJ51">
            <v>0</v>
          </cell>
        </row>
        <row r="52">
          <cell r="FZ52">
            <v>0.36499999999999999</v>
          </cell>
          <cell r="GB52">
            <v>98.560889999999986</v>
          </cell>
          <cell r="GC52">
            <v>0.10347599999999998</v>
          </cell>
          <cell r="GD52">
            <v>0.41719552378752223</v>
          </cell>
          <cell r="GE52">
            <v>3.7018174647887312</v>
          </cell>
          <cell r="GF52">
            <v>0.31357281293662642</v>
          </cell>
          <cell r="GG52">
            <v>0</v>
          </cell>
          <cell r="GH52">
            <v>26.625</v>
          </cell>
          <cell r="GJ52">
            <v>0</v>
          </cell>
        </row>
        <row r="53">
          <cell r="FZ53">
            <v>0</v>
          </cell>
          <cell r="GJ53">
            <v>0</v>
          </cell>
        </row>
        <row r="54">
          <cell r="FZ54">
            <v>0</v>
          </cell>
          <cell r="GJ54">
            <v>0</v>
          </cell>
        </row>
        <row r="55">
          <cell r="FZ55">
            <v>0</v>
          </cell>
          <cell r="GJ55">
            <v>0</v>
          </cell>
        </row>
        <row r="59">
          <cell r="GL59" t="str">
            <v>Valuation Measures-fiscal year</v>
          </cell>
          <cell r="GO59" t="str">
            <v>91A</v>
          </cell>
          <cell r="GP59" t="str">
            <v>92A</v>
          </cell>
          <cell r="GQ59" t="str">
            <v>93A</v>
          </cell>
          <cell r="GR59" t="str">
            <v>94A</v>
          </cell>
          <cell r="GS59" t="str">
            <v>95A</v>
          </cell>
        </row>
        <row r="60">
          <cell r="GL60" t="str">
            <v>Historical Price:  High</v>
          </cell>
          <cell r="GO60">
            <v>0</v>
          </cell>
          <cell r="GP60">
            <v>0</v>
          </cell>
          <cell r="GQ60">
            <v>14</v>
          </cell>
          <cell r="GR60">
            <v>15.75</v>
          </cell>
          <cell r="GS60">
            <v>25.25</v>
          </cell>
        </row>
        <row r="61">
          <cell r="GL61" t="str">
            <v>Historical Price:  Low</v>
          </cell>
          <cell r="GO61">
            <v>0</v>
          </cell>
          <cell r="GP61">
            <v>0</v>
          </cell>
          <cell r="GQ61">
            <v>5.125</v>
          </cell>
          <cell r="GR61">
            <v>7.625</v>
          </cell>
          <cell r="GS61">
            <v>10.125</v>
          </cell>
        </row>
        <row r="62">
          <cell r="GL62" t="str">
            <v xml:space="preserve">Closing </v>
          </cell>
          <cell r="GO62">
            <v>0</v>
          </cell>
          <cell r="GP62">
            <v>0</v>
          </cell>
          <cell r="GQ62">
            <v>12.75</v>
          </cell>
          <cell r="GR62">
            <v>12.125</v>
          </cell>
          <cell r="GS62">
            <v>23.875</v>
          </cell>
        </row>
      </sheetData>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sheetData sheetId="16"/>
      <sheetData sheetId="17"/>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OVER SHEET"/>
      <sheetName val="IS-ANNUAL"/>
      <sheetName val="IS-QTRLY"/>
      <sheetName val="CFBS"/>
      <sheetName val="REV-ANNUAL"/>
      <sheetName val="REV-QTRLY"/>
      <sheetName val="PIPELINE"/>
      <sheetName val="FOOTNOTES"/>
      <sheetName val="ELIQUIS_ALLIANCE"/>
      <sheetName val="MGMT PROJECTIONS"/>
      <sheetName val="DCF"/>
      <sheetName val="AGREEMENTS"/>
      <sheetName val="IndexInformation"/>
      <sheetName val="ModPubIndex"/>
      <sheetName val="MW-Cache"/>
      <sheetName val="APIXABAN"/>
      <sheetName val="PREVNAR 13 ADULT"/>
      <sheetName val="ModPubIndexInternal"/>
      <sheetName val="__FDSCACHE__"/>
      <sheetName val="AF_MKT_MODEL"/>
      <sheetName val="DEBT"/>
      <sheetName val="MWA RR"/>
      <sheetName val="REV-SEGMENT"/>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row r="36">
          <cell r="B36" t="str">
            <v>NorthAmerica</v>
          </cell>
        </row>
        <row r="37">
          <cell r="B37" t="str">
            <v>excel</v>
          </cell>
        </row>
        <row r="38">
          <cell r="B38" t="str">
            <v>en-US</v>
          </cell>
        </row>
        <row r="39">
          <cell r="B39" t="str">
            <v>chthoma</v>
          </cell>
        </row>
        <row r="40">
          <cell r="B40">
            <v>1900000782</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s>
    <sheetDataSet>
      <sheetData sheetId="0"/>
      <sheetData sheetId="1"/>
      <sheetData sheetId="2"/>
      <sheetData sheetId="3"/>
      <sheetData sheetId="4"/>
      <sheetData sheetId="5"/>
      <sheetData sheetId="6"/>
      <sheetData sheetId="7"/>
      <sheetData sheetId="8" refreshError="1">
        <row r="15">
          <cell r="J15">
            <v>68.972186762601083</v>
          </cell>
        </row>
        <row r="23">
          <cell r="J23">
            <v>84.521496939820679</v>
          </cell>
        </row>
        <row r="31">
          <cell r="J31">
            <v>88.963861460241219</v>
          </cell>
        </row>
        <row r="39">
          <cell r="J39">
            <v>100.47837355547594</v>
          </cell>
        </row>
      </sheetData>
      <sheetData sheetId="9"/>
      <sheetData sheetId="10"/>
      <sheetData sheetId="11"/>
      <sheetData sheetId="12"/>
      <sheetData sheetId="13"/>
      <sheetData sheetId="14"/>
      <sheetData sheetId="15" refreshError="1"/>
      <sheetData sheetId="16"/>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OVER SHEET"/>
      <sheetName val="__FDSCACHE__"/>
      <sheetName val="IS-ANNUAL"/>
      <sheetName val="IS-QTRLY"/>
      <sheetName val="REV-ANNUAL"/>
      <sheetName val="REV-QTRLY"/>
      <sheetName val="CFBS"/>
      <sheetName val="DCF"/>
      <sheetName val="LINZESS"/>
      <sheetName val="MGMT PROJECTIONS"/>
      <sheetName val="PIPELINE"/>
      <sheetName val="MW-Cache"/>
      <sheetName val="PIPELINE_UNADJ"/>
      <sheetName val="FOOTNOTES"/>
      <sheetName val="AGREEMENTS"/>
      <sheetName val="PIV Challenges"/>
      <sheetName val="Var-YOY"/>
      <sheetName val="Var-Seq"/>
      <sheetName val="AMORT"/>
      <sheetName val="calendar"/>
      <sheetName val="patents"/>
      <sheetName val="patent expirations"/>
      <sheetName val="change"/>
      <sheetName val="launches"/>
      <sheetName val="consensus"/>
      <sheetName val="pipeline handout"/>
      <sheetName val="SAVELLA"/>
      <sheetName val="DEBT"/>
      <sheetName val="MWA RR"/>
      <sheetName val="mwareDates"/>
      <sheetName val="revenue snapshot"/>
      <sheetName val="rev contribution analysis"/>
      <sheetName val="rev change analysis"/>
      <sheetName val="Gaap Adj"/>
      <sheetName val="mwareSettings"/>
      <sheetName val="ImportantDisclosures"/>
      <sheetName val="LINACLOTIDE"/>
      <sheetName val="MW Valuation"/>
      <sheetName val="TR Convert"/>
    </sheetNames>
    <sheetDataSet>
      <sheetData sheetId="0">
        <row r="10">
          <cell r="J10">
            <v>40633</v>
          </cell>
        </row>
        <row r="11">
          <cell r="J11">
            <v>40543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Valuation"/>
      <sheetName val="Analysis"/>
      <sheetName val="MACRS"/>
      <sheetName val="RELPE"/>
      <sheetName val="SALESCAT"/>
      <sheetName val="MATCASH"/>
      <sheetName val="FinSum"/>
      <sheetName val="LXK"/>
      <sheetName val=" Capital"/>
      <sheetName val="New Business"/>
      <sheetName val="FutureAcq"/>
      <sheetName val="Credit Output"/>
      <sheetName val="CalcsMO"/>
      <sheetName val="yearly"/>
      <sheetName val="OnAir"/>
      <sheetName val="Aladdin Macro1"/>
      <sheetName val="DATA"/>
      <sheetName val="Scenario"/>
      <sheetName val="WY"/>
      <sheetName val="Gas"/>
      <sheetName val="Off Peak"/>
      <sheetName val="Peak"/>
      <sheetName val="Annual"/>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Summary Page_VDF"/>
      <sheetName val="Charts_VDF"/>
      <sheetName val="Forecasts_VDF"/>
      <sheetName val="Balance Sheet_VDF"/>
      <sheetName val="Income Statement_VDF"/>
      <sheetName val="WACC_VDF"/>
      <sheetName val="Invested capital_VDF"/>
      <sheetName val="NOPAT_VDF"/>
      <sheetName val="DCF_VDF"/>
      <sheetName val="Annual ESO grants"/>
      <sheetName val="Table for FOF6"/>
      <sheetName val="Outstanding ESO Liability"/>
      <sheetName val="Churn"/>
      <sheetName val="Put Warrant Liability"/>
      <sheetName val="PV of Op Leases_VDF"/>
    </sheetNames>
    <sheetDataSet>
      <sheetData sheetId="0" refreshError="1"/>
      <sheetData sheetId="1"/>
      <sheetData sheetId="2"/>
      <sheetData sheetId="3"/>
      <sheetData sheetId="4" refreshError="1"/>
      <sheetData sheetId="5"/>
      <sheetData sheetId="6"/>
      <sheetData sheetId="7"/>
      <sheetData sheetId="8" refreshError="1">
        <row r="94">
          <cell r="C94">
            <v>0</v>
          </cell>
          <cell r="D94">
            <v>0</v>
          </cell>
          <cell r="E94">
            <v>0</v>
          </cell>
          <cell r="F94">
            <v>0</v>
          </cell>
          <cell r="G94">
            <v>0</v>
          </cell>
          <cell r="H94">
            <v>0</v>
          </cell>
          <cell r="I94">
            <v>0</v>
          </cell>
          <cell r="J94">
            <v>462.74300000000011</v>
          </cell>
          <cell r="K94">
            <v>708.06</v>
          </cell>
          <cell r="L94">
            <v>953</v>
          </cell>
          <cell r="M94">
            <v>1146</v>
          </cell>
          <cell r="N94">
            <v>1453</v>
          </cell>
          <cell r="O94">
            <v>2195</v>
          </cell>
          <cell r="P94">
            <v>3439</v>
          </cell>
          <cell r="Q94">
            <v>4462</v>
          </cell>
        </row>
      </sheetData>
      <sheetData sheetId="9"/>
      <sheetData sheetId="10" refreshError="1"/>
      <sheetData sheetId="11" refreshError="1"/>
      <sheetData sheetId="12" refreshError="1"/>
      <sheetData sheetId="13" refreshError="1"/>
      <sheetData sheetId="14" refreshError="1"/>
      <sheetData sheetId="15"/>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arePreview"/>
      <sheetName val="Questions"/>
      <sheetName val="Quarterly"/>
      <sheetName val="Annual"/>
      <sheetName val="mwareValPrintout"/>
      <sheetName val="mwareTaxoPres"/>
      <sheetName val="Balance Sheet "/>
      <sheetName val="Cashflow"/>
      <sheetName val="Avastin- 2004 Patient Ramp"/>
      <sheetName val="Consensus&amp;Figures"/>
      <sheetName val="Avastin"/>
      <sheetName val="Rituxan"/>
      <sheetName val="Xolair"/>
      <sheetName val="Raptiva"/>
      <sheetName val="Tarceva"/>
      <sheetName val="Herceptin"/>
      <sheetName val="DCF Valuation"/>
      <sheetName val="mwareDates"/>
      <sheetName val="mwareSettings"/>
      <sheetName val="NY UPLOAD shadow"/>
      <sheetName val="mStartup"/>
      <sheetName val="MainCode"/>
      <sheetName val="NY UPLOAD"/>
      <sheetName val="MS Est vs. Rpt"/>
      <sheetName val="Changes"/>
      <sheetName val="Marketing"/>
      <sheetName val="DNA Milestones"/>
    </sheetNames>
    <sheetDataSet>
      <sheetData sheetId="0" refreshError="1"/>
      <sheetData sheetId="1" refreshError="1"/>
      <sheetData sheetId="2" refreshError="1"/>
      <sheetData sheetId="3" refreshError="1"/>
      <sheetData sheetId="4" refreshError="1">
        <row r="42">
          <cell r="H42">
            <v>0.36046840883862497</v>
          </cell>
          <cell r="J42">
            <v>0.4609771128689375</v>
          </cell>
          <cell r="L42">
            <v>0.52459464276934265</v>
          </cell>
          <cell r="N42">
            <v>0.27128361596795858</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Balance Sheet"/>
      <sheetName val="New Divisions"/>
      <sheetName val="Pipeline Chart"/>
      <sheetName val="Sheet1"/>
      <sheetName val="Incremental Growth"/>
      <sheetName val="Pipeline"/>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Annual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Contents"/>
      <sheetName val="mwarePreview"/>
      <sheetName val="Summary"/>
      <sheetName val="Qrtly Sales"/>
      <sheetName val="Yrly Sales"/>
      <sheetName val="Product concentration"/>
      <sheetName val="Div P&amp;L"/>
      <sheetName val="div p&amp;L new"/>
      <sheetName val="Restructuring and synergies"/>
      <sheetName val="Sandoz"/>
      <sheetName val=" Qrtly P&amp;L"/>
      <sheetName val=" Yrly P&amp;L"/>
      <sheetName val="IFRS adjustments"/>
      <sheetName val="BalanceSheet"/>
      <sheetName val="CashFlowSt"/>
      <sheetName val="FutureProducts"/>
      <sheetName val="GVAT Adjusted CHF"/>
      <sheetName val="GVAT Adjusted $"/>
      <sheetName val="GVAT RI Valuation"/>
      <sheetName val="GVAT Reported $"/>
      <sheetName val="GVAT pensions CHF"/>
      <sheetName val="GVAT Reported CHF"/>
      <sheetName val="GVAT options CHF"/>
      <sheetName val="__FDSCACHE__"/>
      <sheetName val="Zelnorm"/>
      <sheetName val="Gleevec"/>
      <sheetName val="Elidel"/>
      <sheetName val="DCF"/>
      <sheetName val="Novartisfeed"/>
      <sheetName val="Disclaimer"/>
      <sheetName val="mwareTaxoPres"/>
      <sheetName val="mwareDates_38456_582518"/>
      <sheetName val="RI Valuation"/>
      <sheetName val="Convergence Valuation"/>
      <sheetName val="Report"/>
      <sheetName val="mwareValPrintout"/>
      <sheetName val="Model_Template"/>
      <sheetName val="mwareDates"/>
      <sheetName val="mwareSettings"/>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Telbivudine"/>
      <sheetName val="Key metrics"/>
      <sheetName val="QPreview"/>
      <sheetName val="RI GW"/>
      <sheetName val="Chiron acquisi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row r="42">
          <cell r="D42">
            <v>56225</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S Chg"/>
      <sheetName val="RAPID2"/>
      <sheetName val="Qtr Rpt"/>
      <sheetName val="Model"/>
      <sheetName val="00 Dilution"/>
      <sheetName val="FCall Hdr"/>
      <sheetName val="Encl Acq"/>
      <sheetName val="Convt Dilution"/>
      <sheetName val="Old Model"/>
      <sheetName val="ALRN Model"/>
      <sheetName val="Acq Dilution"/>
      <sheetName val="Schu Acq Analysis"/>
      <sheetName val="Schu Acq Analysis (stock)"/>
    </sheetNames>
    <sheetDataSet>
      <sheetData sheetId="0"/>
      <sheetData sheetId="1"/>
      <sheetData sheetId="2"/>
      <sheetData sheetId="3"/>
      <sheetData sheetId="4"/>
      <sheetData sheetId="5"/>
      <sheetData sheetId="6"/>
      <sheetData sheetId="7"/>
      <sheetData sheetId="8" refreshError="1">
        <row r="3">
          <cell r="BR3" t="str">
            <v>Sanmina Corporation</v>
          </cell>
          <cell r="CB3" t="str">
            <v>Sanmina Corporation</v>
          </cell>
          <cell r="CL3" t="str">
            <v>Sanmina Corporation</v>
          </cell>
        </row>
        <row r="4">
          <cell r="BR4" t="str">
            <v>Quarterly Income Statements</v>
          </cell>
          <cell r="CB4" t="str">
            <v>Quarterly Income Statements</v>
          </cell>
          <cell r="CL4" t="str">
            <v>Quarterly Income Statements</v>
          </cell>
        </row>
        <row r="5">
          <cell r="BR5" t="str">
            <v>($ In Millions Except Per Share Data)</v>
          </cell>
          <cell r="CB5" t="str">
            <v>($ In Millions Except Per Share Data)</v>
          </cell>
          <cell r="CL5" t="str">
            <v>($ In Millions Except Per Share Data)</v>
          </cell>
        </row>
        <row r="6">
          <cell r="BO6" t="str">
            <v>Restated for Elexsys</v>
          </cell>
        </row>
        <row r="7">
          <cell r="BO7" t="str">
            <v>1997R</v>
          </cell>
          <cell r="BQ7" t="str">
            <v>Mar</v>
          </cell>
          <cell r="BS7" t="str">
            <v>Jun</v>
          </cell>
          <cell r="BU7" t="str">
            <v>Sept</v>
          </cell>
          <cell r="BW7" t="str">
            <v>1997R</v>
          </cell>
          <cell r="BY7" t="str">
            <v>1998A</v>
          </cell>
          <cell r="CA7" t="str">
            <v>Mar</v>
          </cell>
          <cell r="CC7" t="str">
            <v>Jun</v>
          </cell>
          <cell r="CE7" t="str">
            <v>Sep</v>
          </cell>
          <cell r="CG7" t="str">
            <v>1998A</v>
          </cell>
          <cell r="CI7" t="str">
            <v>1999E</v>
          </cell>
          <cell r="CK7" t="str">
            <v>Mar</v>
          </cell>
          <cell r="CM7" t="str">
            <v>Jun</v>
          </cell>
          <cell r="CO7" t="str">
            <v>Sept</v>
          </cell>
          <cell r="CQ7" t="str">
            <v>1999E</v>
          </cell>
        </row>
        <row r="8">
          <cell r="BO8" t="str">
            <v>1QR</v>
          </cell>
          <cell r="BP8" t="str">
            <v>% Chg.</v>
          </cell>
          <cell r="BQ8" t="str">
            <v>2QR</v>
          </cell>
          <cell r="BR8" t="str">
            <v>% Chg.</v>
          </cell>
          <cell r="BS8" t="str">
            <v>3QR</v>
          </cell>
          <cell r="BT8" t="str">
            <v>% Chg.</v>
          </cell>
          <cell r="BU8" t="str">
            <v>4QR</v>
          </cell>
          <cell r="BV8" t="str">
            <v>% Chg.</v>
          </cell>
          <cell r="BW8" t="str">
            <v xml:space="preserve">    YEAR </v>
          </cell>
          <cell r="BX8" t="str">
            <v>% Chg.</v>
          </cell>
          <cell r="BY8" t="str">
            <v>1QA</v>
          </cell>
          <cell r="BZ8" t="str">
            <v>% Chg.</v>
          </cell>
          <cell r="CA8" t="str">
            <v xml:space="preserve">  2QA</v>
          </cell>
          <cell r="CB8" t="str">
            <v>% Chg.</v>
          </cell>
          <cell r="CC8" t="str">
            <v xml:space="preserve">  3QA</v>
          </cell>
          <cell r="CD8" t="str">
            <v>% Chg.</v>
          </cell>
          <cell r="CE8" t="str">
            <v xml:space="preserve">  4QA</v>
          </cell>
          <cell r="CF8" t="str">
            <v>% Chg.</v>
          </cell>
          <cell r="CG8" t="str">
            <v xml:space="preserve">    YEAR </v>
          </cell>
          <cell r="CH8" t="str">
            <v>% Chg.</v>
          </cell>
          <cell r="CI8" t="str">
            <v xml:space="preserve">   1QE</v>
          </cell>
          <cell r="CJ8" t="str">
            <v>% Chg.</v>
          </cell>
          <cell r="CK8" t="str">
            <v xml:space="preserve">  2QE</v>
          </cell>
          <cell r="CL8" t="str">
            <v>% Chg.</v>
          </cell>
          <cell r="CM8" t="str">
            <v xml:space="preserve">  3QE</v>
          </cell>
          <cell r="CN8" t="str">
            <v>% Chg.</v>
          </cell>
          <cell r="CO8" t="str">
            <v xml:space="preserve">  4QE</v>
          </cell>
          <cell r="CP8" t="str">
            <v>% Chg.</v>
          </cell>
          <cell r="CQ8" t="str">
            <v xml:space="preserve">    YEAR </v>
          </cell>
          <cell r="CR8" t="str">
            <v>% Chg.</v>
          </cell>
        </row>
        <row r="9">
          <cell r="BO9">
            <v>125.17400000000001</v>
          </cell>
          <cell r="BP9">
            <v>0.54381421048087719</v>
          </cell>
          <cell r="BQ9">
            <v>133.82300000000001</v>
          </cell>
          <cell r="BR9">
            <v>0.4295801730584341</v>
          </cell>
          <cell r="BS9">
            <v>150.19800000000001</v>
          </cell>
          <cell r="BT9">
            <v>0.47219744567401478</v>
          </cell>
          <cell r="BU9">
            <v>160.59200000000007</v>
          </cell>
          <cell r="BV9">
            <v>0.39320539959051959</v>
          </cell>
          <cell r="BW9">
            <v>569.78700000000015</v>
          </cell>
          <cell r="BX9">
            <v>0.4536050124750628</v>
          </cell>
          <cell r="BY9">
            <v>159.107</v>
          </cell>
          <cell r="BZ9">
            <v>0.27108664738683741</v>
          </cell>
          <cell r="CA9">
            <v>172.14599999999999</v>
          </cell>
          <cell r="CB9">
            <v>0.28637080322515551</v>
          </cell>
          <cell r="CC9">
            <v>197.13900000000001</v>
          </cell>
          <cell r="CD9">
            <v>0.31252746374785279</v>
          </cell>
          <cell r="CE9">
            <v>194.18900000000005</v>
          </cell>
          <cell r="CF9">
            <v>0.20920718342134093</v>
          </cell>
          <cell r="CG9">
            <v>722.58100000000013</v>
          </cell>
          <cell r="CH9">
            <v>0.26815985622697602</v>
          </cell>
          <cell r="CI9">
            <v>212</v>
          </cell>
          <cell r="CJ9">
            <v>0.33243666212045975</v>
          </cell>
          <cell r="CK9">
            <v>225.5</v>
          </cell>
          <cell r="CL9">
            <v>0.30993459040581839</v>
          </cell>
          <cell r="CM9">
            <v>243.5</v>
          </cell>
          <cell r="CN9">
            <v>0.23516909388806884</v>
          </cell>
          <cell r="CO9">
            <v>261.5</v>
          </cell>
          <cell r="CP9">
            <v>0.34662622496639828</v>
          </cell>
          <cell r="CQ9">
            <v>942.5</v>
          </cell>
          <cell r="CR9">
            <v>0.30435203804140976</v>
          </cell>
        </row>
        <row r="10">
          <cell r="BO10">
            <v>8.5938855536662029E-2</v>
          </cell>
          <cell r="BQ10">
            <v>6.9095818620480198E-2</v>
          </cell>
          <cell r="BS10">
            <v>0.12236312143652439</v>
          </cell>
          <cell r="BU10">
            <v>6.9201986710875296E-2</v>
          </cell>
          <cell r="BY10">
            <v>-9.2470359669227786E-3</v>
          </cell>
          <cell r="CA10">
            <v>8.1951139799003148E-2</v>
          </cell>
          <cell r="CC10">
            <v>0.14518490118852623</v>
          </cell>
          <cell r="CE10">
            <v>-1.4964060891046183E-2</v>
          </cell>
          <cell r="CI10">
            <v>9.1719922343695748E-2</v>
          </cell>
          <cell r="CK10">
            <v>6.3679245283018826E-2</v>
          </cell>
          <cell r="CM10">
            <v>7.9822616407982272E-2</v>
          </cell>
          <cell r="CO10">
            <v>7.3921971252566721E-2</v>
          </cell>
        </row>
        <row r="11">
          <cell r="BO11">
            <v>97.322999999999993</v>
          </cell>
          <cell r="BP11">
            <v>0.5429237281417949</v>
          </cell>
          <cell r="BQ11">
            <v>105.78700000000001</v>
          </cell>
          <cell r="BR11">
            <v>0.45463670865188943</v>
          </cell>
          <cell r="BS11">
            <v>117.304</v>
          </cell>
          <cell r="BT11">
            <v>0.47607902353089226</v>
          </cell>
          <cell r="BU11">
            <v>135.16200000000003</v>
          </cell>
          <cell r="BV11">
            <v>0.5025345724576471</v>
          </cell>
          <cell r="BW11">
            <v>455.57600000000002</v>
          </cell>
          <cell r="BX11">
            <v>0.49258093156896354</v>
          </cell>
          <cell r="BY11">
            <v>124.43</v>
          </cell>
          <cell r="BZ11">
            <v>0.27852614489894489</v>
          </cell>
          <cell r="CA11">
            <v>134.52000000000001</v>
          </cell>
          <cell r="CB11">
            <v>0.27161182375906301</v>
          </cell>
          <cell r="CC11">
            <v>153.708</v>
          </cell>
          <cell r="CD11">
            <v>0.31033894837345688</v>
          </cell>
          <cell r="CE11">
            <v>151.25500000000005</v>
          </cell>
          <cell r="CF11">
            <v>0.11906452997144168</v>
          </cell>
          <cell r="CG11">
            <v>563.91300000000001</v>
          </cell>
          <cell r="CH11">
            <v>0.23780225472808048</v>
          </cell>
          <cell r="CI11">
            <v>165.042</v>
          </cell>
          <cell r="CJ11">
            <v>0.32638431246483957</v>
          </cell>
          <cell r="CK11">
            <v>176.1155</v>
          </cell>
          <cell r="CL11">
            <v>0.30921424323520652</v>
          </cell>
          <cell r="CM11">
            <v>191.39100000000002</v>
          </cell>
          <cell r="CN11">
            <v>0.24515965336872525</v>
          </cell>
          <cell r="CO11">
            <v>206.06200000000001</v>
          </cell>
          <cell r="CP11">
            <v>0.36234835212059058</v>
          </cell>
          <cell r="CQ11">
            <v>738.61050000000012</v>
          </cell>
          <cell r="CR11">
            <v>0.30979512797186826</v>
          </cell>
        </row>
        <row r="12">
          <cell r="BO12">
            <v>0.77750171760908804</v>
          </cell>
          <cell r="BQ12">
            <v>0.79049939098660171</v>
          </cell>
          <cell r="BS12">
            <v>0.78099575227366536</v>
          </cell>
          <cell r="BU12">
            <v>0.84164840091660842</v>
          </cell>
          <cell r="BW12">
            <v>0.79955492140045303</v>
          </cell>
          <cell r="BY12">
            <v>0.7820523295643812</v>
          </cell>
          <cell r="CA12">
            <v>0.78142971663587901</v>
          </cell>
          <cell r="CC12">
            <v>0.77969351574269929</v>
          </cell>
          <cell r="CE12">
            <v>0.77890611723630077</v>
          </cell>
          <cell r="CG12">
            <v>0.78041492926052569</v>
          </cell>
          <cell r="CI12">
            <v>0.77849999999999997</v>
          </cell>
          <cell r="CK12">
            <v>0.78100000000000003</v>
          </cell>
          <cell r="CM12">
            <v>0.78600000000000003</v>
          </cell>
          <cell r="CO12">
            <v>0.78800000000000003</v>
          </cell>
          <cell r="CQ12">
            <v>0.78367161803713536</v>
          </cell>
        </row>
        <row r="13">
          <cell r="BO13">
            <v>27.851000000000013</v>
          </cell>
          <cell r="BP13">
            <v>0.54693401466340852</v>
          </cell>
          <cell r="BQ13">
            <v>28.036000000000001</v>
          </cell>
          <cell r="BR13">
            <v>0.34233457818634516</v>
          </cell>
          <cell r="BS13">
            <v>32.894000000000005</v>
          </cell>
          <cell r="BT13">
            <v>0.45851993082960174</v>
          </cell>
          <cell r="BU13">
            <v>25.430000000000035</v>
          </cell>
          <cell r="BV13">
            <v>4.6618204804027563E-3</v>
          </cell>
          <cell r="BW13">
            <v>114.21100000000006</v>
          </cell>
          <cell r="BX13">
            <v>0.31647743645899307</v>
          </cell>
          <cell r="BY13">
            <v>34.676999999999992</v>
          </cell>
          <cell r="BZ13">
            <v>0.24508994291048714</v>
          </cell>
          <cell r="CA13">
            <v>37.625999999999976</v>
          </cell>
          <cell r="CB13">
            <v>0.34206020830360884</v>
          </cell>
          <cell r="CC13">
            <v>43.431000000000012</v>
          </cell>
          <cell r="CD13">
            <v>0.32033197543624992</v>
          </cell>
          <cell r="CE13">
            <v>42.933999999999997</v>
          </cell>
          <cell r="CF13">
            <v>0.68832088084938814</v>
          </cell>
          <cell r="CG13">
            <v>158.66799999999998</v>
          </cell>
          <cell r="CH13">
            <v>0.38925322429538234</v>
          </cell>
          <cell r="CI13">
            <v>46.957999999999998</v>
          </cell>
          <cell r="CJ13">
            <v>0.35415405023502644</v>
          </cell>
          <cell r="CK13">
            <v>49.384500000000003</v>
          </cell>
          <cell r="CL13">
            <v>0.31250996651251883</v>
          </cell>
          <cell r="CM13">
            <v>52.10899999999998</v>
          </cell>
          <cell r="CN13">
            <v>0.1998111947687129</v>
          </cell>
          <cell r="CO13">
            <v>55.437999999999988</v>
          </cell>
          <cell r="CP13">
            <v>0.29123771370009766</v>
          </cell>
          <cell r="CQ13">
            <v>203.88949999999997</v>
          </cell>
          <cell r="CR13">
            <v>0.28500705876421195</v>
          </cell>
        </row>
        <row r="14">
          <cell r="BO14">
            <v>0.22249828239091193</v>
          </cell>
          <cell r="BQ14">
            <v>0.20950060901339829</v>
          </cell>
          <cell r="BS14">
            <v>0.21900424772633459</v>
          </cell>
          <cell r="BU14">
            <v>0.15835159908339161</v>
          </cell>
          <cell r="BW14">
            <v>0.20044507859954688</v>
          </cell>
          <cell r="BY14">
            <v>0.21794767043561875</v>
          </cell>
          <cell r="CA14">
            <v>0.21857028336412104</v>
          </cell>
          <cell r="CC14">
            <v>0.22030648425730073</v>
          </cell>
          <cell r="CE14">
            <v>0.22109388276369921</v>
          </cell>
          <cell r="CG14">
            <v>0.21958507073947411</v>
          </cell>
          <cell r="CI14">
            <v>0.2215</v>
          </cell>
          <cell r="CK14">
            <v>0.219</v>
          </cell>
          <cell r="CM14">
            <v>0.21399999999999991</v>
          </cell>
          <cell r="CO14">
            <v>0.21199999999999997</v>
          </cell>
          <cell r="CQ14">
            <v>0.21632838196286469</v>
          </cell>
        </row>
        <row r="15">
          <cell r="BO15">
            <v>0.22332343002290631</v>
          </cell>
          <cell r="BQ15">
            <v>0.17780319797080557</v>
          </cell>
          <cell r="BS15">
            <v>0.21465490399584858</v>
          </cell>
          <cell r="BU15">
            <v>2.603477186478517E-3</v>
          </cell>
          <cell r="BW15">
            <v>0.15441635499564105</v>
          </cell>
          <cell r="BY15">
            <v>0.20116111160227451</v>
          </cell>
          <cell r="CA15">
            <v>0.25024136941262376</v>
          </cell>
          <cell r="CC15">
            <v>0.22447327496218669</v>
          </cell>
          <cell r="CE15">
            <v>0.52099889871119365</v>
          </cell>
          <cell r="CG15">
            <v>0.29096037802531466</v>
          </cell>
          <cell r="CI15">
            <v>0.23218573346189489</v>
          </cell>
          <cell r="CK15">
            <v>0.22038647524084462</v>
          </cell>
          <cell r="CM15">
            <v>0.18718319276978432</v>
          </cell>
          <cell r="CO15">
            <v>0.1857645852832375</v>
          </cell>
          <cell r="CQ15">
            <v>0.20562798121126424</v>
          </cell>
        </row>
        <row r="17">
          <cell r="BO17">
            <v>8.9209999999999994</v>
          </cell>
          <cell r="BP17">
            <v>0.40069084628670115</v>
          </cell>
          <cell r="BQ17">
            <v>9.7560000000000002</v>
          </cell>
          <cell r="BR17">
            <v>0.3510594100540092</v>
          </cell>
          <cell r="BS17">
            <v>11.244</v>
          </cell>
          <cell r="BT17">
            <v>0.47481636935991611</v>
          </cell>
          <cell r="BU17">
            <v>14.088999999999999</v>
          </cell>
          <cell r="BV17">
            <v>0.65967722935563633</v>
          </cell>
          <cell r="BW17">
            <v>44.01</v>
          </cell>
          <cell r="BX17">
            <v>0.48166851833148172</v>
          </cell>
          <cell r="BY17">
            <v>9.9949999999999992</v>
          </cell>
          <cell r="BZ17">
            <v>0.12039009079699592</v>
          </cell>
          <cell r="CA17">
            <v>10.558999999999999</v>
          </cell>
          <cell r="CB17">
            <v>8.2308323083230661E-2</v>
          </cell>
          <cell r="CC17">
            <v>11.786</v>
          </cell>
          <cell r="CD17">
            <v>4.8203486303806553E-2</v>
          </cell>
          <cell r="CE17">
            <v>11.505000000000001</v>
          </cell>
          <cell r="CF17">
            <v>-0.18340549364752634</v>
          </cell>
          <cell r="CG17">
            <v>43.844999999999999</v>
          </cell>
          <cell r="CH17">
            <v>-3.7491479209270651E-3</v>
          </cell>
          <cell r="CI17">
            <v>11.872</v>
          </cell>
          <cell r="CJ17">
            <v>0.18779389694847426</v>
          </cell>
          <cell r="CK17">
            <v>12.74075</v>
          </cell>
          <cell r="CL17">
            <v>0.20662468036745918</v>
          </cell>
          <cell r="CM17">
            <v>13.8308</v>
          </cell>
          <cell r="CN17">
            <v>0.17349397590361448</v>
          </cell>
          <cell r="CO17">
            <v>14.591700000000001</v>
          </cell>
          <cell r="CP17">
            <v>0.26829204693611475</v>
          </cell>
          <cell r="CQ17">
            <v>53.035250000000005</v>
          </cell>
          <cell r="CR17">
            <v>0.20960770897479764</v>
          </cell>
        </row>
        <row r="18">
          <cell r="BO18">
            <v>7.1268793838976136E-2</v>
          </cell>
          <cell r="BQ18">
            <v>7.2902266426548498E-2</v>
          </cell>
          <cell r="BS18">
            <v>7.486118323812567E-2</v>
          </cell>
          <cell r="BU18">
            <v>8.7731642921191538E-2</v>
          </cell>
          <cell r="BW18">
            <v>7.7239389456059876E-2</v>
          </cell>
          <cell r="BY18">
            <v>6.2819360556103751E-2</v>
          </cell>
          <cell r="CA18">
            <v>6.1337469357405923E-2</v>
          </cell>
          <cell r="CC18">
            <v>5.9785227681990877E-2</v>
          </cell>
          <cell r="CE18">
            <v>5.9246404276246327E-2</v>
          </cell>
          <cell r="CG18">
            <v>6.0678318416897192E-2</v>
          </cell>
          <cell r="CI18">
            <v>5.6000000000000001E-2</v>
          </cell>
          <cell r="CK18">
            <v>5.6500000000000002E-2</v>
          </cell>
          <cell r="CM18">
            <v>5.6800000000000003E-2</v>
          </cell>
          <cell r="CO18">
            <v>5.5800000000000002E-2</v>
          </cell>
          <cell r="CQ18">
            <v>5.6270822281167115E-2</v>
          </cell>
        </row>
        <row r="20">
          <cell r="BO20">
            <v>0.501</v>
          </cell>
          <cell r="BP20">
            <v>1.2876712328767121</v>
          </cell>
          <cell r="BQ20">
            <v>0.502</v>
          </cell>
          <cell r="BR20">
            <v>1.9960079840319889E-3</v>
          </cell>
          <cell r="BS20">
            <v>0.501</v>
          </cell>
          <cell r="BT20">
            <v>0</v>
          </cell>
          <cell r="BU20">
            <v>0.50199999999999989</v>
          </cell>
          <cell r="BV20">
            <v>-2.2204460492503131E-16</v>
          </cell>
          <cell r="BW20">
            <v>2.0059999999999998</v>
          </cell>
          <cell r="BX20">
            <v>0.16424840394660456</v>
          </cell>
          <cell r="BY20">
            <v>0.56699999999999995</v>
          </cell>
          <cell r="BZ20">
            <v>0.13173652694610771</v>
          </cell>
          <cell r="CA20">
            <v>0.63400000000000001</v>
          </cell>
          <cell r="CB20">
            <v>0.26294820717131473</v>
          </cell>
          <cell r="CC20">
            <v>0.82499999999999996</v>
          </cell>
          <cell r="CD20">
            <v>0.6467065868263473</v>
          </cell>
          <cell r="CE20">
            <v>0.82499999999999996</v>
          </cell>
          <cell r="CF20">
            <v>0.64342629482071745</v>
          </cell>
          <cell r="CG20">
            <v>2.851</v>
          </cell>
          <cell r="CH20">
            <v>0.42123629112662031</v>
          </cell>
          <cell r="CI20">
            <v>0.82</v>
          </cell>
          <cell r="CJ20">
            <v>0.44620811287477968</v>
          </cell>
          <cell r="CK20">
            <v>0.82</v>
          </cell>
          <cell r="CL20">
            <v>0.29337539432176651</v>
          </cell>
          <cell r="CM20">
            <v>0.82</v>
          </cell>
          <cell r="CN20">
            <v>-6.0606060606060996E-3</v>
          </cell>
          <cell r="CO20">
            <v>0.82399999999999995</v>
          </cell>
          <cell r="CP20">
            <v>-1.2121212121212199E-3</v>
          </cell>
          <cell r="CQ20">
            <v>3.2839999999999998</v>
          </cell>
          <cell r="CR20">
            <v>0.15187653454928096</v>
          </cell>
        </row>
        <row r="21">
          <cell r="BO21">
            <v>4.002428619361848E-3</v>
          </cell>
          <cell r="BQ21">
            <v>3.7512236312143652E-3</v>
          </cell>
          <cell r="BS21">
            <v>3.3355970119442334E-3</v>
          </cell>
          <cell r="BU21">
            <v>3.1259340440370608E-3</v>
          </cell>
          <cell r="BW21">
            <v>3.5206138434186796E-3</v>
          </cell>
          <cell r="BY21">
            <v>3.5636395633127389E-3</v>
          </cell>
          <cell r="CA21">
            <v>3.6829203118283319E-3</v>
          </cell>
          <cell r="CC21">
            <v>4.1848644864790827E-3</v>
          </cell>
          <cell r="CE21">
            <v>4.2484383770450421E-3</v>
          </cell>
          <cell r="CG21">
            <v>3.9455784195820253E-3</v>
          </cell>
          <cell r="CI21">
            <v>3.8679245283018866E-3</v>
          </cell>
          <cell r="CK21">
            <v>3.6363636363636364E-3</v>
          </cell>
          <cell r="CM21">
            <v>3.3675564681724846E-3</v>
          </cell>
          <cell r="CO21">
            <v>3.1510516252390057E-3</v>
          </cell>
          <cell r="CQ21">
            <v>3.4843501326259946E-3</v>
          </cell>
        </row>
        <row r="22">
          <cell r="BO22">
            <v>18.429000000000013</v>
          </cell>
          <cell r="BP22">
            <v>0.61431324456902625</v>
          </cell>
          <cell r="BQ22">
            <v>17.778000000000002</v>
          </cell>
          <cell r="BR22">
            <v>0.35050136736554305</v>
          </cell>
          <cell r="BS22">
            <v>21.149000000000004</v>
          </cell>
          <cell r="BT22">
            <v>0.46583032991405648</v>
          </cell>
          <cell r="BU22">
            <v>10.839000000000036</v>
          </cell>
          <cell r="BV22">
            <v>-0.33588628147785182</v>
          </cell>
          <cell r="BW22">
            <v>68.19500000000005</v>
          </cell>
          <cell r="BX22">
            <v>0.23253628296191775</v>
          </cell>
          <cell r="BY22">
            <v>24.114999999999995</v>
          </cell>
          <cell r="BZ22">
            <v>0.30853546041564806</v>
          </cell>
          <cell r="CA22">
            <v>26.432999999999979</v>
          </cell>
          <cell r="CB22">
            <v>0.48683766452919208</v>
          </cell>
          <cell r="CC22">
            <v>30.820000000000011</v>
          </cell>
          <cell r="CD22">
            <v>0.45727930398600436</v>
          </cell>
          <cell r="CE22">
            <v>30.603999999999996</v>
          </cell>
          <cell r="CF22">
            <v>1.8235077036626897</v>
          </cell>
          <cell r="CG22">
            <v>111.97199999999998</v>
          </cell>
          <cell r="CH22">
            <v>0.64193855854534632</v>
          </cell>
          <cell r="CI22">
            <v>34.265999999999998</v>
          </cell>
          <cell r="CJ22">
            <v>0.42094132282811558</v>
          </cell>
          <cell r="CK22">
            <v>35.823750000000004</v>
          </cell>
          <cell r="CL22">
            <v>0.35526614459198846</v>
          </cell>
          <cell r="CM22">
            <v>37.458199999999984</v>
          </cell>
          <cell r="CN22">
            <v>0.21538611291369136</v>
          </cell>
          <cell r="CO22">
            <v>40.022299999999987</v>
          </cell>
          <cell r="CP22">
            <v>0.30774735328715175</v>
          </cell>
          <cell r="CQ22">
            <v>147.57024999999999</v>
          </cell>
          <cell r="CR22">
            <v>0.31792099810666974</v>
          </cell>
        </row>
        <row r="23">
          <cell r="BO23">
            <v>0.14722705993257396</v>
          </cell>
          <cell r="BQ23">
            <v>0.13284711895563545</v>
          </cell>
          <cell r="BS23">
            <v>0.14080746747626469</v>
          </cell>
          <cell r="BU23">
            <v>6.7494022118162994E-2</v>
          </cell>
          <cell r="BW23">
            <v>0.11968507530006833</v>
          </cell>
          <cell r="BY23">
            <v>0.15156467031620227</v>
          </cell>
          <cell r="CA23">
            <v>0.15354989369488678</v>
          </cell>
          <cell r="CC23">
            <v>0.15633639208883077</v>
          </cell>
          <cell r="CE23">
            <v>0.15759904011040785</v>
          </cell>
          <cell r="CG23">
            <v>0.15496117390299491</v>
          </cell>
          <cell r="CI23">
            <v>0.16163207547169811</v>
          </cell>
          <cell r="CK23">
            <v>0.15886363636363637</v>
          </cell>
          <cell r="CM23">
            <v>0.15383244353182746</v>
          </cell>
          <cell r="CO23">
            <v>0.15304894837476093</v>
          </cell>
          <cell r="CQ23">
            <v>0.15657320954907161</v>
          </cell>
        </row>
        <row r="24">
          <cell r="BO24">
            <v>0.1590501893724629</v>
          </cell>
          <cell r="BQ24">
            <v>0.11473901474647515</v>
          </cell>
          <cell r="BS24">
            <v>0.13951219512195129</v>
          </cell>
          <cell r="BU24">
            <v>-0.12095137234136537</v>
          </cell>
          <cell r="BW24">
            <v>7.2360169848991657E-2</v>
          </cell>
          <cell r="BY24">
            <v>0.16756549671411261</v>
          </cell>
          <cell r="CA24">
            <v>0.22584348824465675</v>
          </cell>
          <cell r="CC24">
            <v>0.20602458405232113</v>
          </cell>
          <cell r="CE24">
            <v>0.58829657409887692</v>
          </cell>
          <cell r="CG24">
            <v>0.28650994148984865</v>
          </cell>
          <cell r="CI24">
            <v>0.19191575444765854</v>
          </cell>
          <cell r="CK24">
            <v>0.17600835926078687</v>
          </cell>
          <cell r="CM24">
            <v>0.14318500463751804</v>
          </cell>
          <cell r="CO24">
            <v>0.13992215239708217</v>
          </cell>
          <cell r="CQ24">
            <v>0.16186982479913073</v>
          </cell>
        </row>
        <row r="26">
          <cell r="BO26">
            <v>0.58699999999999997</v>
          </cell>
          <cell r="BP26">
            <v>1.7429906542056073</v>
          </cell>
          <cell r="BQ26">
            <v>0.68799999999999994</v>
          </cell>
          <cell r="BR26">
            <v>1.3164983164983166</v>
          </cell>
          <cell r="BS26">
            <v>0.68100000000000005</v>
          </cell>
          <cell r="BT26">
            <v>0.70250000000000012</v>
          </cell>
          <cell r="BU26">
            <v>0.50600000000000023</v>
          </cell>
          <cell r="BV26">
            <v>0.16589861751152135</v>
          </cell>
          <cell r="BW26">
            <v>2.4620000000000002</v>
          </cell>
          <cell r="BX26">
            <v>0.83048327137546485</v>
          </cell>
          <cell r="BY26">
            <v>0.47099999999999997</v>
          </cell>
          <cell r="BZ26">
            <v>-0.19761499148211248</v>
          </cell>
          <cell r="CA26">
            <v>-0.154</v>
          </cell>
          <cell r="CB26" t="str">
            <v xml:space="preserve">     N.M.</v>
          </cell>
          <cell r="CC26">
            <v>0.29799999999999999</v>
          </cell>
          <cell r="CD26">
            <v>-0.56240822320117478</v>
          </cell>
          <cell r="CE26">
            <v>7.2999999999999954E-2</v>
          </cell>
          <cell r="CF26">
            <v>-0.85573122529644285</v>
          </cell>
          <cell r="CG26">
            <v>0.68799999999999994</v>
          </cell>
          <cell r="CH26">
            <v>-0.72055239642567015</v>
          </cell>
          <cell r="CI26">
            <v>-1.6</v>
          </cell>
          <cell r="CJ26" t="str">
            <v xml:space="preserve">     N.M.</v>
          </cell>
          <cell r="CK26">
            <v>-1.6</v>
          </cell>
          <cell r="CL26">
            <v>9.3896103896103895</v>
          </cell>
          <cell r="CM26">
            <v>-1.6</v>
          </cell>
          <cell r="CN26" t="str">
            <v xml:space="preserve">     N.M.</v>
          </cell>
          <cell r="CO26">
            <v>-1.6</v>
          </cell>
          <cell r="CP26" t="str">
            <v xml:space="preserve">     N.M.</v>
          </cell>
          <cell r="CQ26">
            <v>-6.4</v>
          </cell>
          <cell r="CR26" t="str">
            <v xml:space="preserve">     N.M.</v>
          </cell>
        </row>
        <row r="27">
          <cell r="BO27">
            <v>0</v>
          </cell>
          <cell r="BP27" t="str">
            <v xml:space="preserve">      N.M.</v>
          </cell>
          <cell r="BQ27">
            <v>0</v>
          </cell>
          <cell r="BR27" t="str">
            <v xml:space="preserve">      N.M.</v>
          </cell>
          <cell r="BS27">
            <v>0</v>
          </cell>
          <cell r="BT27" t="str">
            <v xml:space="preserve">      N.M.</v>
          </cell>
          <cell r="BU27">
            <v>8.8759999999999994</v>
          </cell>
          <cell r="BV27" t="str">
            <v xml:space="preserve">      N.M.</v>
          </cell>
          <cell r="BW27">
            <v>8.8759999999999994</v>
          </cell>
          <cell r="BX27" t="str">
            <v xml:space="preserve">     N.M.</v>
          </cell>
          <cell r="BY27">
            <v>3.9449999999999998</v>
          </cell>
          <cell r="BZ27" t="str">
            <v xml:space="preserve">      N.M.</v>
          </cell>
          <cell r="CA27">
            <v>0</v>
          </cell>
          <cell r="CB27" t="str">
            <v xml:space="preserve">      N.M.</v>
          </cell>
          <cell r="CC27">
            <v>0</v>
          </cell>
          <cell r="CD27" t="str">
            <v xml:space="preserve">      N.M.</v>
          </cell>
          <cell r="CE27">
            <v>0</v>
          </cell>
          <cell r="CF27">
            <v>-1</v>
          </cell>
          <cell r="CG27">
            <v>3.9449999999999998</v>
          </cell>
          <cell r="CH27">
            <v>-0.55554303740423605</v>
          </cell>
          <cell r="CI27">
            <v>0</v>
          </cell>
          <cell r="CJ27">
            <v>-1</v>
          </cell>
          <cell r="CK27">
            <v>0</v>
          </cell>
          <cell r="CL27" t="str">
            <v xml:space="preserve">      N.M.</v>
          </cell>
          <cell r="CM27">
            <v>0</v>
          </cell>
          <cell r="CN27" t="str">
            <v xml:space="preserve">      N.M.</v>
          </cell>
          <cell r="CO27">
            <v>0</v>
          </cell>
          <cell r="CP27" t="str">
            <v xml:space="preserve">      N.M.</v>
          </cell>
          <cell r="CQ27">
            <v>0</v>
          </cell>
          <cell r="CR27">
            <v>-1</v>
          </cell>
        </row>
        <row r="28">
          <cell r="BO28">
            <v>17.842000000000013</v>
          </cell>
          <cell r="BP28">
            <v>0.59275129441171259</v>
          </cell>
          <cell r="BQ28">
            <v>17.090000000000003</v>
          </cell>
          <cell r="BR28">
            <v>0.32820393254060853</v>
          </cell>
          <cell r="BS28">
            <v>20.468000000000004</v>
          </cell>
          <cell r="BT28">
            <v>0.45908183632734567</v>
          </cell>
          <cell r="BU28">
            <v>1.4570000000000363</v>
          </cell>
          <cell r="BV28">
            <v>-0.90828979668911514</v>
          </cell>
          <cell r="BW28">
            <v>56.857000000000049</v>
          </cell>
          <cell r="BX28">
            <v>5.3219472436276671E-2</v>
          </cell>
          <cell r="BY28">
            <v>19.698999999999995</v>
          </cell>
          <cell r="BZ28">
            <v>0.10408026006053017</v>
          </cell>
          <cell r="CA28">
            <v>26.586999999999978</v>
          </cell>
          <cell r="CB28">
            <v>0.55570509069631213</v>
          </cell>
          <cell r="CC28">
            <v>30.522000000000013</v>
          </cell>
          <cell r="CD28">
            <v>0.49120578463943754</v>
          </cell>
          <cell r="CE28">
            <v>30.530999999999995</v>
          </cell>
          <cell r="CF28">
            <v>19.954701441317251</v>
          </cell>
          <cell r="CG28">
            <v>107.33899999999998</v>
          </cell>
          <cell r="CH28">
            <v>0.88787660270502999</v>
          </cell>
          <cell r="CI28">
            <v>35.866</v>
          </cell>
          <cell r="CJ28">
            <v>0.82070155845474435</v>
          </cell>
          <cell r="CK28">
            <v>37.423750000000005</v>
          </cell>
          <cell r="CL28">
            <v>0.4075958175047969</v>
          </cell>
          <cell r="CM28">
            <v>39.058199999999985</v>
          </cell>
          <cell r="CN28">
            <v>0.27967367800275111</v>
          </cell>
          <cell r="CO28">
            <v>41.622299999999989</v>
          </cell>
          <cell r="CP28">
            <v>0.36327994497396077</v>
          </cell>
          <cell r="CQ28">
            <v>153.97024999999999</v>
          </cell>
          <cell r="CR28">
            <v>0.43442970402183745</v>
          </cell>
        </row>
        <row r="29">
          <cell r="BO29">
            <v>0.14253758767795238</v>
          </cell>
          <cell r="BQ29">
            <v>0.12770599971604285</v>
          </cell>
          <cell r="BS29">
            <v>0.13627345237619676</v>
          </cell>
          <cell r="BU29">
            <v>9.0726810800042072E-3</v>
          </cell>
          <cell r="BW29">
            <v>9.9786411413387871E-2</v>
          </cell>
          <cell r="BY29">
            <v>0.12380976324108929</v>
          </cell>
          <cell r="CA29">
            <v>0.1544444831712615</v>
          </cell>
          <cell r="CC29">
            <v>0.1548247683106844</v>
          </cell>
          <cell r="CE29">
            <v>0.15722311768431779</v>
          </cell>
          <cell r="CG29">
            <v>0.14854943598018763</v>
          </cell>
          <cell r="CI29">
            <v>0.16917924528301886</v>
          </cell>
          <cell r="CK29">
            <v>0.16595898004434592</v>
          </cell>
          <cell r="CM29">
            <v>0.16040328542094451</v>
          </cell>
          <cell r="CO29">
            <v>0.15916749521988524</v>
          </cell>
          <cell r="CQ29">
            <v>0.16336366047745357</v>
          </cell>
        </row>
        <row r="31">
          <cell r="BO31">
            <v>6.0289999999999999</v>
          </cell>
          <cell r="BP31">
            <v>0.72011412268188302</v>
          </cell>
          <cell r="BQ31">
            <v>6.4089999999999998</v>
          </cell>
          <cell r="BR31">
            <v>0.58913959831391005</v>
          </cell>
          <cell r="BS31">
            <v>7.0490000000000004</v>
          </cell>
          <cell r="BT31">
            <v>0.5284041630529055</v>
          </cell>
          <cell r="BU31">
            <v>6.8450000000000024</v>
          </cell>
          <cell r="BV31">
            <v>0.29910799013095479</v>
          </cell>
          <cell r="BW31">
            <v>26.332000000000001</v>
          </cell>
          <cell r="BX31">
            <v>0.51168264538722075</v>
          </cell>
          <cell r="BY31">
            <v>7.1909999999999998</v>
          </cell>
          <cell r="BZ31">
            <v>0.19273511361751527</v>
          </cell>
          <cell r="CA31">
            <v>9.7140000000000004</v>
          </cell>
          <cell r="CB31">
            <v>0.51568107349040426</v>
          </cell>
          <cell r="CC31">
            <v>11.141</v>
          </cell>
          <cell r="CD31">
            <v>0.58050787345722799</v>
          </cell>
          <cell r="CE31">
            <v>11.142000000000007</v>
          </cell>
          <cell r="CF31">
            <v>0.62775748721694713</v>
          </cell>
          <cell r="CG31">
            <v>39.188000000000002</v>
          </cell>
          <cell r="CH31">
            <v>0.48822725201276018</v>
          </cell>
          <cell r="CI31">
            <v>13.091089999999999</v>
          </cell>
          <cell r="CJ31">
            <v>0.82048254762898054</v>
          </cell>
          <cell r="CK31">
            <v>13.659668750000002</v>
          </cell>
          <cell r="CL31">
            <v>0.40618372966851979</v>
          </cell>
          <cell r="CM31">
            <v>14.256242999999994</v>
          </cell>
          <cell r="CN31">
            <v>0.27961969302576017</v>
          </cell>
          <cell r="CO31">
            <v>15.192139499999996</v>
          </cell>
          <cell r="CP31">
            <v>0.36350201938610538</v>
          </cell>
          <cell r="CQ31">
            <v>56.199141249999997</v>
          </cell>
          <cell r="CR31">
            <v>0.43409056981729077</v>
          </cell>
        </row>
        <row r="32">
          <cell r="BO32">
            <v>0.33791054814482657</v>
          </cell>
          <cell r="BQ32">
            <v>0.3750146284376828</v>
          </cell>
          <cell r="BS32">
            <v>0.34439124487004102</v>
          </cell>
          <cell r="BU32">
            <v>4.6980096087850596</v>
          </cell>
          <cell r="BW32">
            <v>0.46312679177585836</v>
          </cell>
          <cell r="BY32">
            <v>0.36504391085841931</v>
          </cell>
          <cell r="CA32">
            <v>0.36536653251589152</v>
          </cell>
          <cell r="CC32">
            <v>0.36501539872878563</v>
          </cell>
          <cell r="CE32">
            <v>0.36494055222560701</v>
          </cell>
          <cell r="CG32">
            <v>0.36508631531875652</v>
          </cell>
          <cell r="CI32">
            <v>0.36499999999999999</v>
          </cell>
          <cell r="CK32">
            <v>0.36499999999999999</v>
          </cell>
          <cell r="CM32">
            <v>0.36499999999999999</v>
          </cell>
          <cell r="CO32">
            <v>0.36499999999999999</v>
          </cell>
          <cell r="CQ32">
            <v>0.36499999999999999</v>
          </cell>
        </row>
        <row r="33">
          <cell r="BO33">
            <v>0</v>
          </cell>
          <cell r="BP33" t="str">
            <v xml:space="preserve">      N.M.</v>
          </cell>
          <cell r="BQ33">
            <v>0</v>
          </cell>
          <cell r="BR33" t="str">
            <v xml:space="preserve">      N.M.</v>
          </cell>
          <cell r="BS33">
            <v>0</v>
          </cell>
          <cell r="BT33" t="str">
            <v xml:space="preserve">      N.M.</v>
          </cell>
          <cell r="BU33">
            <v>0</v>
          </cell>
          <cell r="BV33" t="str">
            <v xml:space="preserve">      N.M.</v>
          </cell>
          <cell r="BW33">
            <v>0</v>
          </cell>
          <cell r="BX33" t="e">
            <v>#DIV/0!</v>
          </cell>
          <cell r="BY33">
            <v>0</v>
          </cell>
          <cell r="BZ33" t="str">
            <v xml:space="preserve">      N.M.</v>
          </cell>
          <cell r="CA33">
            <v>0</v>
          </cell>
          <cell r="CB33" t="str">
            <v xml:space="preserve">      N.M.</v>
          </cell>
          <cell r="CC33">
            <v>0</v>
          </cell>
          <cell r="CD33" t="str">
            <v xml:space="preserve">      N.M.</v>
          </cell>
          <cell r="CE33">
            <v>0</v>
          </cell>
          <cell r="CF33" t="str">
            <v xml:space="preserve">      N.M.</v>
          </cell>
          <cell r="CG33">
            <v>0</v>
          </cell>
          <cell r="CH33" t="e">
            <v>#DIV/0!</v>
          </cell>
          <cell r="CI33">
            <v>0</v>
          </cell>
          <cell r="CJ33" t="str">
            <v xml:space="preserve">      N.M.</v>
          </cell>
          <cell r="CK33">
            <v>0</v>
          </cell>
          <cell r="CL33" t="str">
            <v xml:space="preserve">      N.M.</v>
          </cell>
          <cell r="CM33">
            <v>0</v>
          </cell>
          <cell r="CN33" t="str">
            <v xml:space="preserve">      N.M.</v>
          </cell>
          <cell r="CO33">
            <v>0</v>
          </cell>
          <cell r="CP33" t="str">
            <v xml:space="preserve">      N.M.</v>
          </cell>
          <cell r="CQ33">
            <v>0</v>
          </cell>
          <cell r="CR33" t="e">
            <v>#DIV/0!</v>
          </cell>
        </row>
        <row r="34">
          <cell r="BO34">
            <v>11.813000000000013</v>
          </cell>
          <cell r="BP34">
            <v>0.53475380018188967</v>
          </cell>
          <cell r="BQ34">
            <v>10.681000000000004</v>
          </cell>
          <cell r="BR34">
            <v>0.20907856010867198</v>
          </cell>
          <cell r="BS34">
            <v>13.419000000000004</v>
          </cell>
          <cell r="BT34">
            <v>0.42512744265080782</v>
          </cell>
          <cell r="BU34">
            <v>-5.3879999999999661</v>
          </cell>
          <cell r="BV34" t="str">
            <v xml:space="preserve">     N.M.</v>
          </cell>
          <cell r="BW34">
            <v>30.525000000000048</v>
          </cell>
          <cell r="BX34">
            <v>-0.16518528647613895</v>
          </cell>
          <cell r="BY34">
            <v>12.507999999999996</v>
          </cell>
          <cell r="BZ34">
            <v>5.8833488529584477E-2</v>
          </cell>
          <cell r="CA34">
            <v>16.872999999999976</v>
          </cell>
          <cell r="CB34">
            <v>0.57972099990637282</v>
          </cell>
          <cell r="CC34">
            <v>19.381000000000014</v>
          </cell>
          <cell r="CD34">
            <v>0.44429540204188145</v>
          </cell>
          <cell r="CE34">
            <v>19.388999999999989</v>
          </cell>
          <cell r="CF34" t="str">
            <v xml:space="preserve">     N.M.</v>
          </cell>
          <cell r="CG34">
            <v>68.150999999999982</v>
          </cell>
          <cell r="CH34">
            <v>1.2326289926289884</v>
          </cell>
          <cell r="CI34">
            <v>22.774909999999998</v>
          </cell>
          <cell r="CJ34">
            <v>0.82082747041893245</v>
          </cell>
          <cell r="CK34">
            <v>23.764081250000004</v>
          </cell>
          <cell r="CL34">
            <v>0.40840877437326117</v>
          </cell>
          <cell r="CM34">
            <v>24.801956999999991</v>
          </cell>
          <cell r="CN34">
            <v>0.27970471079923498</v>
          </cell>
          <cell r="CO34">
            <v>26.430160499999992</v>
          </cell>
          <cell r="CP34">
            <v>0.36315232863995095</v>
          </cell>
          <cell r="CQ34">
            <v>97.771108749999996</v>
          </cell>
          <cell r="CR34">
            <v>0.43462471203650743</v>
          </cell>
        </row>
        <row r="35">
          <cell r="BO35">
            <v>0</v>
          </cell>
          <cell r="BP35" t="str">
            <v xml:space="preserve">      N.M.</v>
          </cell>
          <cell r="BQ35">
            <v>0</v>
          </cell>
          <cell r="BR35" t="str">
            <v xml:space="preserve">      N.M.</v>
          </cell>
          <cell r="BS35">
            <v>0</v>
          </cell>
          <cell r="BT35" t="str">
            <v xml:space="preserve">      N.M.</v>
          </cell>
          <cell r="BU35">
            <v>0</v>
          </cell>
          <cell r="BV35" t="str">
            <v xml:space="preserve">      N.M.</v>
          </cell>
          <cell r="BW35">
            <v>0</v>
          </cell>
          <cell r="BX35" t="e">
            <v>#DIV/0!</v>
          </cell>
          <cell r="BY35">
            <v>0</v>
          </cell>
          <cell r="BZ35" t="str">
            <v xml:space="preserve">      N.M.</v>
          </cell>
          <cell r="CA35">
            <v>0</v>
          </cell>
          <cell r="CB35" t="str">
            <v xml:space="preserve">      N.M.</v>
          </cell>
          <cell r="CC35">
            <v>0</v>
          </cell>
          <cell r="CD35" t="str">
            <v xml:space="preserve">      N.M.</v>
          </cell>
          <cell r="CE35">
            <v>0</v>
          </cell>
          <cell r="CF35" t="str">
            <v xml:space="preserve">      N.M.</v>
          </cell>
          <cell r="CG35">
            <v>0</v>
          </cell>
          <cell r="CH35" t="e">
            <v>#DIV/0!</v>
          </cell>
          <cell r="CI35">
            <v>0</v>
          </cell>
          <cell r="CJ35" t="str">
            <v xml:space="preserve">      N.M.</v>
          </cell>
          <cell r="CK35">
            <v>0</v>
          </cell>
          <cell r="CL35" t="str">
            <v xml:space="preserve">      N.M.</v>
          </cell>
          <cell r="CM35">
            <v>0</v>
          </cell>
          <cell r="CN35" t="str">
            <v xml:space="preserve">      N.M.</v>
          </cell>
          <cell r="CO35">
            <v>0</v>
          </cell>
          <cell r="CP35" t="str">
            <v xml:space="preserve">      N.M.</v>
          </cell>
          <cell r="CQ35">
            <v>0</v>
          </cell>
          <cell r="CR35" t="e">
            <v>#DIV/0!</v>
          </cell>
        </row>
        <row r="36">
          <cell r="BO36">
            <v>0</v>
          </cell>
          <cell r="BP36" t="str">
            <v>N.M.</v>
          </cell>
          <cell r="BQ36">
            <v>0</v>
          </cell>
          <cell r="BR36" t="str">
            <v>N.M.</v>
          </cell>
          <cell r="BS36">
            <v>0</v>
          </cell>
          <cell r="BT36" t="str">
            <v>N.M.</v>
          </cell>
          <cell r="BU36">
            <v>0</v>
          </cell>
          <cell r="BV36" t="str">
            <v>N.M.</v>
          </cell>
          <cell r="BW36">
            <v>0</v>
          </cell>
          <cell r="BX36" t="e">
            <v>#DIV/0!</v>
          </cell>
          <cell r="BY36">
            <v>0</v>
          </cell>
          <cell r="BZ36" t="str">
            <v>N.M.</v>
          </cell>
          <cell r="CA36">
            <v>0</v>
          </cell>
          <cell r="CB36" t="str">
            <v>N.M.</v>
          </cell>
          <cell r="CC36">
            <v>0</v>
          </cell>
          <cell r="CD36" t="str">
            <v>N.M.</v>
          </cell>
          <cell r="CE36">
            <v>0</v>
          </cell>
          <cell r="CF36" t="str">
            <v>N.M.</v>
          </cell>
          <cell r="CG36">
            <v>0</v>
          </cell>
          <cell r="CH36" t="e">
            <v>#DIV/0!</v>
          </cell>
          <cell r="CI36">
            <v>0</v>
          </cell>
          <cell r="CJ36" t="str">
            <v>N.M.</v>
          </cell>
          <cell r="CK36">
            <v>0</v>
          </cell>
          <cell r="CL36" t="str">
            <v>N.M.</v>
          </cell>
          <cell r="CM36">
            <v>0</v>
          </cell>
          <cell r="CN36" t="str">
            <v>N.M.</v>
          </cell>
          <cell r="CO36">
            <v>0</v>
          </cell>
          <cell r="CP36" t="str">
            <v>N.M.</v>
          </cell>
          <cell r="CQ36">
            <v>0</v>
          </cell>
          <cell r="CR36" t="e">
            <v>#DIV/0!</v>
          </cell>
        </row>
        <row r="37">
          <cell r="BO37">
            <v>11.813000000000013</v>
          </cell>
          <cell r="BP37">
            <v>0.53475380018188967</v>
          </cell>
          <cell r="BQ37">
            <v>10.681000000000004</v>
          </cell>
          <cell r="BR37">
            <v>0.20907856010867198</v>
          </cell>
          <cell r="BS37">
            <v>13.419000000000004</v>
          </cell>
          <cell r="BT37">
            <v>0.42512744265080782</v>
          </cell>
          <cell r="BU37">
            <v>-5.3879999999999661</v>
          </cell>
          <cell r="BV37" t="str">
            <v xml:space="preserve">     N.M.</v>
          </cell>
          <cell r="BW37">
            <v>30.525000000000059</v>
          </cell>
          <cell r="BX37">
            <v>-0.16518528647613862</v>
          </cell>
          <cell r="BY37">
            <v>12.507999999999996</v>
          </cell>
          <cell r="BZ37">
            <v>5.8833488529584477E-2</v>
          </cell>
          <cell r="CA37">
            <v>16.872999999999976</v>
          </cell>
          <cell r="CB37">
            <v>0.57972099990637282</v>
          </cell>
          <cell r="CC37">
            <v>19.381000000000014</v>
          </cell>
          <cell r="CD37">
            <v>0.44429540204188145</v>
          </cell>
          <cell r="CE37">
            <v>19.388999999999989</v>
          </cell>
          <cell r="CF37" t="str">
            <v xml:space="preserve">     N.M.</v>
          </cell>
          <cell r="CG37">
            <v>68.150999999999982</v>
          </cell>
          <cell r="CH37">
            <v>1.2326289926289875</v>
          </cell>
          <cell r="CI37">
            <v>22.774909999999998</v>
          </cell>
          <cell r="CJ37">
            <v>0.82082747041893245</v>
          </cell>
          <cell r="CK37">
            <v>23.764081250000004</v>
          </cell>
          <cell r="CL37">
            <v>0.40840877437326117</v>
          </cell>
          <cell r="CM37">
            <v>24.801956999999991</v>
          </cell>
          <cell r="CN37">
            <v>0.27970471079923498</v>
          </cell>
          <cell r="CO37">
            <v>26.430160499999992</v>
          </cell>
          <cell r="CP37">
            <v>0.36315232863995095</v>
          </cell>
          <cell r="CQ37">
            <v>97.771108749999996</v>
          </cell>
          <cell r="CR37">
            <v>0.43462471203650743</v>
          </cell>
        </row>
        <row r="38">
          <cell r="BO38">
            <v>0</v>
          </cell>
          <cell r="BP38" t="str">
            <v>N.M.</v>
          </cell>
          <cell r="BQ38">
            <v>0</v>
          </cell>
          <cell r="BR38" t="str">
            <v>N.M.</v>
          </cell>
          <cell r="BS38">
            <v>0</v>
          </cell>
          <cell r="BT38" t="str">
            <v>N.M.</v>
          </cell>
          <cell r="BU38">
            <v>0</v>
          </cell>
          <cell r="BV38" t="str">
            <v>N.M.</v>
          </cell>
          <cell r="BW38">
            <v>0</v>
          </cell>
          <cell r="BX38" t="e">
            <v>#DIV/0!</v>
          </cell>
          <cell r="BY38">
            <v>0</v>
          </cell>
          <cell r="BZ38" t="str">
            <v>N.M.</v>
          </cell>
          <cell r="CA38">
            <v>0</v>
          </cell>
          <cell r="CB38" t="str">
            <v>N.M.</v>
          </cell>
          <cell r="CC38">
            <v>0</v>
          </cell>
          <cell r="CD38" t="str">
            <v>N.M.</v>
          </cell>
          <cell r="CE38">
            <v>0</v>
          </cell>
          <cell r="CF38" t="str">
            <v>N.M.</v>
          </cell>
          <cell r="CG38">
            <v>0</v>
          </cell>
          <cell r="CH38" t="e">
            <v>#DIV/0!</v>
          </cell>
          <cell r="CI38">
            <v>0</v>
          </cell>
          <cell r="CJ38" t="str">
            <v>N.M.</v>
          </cell>
          <cell r="CK38">
            <v>0</v>
          </cell>
          <cell r="CL38" t="str">
            <v>N.M.</v>
          </cell>
          <cell r="CM38">
            <v>0</v>
          </cell>
          <cell r="CN38" t="str">
            <v>N.M.</v>
          </cell>
          <cell r="CO38">
            <v>0</v>
          </cell>
          <cell r="CP38" t="str">
            <v>N.M.</v>
          </cell>
          <cell r="CQ38">
            <v>0</v>
          </cell>
          <cell r="CR38" t="e">
            <v>#DIV/0!</v>
          </cell>
        </row>
        <row r="39">
          <cell r="BO39">
            <v>11.813000000000013</v>
          </cell>
          <cell r="BP39">
            <v>0.53475380018188967</v>
          </cell>
          <cell r="BQ39">
            <v>10.681000000000004</v>
          </cell>
          <cell r="BR39">
            <v>0.20907856010867198</v>
          </cell>
          <cell r="BS39">
            <v>13.419000000000004</v>
          </cell>
          <cell r="BT39">
            <v>0.42512744265080782</v>
          </cell>
          <cell r="BU39">
            <v>-5.3879999999999661</v>
          </cell>
          <cell r="BV39" t="str">
            <v xml:space="preserve">     N.M.</v>
          </cell>
          <cell r="BW39">
            <v>30.525000000000059</v>
          </cell>
          <cell r="BX39">
            <v>-0.16518528647613862</v>
          </cell>
          <cell r="BY39">
            <v>12.507999999999996</v>
          </cell>
          <cell r="BZ39">
            <v>5.8833488529584477E-2</v>
          </cell>
          <cell r="CA39">
            <v>16.872999999999976</v>
          </cell>
          <cell r="CB39">
            <v>0.57972099990637282</v>
          </cell>
          <cell r="CC39">
            <v>19.381000000000014</v>
          </cell>
          <cell r="CD39">
            <v>0.44429540204188145</v>
          </cell>
          <cell r="CE39">
            <v>19.388999999999989</v>
          </cell>
          <cell r="CF39" t="str">
            <v xml:space="preserve">     N.M.</v>
          </cell>
          <cell r="CG39">
            <v>68.150999999999982</v>
          </cell>
          <cell r="CH39">
            <v>1.2326289926289875</v>
          </cell>
          <cell r="CI39">
            <v>22.774909999999998</v>
          </cell>
          <cell r="CJ39">
            <v>0.82082747041893245</v>
          </cell>
          <cell r="CK39">
            <v>23.764081250000004</v>
          </cell>
          <cell r="CL39">
            <v>0.40840877437326117</v>
          </cell>
          <cell r="CM39">
            <v>24.801956999999991</v>
          </cell>
          <cell r="CN39">
            <v>0.27970471079923498</v>
          </cell>
          <cell r="CO39">
            <v>26.430160499999992</v>
          </cell>
          <cell r="CP39">
            <v>0.36315232863995095</v>
          </cell>
          <cell r="CQ39">
            <v>97.771108749999996</v>
          </cell>
          <cell r="CR39">
            <v>0.43462471203650743</v>
          </cell>
        </row>
        <row r="40">
          <cell r="BO40">
            <v>9.4372633294454222E-2</v>
          </cell>
          <cell r="BQ40">
            <v>7.9814381683268223E-2</v>
          </cell>
          <cell r="BS40">
            <v>8.9342068469620117E-2</v>
          </cell>
          <cell r="BU40">
            <v>-3.3550861811297975E-2</v>
          </cell>
          <cell r="BW40">
            <v>5.3572650832679668E-2</v>
          </cell>
          <cell r="BY40">
            <v>7.8613763065107103E-2</v>
          </cell>
          <cell r="CA40">
            <v>9.80156378887687E-2</v>
          </cell>
          <cell r="CC40">
            <v>9.8311343772668078E-2</v>
          </cell>
          <cell r="CE40">
            <v>9.9846026293971255E-2</v>
          </cell>
          <cell r="CG40">
            <v>9.4316069755501414E-2</v>
          </cell>
          <cell r="CI40">
            <v>0.10742882075471698</v>
          </cell>
          <cell r="CK40">
            <v>0.10538395232815967</v>
          </cell>
          <cell r="CM40">
            <v>0.10185608624229976</v>
          </cell>
          <cell r="CO40">
            <v>0.10107135946462713</v>
          </cell>
          <cell r="CQ40">
            <v>0.10373592440318302</v>
          </cell>
        </row>
        <row r="42">
          <cell r="BO42">
            <v>42.603999999999999</v>
          </cell>
          <cell r="BP42">
            <v>5.1379497556882647E-2</v>
          </cell>
          <cell r="BQ42">
            <v>40.200000000000003</v>
          </cell>
          <cell r="BR42">
            <v>-2.4603290144125656E-2</v>
          </cell>
          <cell r="BS42">
            <v>40.555999999999997</v>
          </cell>
          <cell r="BT42">
            <v>-2.9946421737466533E-2</v>
          </cell>
          <cell r="BU42">
            <v>40.718000000000004</v>
          </cell>
          <cell r="BV42">
            <v>-2.4952107279693325E-2</v>
          </cell>
          <cell r="BW42">
            <v>40.432000000000002</v>
          </cell>
          <cell r="BX42">
            <v>-2.2626184490427415E-2</v>
          </cell>
          <cell r="BY42">
            <v>41.213999999999999</v>
          </cell>
          <cell r="BZ42">
            <v>-3.2626044502863549E-2</v>
          </cell>
          <cell r="CA42">
            <v>41.451999999999998</v>
          </cell>
          <cell r="CB42">
            <v>3.1144278606965115E-2</v>
          </cell>
          <cell r="CC42">
            <v>41.859000000000002</v>
          </cell>
          <cell r="CD42">
            <v>3.2128415031068336E-2</v>
          </cell>
          <cell r="CE42">
            <v>44.795000000000002</v>
          </cell>
          <cell r="CF42">
            <v>0.10012770764772339</v>
          </cell>
          <cell r="CG42">
            <v>42.356000000000002</v>
          </cell>
          <cell r="CH42">
            <v>4.7586070439256112E-2</v>
          </cell>
          <cell r="CI42">
            <v>51.2</v>
          </cell>
          <cell r="CJ42">
            <v>0.24229630708011851</v>
          </cell>
          <cell r="CK42">
            <v>51.8</v>
          </cell>
          <cell r="CL42">
            <v>0.24963813567499749</v>
          </cell>
          <cell r="CM42">
            <v>52.3</v>
          </cell>
          <cell r="CN42">
            <v>0.24943261903055491</v>
          </cell>
          <cell r="CO42">
            <v>52.8</v>
          </cell>
          <cell r="CP42">
            <v>0.17870298024333064</v>
          </cell>
          <cell r="CQ42">
            <v>52.025000000000006</v>
          </cell>
          <cell r="CR42">
            <v>0.22827934649164239</v>
          </cell>
        </row>
        <row r="43">
          <cell r="BO43">
            <v>48.985999999999997</v>
          </cell>
          <cell r="BP43">
            <v>4.8546598741384228E-2</v>
          </cell>
          <cell r="BQ43">
            <v>49.188000000000002</v>
          </cell>
          <cell r="BR43">
            <v>3.4056508577194888E-2</v>
          </cell>
          <cell r="BS43">
            <v>49.347999999999999</v>
          </cell>
          <cell r="BT43">
            <v>2.9627774995827139E-2</v>
          </cell>
          <cell r="BU43">
            <v>40.92</v>
          </cell>
          <cell r="BV43">
            <v>-0.1524791847893624</v>
          </cell>
          <cell r="BW43">
            <v>49.426000000000002</v>
          </cell>
          <cell r="BX43">
            <v>3.1255216157569876E-2</v>
          </cell>
          <cell r="BY43">
            <v>50.225999999999999</v>
          </cell>
          <cell r="BZ43">
            <v>2.5313354836075552E-2</v>
          </cell>
          <cell r="CA43">
            <v>50.125999999999998</v>
          </cell>
          <cell r="CB43">
            <v>1.9069691794746602E-2</v>
          </cell>
          <cell r="CC43">
            <v>50.726999999999997</v>
          </cell>
          <cell r="CD43">
            <v>2.7944394909621417E-2</v>
          </cell>
          <cell r="CE43">
            <v>50.616</v>
          </cell>
          <cell r="CF43">
            <v>0.23695014662756586</v>
          </cell>
          <cell r="CG43">
            <v>50.4</v>
          </cell>
          <cell r="CH43">
            <v>1.9706227491603556E-2</v>
          </cell>
          <cell r="CI43">
            <v>51.2</v>
          </cell>
          <cell r="CJ43">
            <v>1.9392346593397836E-2</v>
          </cell>
          <cell r="CK43">
            <v>51.8</v>
          </cell>
          <cell r="CL43">
            <v>3.3395842476958038E-2</v>
          </cell>
          <cell r="CM43">
            <v>52.3</v>
          </cell>
          <cell r="CN43">
            <v>3.1009127289214788E-2</v>
          </cell>
          <cell r="CO43">
            <v>52.8</v>
          </cell>
          <cell r="CP43">
            <v>4.3148411569464251E-2</v>
          </cell>
          <cell r="CQ43">
            <v>52.025000000000006</v>
          </cell>
          <cell r="CR43">
            <v>3.2242063492063711E-2</v>
          </cell>
        </row>
        <row r="45">
          <cell r="BO45">
            <v>0.27727443432541576</v>
          </cell>
          <cell r="BP45">
            <v>0.4597524526093919</v>
          </cell>
          <cell r="BQ45">
            <v>0.26569651741293543</v>
          </cell>
          <cell r="BR45">
            <v>0.239576213341264</v>
          </cell>
          <cell r="BS45">
            <v>0.33087582601834514</v>
          </cell>
          <cell r="BT45">
            <v>0.46912240167533725</v>
          </cell>
          <cell r="BU45">
            <v>-0.13232477037182488</v>
          </cell>
          <cell r="BV45" t="str">
            <v xml:space="preserve">     N.M.</v>
          </cell>
          <cell r="BW45">
            <v>0.75497130985358252</v>
          </cell>
          <cell r="BX45">
            <v>-0.14585934237596243</v>
          </cell>
          <cell r="BY45">
            <v>0.30348910564371323</v>
          </cell>
          <cell r="BZ45">
            <v>9.4544134161071991E-2</v>
          </cell>
          <cell r="CA45">
            <v>0.40704911705104646</v>
          </cell>
          <cell r="CB45">
            <v>0.53200772450632527</v>
          </cell>
          <cell r="CC45">
            <v>0.46300676079218361</v>
          </cell>
          <cell r="CD45">
            <v>0.39933692456127812</v>
          </cell>
          <cell r="CE45">
            <v>0.43283848643821826</v>
          </cell>
          <cell r="CF45" t="str">
            <v xml:space="preserve">     N.M.</v>
          </cell>
          <cell r="CG45">
            <v>1.609004627443573</v>
          </cell>
          <cell r="CH45">
            <v>1.1312129433840603</v>
          </cell>
          <cell r="CI45">
            <v>0.44482246093749994</v>
          </cell>
          <cell r="CJ45">
            <v>0.46569498761417716</v>
          </cell>
          <cell r="CK45">
            <v>0.45876604729729742</v>
          </cell>
          <cell r="CL45">
            <v>0.12705329180155256</v>
          </cell>
          <cell r="CM45">
            <v>0.47422479923518152</v>
          </cell>
          <cell r="CN45">
            <v>2.4228670924381968E-2</v>
          </cell>
          <cell r="CO45">
            <v>0.50057122159090894</v>
          </cell>
          <cell r="CP45">
            <v>0.15648501063307974</v>
          </cell>
          <cell r="CQ45">
            <v>1.8793101153291685</v>
          </cell>
          <cell r="CR45">
            <v>0.16799546954384059</v>
          </cell>
        </row>
        <row r="46">
          <cell r="BO46">
            <v>0.27727443432541576</v>
          </cell>
          <cell r="BP46">
            <v>0.4597524526093919</v>
          </cell>
          <cell r="BQ46">
            <v>0.26569651741293543</v>
          </cell>
          <cell r="BR46">
            <v>0.239576213341264</v>
          </cell>
          <cell r="BS46">
            <v>0.33087582601834514</v>
          </cell>
          <cell r="BT46">
            <v>0.46912240167533725</v>
          </cell>
          <cell r="BU46">
            <v>-0.13232477037182488</v>
          </cell>
          <cell r="BV46" t="str">
            <v xml:space="preserve">     N.M.</v>
          </cell>
          <cell r="BW46">
            <v>0.75497130985358274</v>
          </cell>
          <cell r="BX46">
            <v>-0.14585934237596221</v>
          </cell>
          <cell r="BY46">
            <v>0.30348910564371323</v>
          </cell>
          <cell r="BZ46">
            <v>9.4544134161071991E-2</v>
          </cell>
          <cell r="CA46">
            <v>0.40704911705104646</v>
          </cell>
          <cell r="CB46">
            <v>0.53200772450632527</v>
          </cell>
          <cell r="CC46">
            <v>0.46300676079218361</v>
          </cell>
          <cell r="CD46">
            <v>0.39933692456127812</v>
          </cell>
          <cell r="CE46">
            <v>0.43283848643821826</v>
          </cell>
          <cell r="CF46" t="str">
            <v xml:space="preserve">     N.M.</v>
          </cell>
          <cell r="CG46">
            <v>1.609004627443573</v>
          </cell>
          <cell r="CH46">
            <v>1.1312129433840594</v>
          </cell>
          <cell r="CI46">
            <v>0.44482246093749994</v>
          </cell>
          <cell r="CJ46">
            <v>0.46569498761417716</v>
          </cell>
          <cell r="CK46">
            <v>0.45876604729729742</v>
          </cell>
          <cell r="CL46">
            <v>0.12705329180155256</v>
          </cell>
          <cell r="CM46">
            <v>0.47422479923518152</v>
          </cell>
          <cell r="CN46">
            <v>2.4228670924381968E-2</v>
          </cell>
          <cell r="CO46">
            <v>0.50057122159090894</v>
          </cell>
          <cell r="CP46">
            <v>0.15648501063307974</v>
          </cell>
          <cell r="CQ46">
            <v>1.8793101153291685</v>
          </cell>
          <cell r="CR46">
            <v>0.16799546954384059</v>
          </cell>
        </row>
        <row r="47">
          <cell r="BO47">
            <v>0.25723676152370095</v>
          </cell>
          <cell r="BP47">
            <v>0.41433294396425246</v>
          </cell>
          <cell r="BQ47">
            <v>0.23316662600634311</v>
          </cell>
          <cell r="BR47">
            <v>0.16333858463076711</v>
          </cell>
          <cell r="BS47">
            <v>0.28789413958012494</v>
          </cell>
          <cell r="BT47">
            <v>0.35064509806149458</v>
          </cell>
          <cell r="BU47">
            <v>-0.13167155425219859</v>
          </cell>
          <cell r="BV47" t="str">
            <v xml:space="preserve">     N.M.</v>
          </cell>
          <cell r="BW47">
            <v>0.68132157164245633</v>
          </cell>
          <cell r="BX47">
            <v>-0.17674573841725505</v>
          </cell>
          <cell r="BY47">
            <v>0.26723211085891763</v>
          </cell>
          <cell r="BZ47">
            <v>3.8856613168393173E-2</v>
          </cell>
          <cell r="CA47">
            <v>0.35271116785699985</v>
          </cell>
          <cell r="CB47">
            <v>0.5127000544554976</v>
          </cell>
          <cell r="CC47">
            <v>0.39797346580716414</v>
          </cell>
          <cell r="CD47">
            <v>0.38236042730005826</v>
          </cell>
          <cell r="CE47">
            <v>0.40874427058637564</v>
          </cell>
          <cell r="CF47" t="str">
            <v xml:space="preserve">     N.M.</v>
          </cell>
          <cell r="CG47">
            <v>1.43156746031746</v>
          </cell>
          <cell r="CH47">
            <v>1.1011626813259294</v>
          </cell>
          <cell r="CI47">
            <v>0.44482246093749994</v>
          </cell>
          <cell r="CJ47">
            <v>0.66455468060250911</v>
          </cell>
          <cell r="CK47">
            <v>0.45876604729729742</v>
          </cell>
          <cell r="CL47">
            <v>0.30068477866653631</v>
          </cell>
          <cell r="CM47">
            <v>0.47422479923518152</v>
          </cell>
          <cell r="CN47">
            <v>0.19159903857752303</v>
          </cell>
          <cell r="CO47">
            <v>0.50057122159090894</v>
          </cell>
          <cell r="CP47">
            <v>0.22465624012980134</v>
          </cell>
          <cell r="CQ47">
            <v>1.8793101153291685</v>
          </cell>
          <cell r="CR47">
            <v>0.31276392305844847</v>
          </cell>
        </row>
        <row r="48">
          <cell r="BO48">
            <v>0</v>
          </cell>
          <cell r="BP48" t="str">
            <v xml:space="preserve">      N.M.</v>
          </cell>
          <cell r="BQ48">
            <v>0</v>
          </cell>
          <cell r="BR48" t="str">
            <v xml:space="preserve">      N.M.</v>
          </cell>
          <cell r="BS48">
            <v>0</v>
          </cell>
          <cell r="BT48" t="str">
            <v xml:space="preserve">      N.M.</v>
          </cell>
          <cell r="BU48">
            <v>0</v>
          </cell>
          <cell r="BV48" t="str">
            <v xml:space="preserve">      N.M.</v>
          </cell>
          <cell r="BW48">
            <v>0</v>
          </cell>
          <cell r="BX48" t="e">
            <v>#DIV/0!</v>
          </cell>
          <cell r="BY48">
            <v>0</v>
          </cell>
          <cell r="BZ48" t="str">
            <v xml:space="preserve">      N.M.</v>
          </cell>
          <cell r="CA48">
            <v>0</v>
          </cell>
          <cell r="CB48" t="str">
            <v xml:space="preserve">      N.M.</v>
          </cell>
          <cell r="CC48">
            <v>0</v>
          </cell>
          <cell r="CD48" t="str">
            <v xml:space="preserve">      N.M.</v>
          </cell>
          <cell r="CE48">
            <v>0</v>
          </cell>
          <cell r="CF48" t="str">
            <v xml:space="preserve">      N.M.</v>
          </cell>
          <cell r="CG48">
            <v>0</v>
          </cell>
          <cell r="CH48" t="e">
            <v>#DIV/0!</v>
          </cell>
          <cell r="CI48">
            <v>0</v>
          </cell>
          <cell r="CJ48" t="str">
            <v xml:space="preserve">      N.M.</v>
          </cell>
          <cell r="CK48">
            <v>0</v>
          </cell>
          <cell r="CL48" t="str">
            <v xml:space="preserve">      N.M.</v>
          </cell>
          <cell r="CM48">
            <v>0</v>
          </cell>
          <cell r="CN48" t="str">
            <v xml:space="preserve">      N.M.</v>
          </cell>
          <cell r="CO48">
            <v>0</v>
          </cell>
          <cell r="CP48" t="str">
            <v xml:space="preserve">      N.M.</v>
          </cell>
          <cell r="CQ48">
            <v>0</v>
          </cell>
          <cell r="CR48" t="e">
            <v>#DIV/0!</v>
          </cell>
        </row>
        <row r="49">
          <cell r="BU49">
            <v>0.30821114369501545</v>
          </cell>
          <cell r="BV49" t="str">
            <v>ex chg</v>
          </cell>
          <cell r="BW49">
            <v>1.0735847529640274</v>
          </cell>
          <cell r="BX49" t="str">
            <v>ex chg</v>
          </cell>
          <cell r="BY49">
            <v>0.31653583298793775</v>
          </cell>
          <cell r="BZ49" t="str">
            <v>ex chg</v>
          </cell>
          <cell r="CF49" t="str">
            <v>ex charge</v>
          </cell>
          <cell r="CG49">
            <v>1.4806976859177943</v>
          </cell>
          <cell r="CH49">
            <v>0.37920893700267366</v>
          </cell>
          <cell r="CI49" t="str">
            <v>0.44-45</v>
          </cell>
          <cell r="CJ49" t="str">
            <v>Per Randy</v>
          </cell>
          <cell r="CK49" t="str">
            <v>45-47</v>
          </cell>
          <cell r="CM49" t="str">
            <v>46-49</v>
          </cell>
          <cell r="CO49" t="str">
            <v>47-51</v>
          </cell>
          <cell r="CQ49" t="str">
            <v>1.82-1.92</v>
          </cell>
        </row>
        <row r="50">
          <cell r="BO50">
            <v>25.033268</v>
          </cell>
          <cell r="BP50">
            <v>-0.28824931620578076</v>
          </cell>
          <cell r="BQ50">
            <v>26.87265</v>
          </cell>
          <cell r="BR50">
            <v>-0.26797865443391755</v>
          </cell>
          <cell r="BS50">
            <v>32.426000000000002</v>
          </cell>
          <cell r="BT50">
            <v>-0.1072631600219085</v>
          </cell>
          <cell r="BU50">
            <v>34.386000000000003</v>
          </cell>
          <cell r="BV50">
            <v>0.26597844015080119</v>
          </cell>
          <cell r="BW50">
            <v>118.717918</v>
          </cell>
          <cell r="BX50">
            <v>-0.12298060563772306</v>
          </cell>
          <cell r="BY50">
            <v>28.63926</v>
          </cell>
          <cell r="BZ50">
            <v>0.14404799245547961</v>
          </cell>
          <cell r="CA50">
            <v>29.26482</v>
          </cell>
          <cell r="CB50">
            <v>8.9018760710238842E-2</v>
          </cell>
          <cell r="CC50">
            <v>25.628070000000001</v>
          </cell>
          <cell r="CD50">
            <v>-0.20964442114352677</v>
          </cell>
          <cell r="CE50">
            <v>27.186460000000011</v>
          </cell>
          <cell r="CF50">
            <v>-0.20937416390391417</v>
          </cell>
          <cell r="CG50">
            <v>110.71861000000001</v>
          </cell>
          <cell r="CH50">
            <v>-6.738079756418891E-2</v>
          </cell>
          <cell r="CI50">
            <v>28</v>
          </cell>
          <cell r="CJ50">
            <v>-2.232110745878213E-2</v>
          </cell>
          <cell r="CK50">
            <v>28.5</v>
          </cell>
          <cell r="CL50">
            <v>-2.6134450852593694E-2</v>
          </cell>
          <cell r="CM50">
            <v>29</v>
          </cell>
          <cell r="CN50">
            <v>0.13157174925774751</v>
          </cell>
          <cell r="CO50">
            <v>30</v>
          </cell>
          <cell r="CP50">
            <v>0.10349048754416668</v>
          </cell>
          <cell r="CQ50">
            <v>115.5</v>
          </cell>
          <cell r="CR50">
            <v>4.3185061662172064E-2</v>
          </cell>
        </row>
        <row r="51">
          <cell r="BO51">
            <v>100.33573199999999</v>
          </cell>
          <cell r="BP51">
            <v>1.1855065607193267</v>
          </cell>
          <cell r="BQ51">
            <v>107.30235</v>
          </cell>
          <cell r="BR51">
            <v>0.88581242816319228</v>
          </cell>
          <cell r="BS51">
            <v>117.806</v>
          </cell>
          <cell r="BT51">
            <v>0.79306289254167361</v>
          </cell>
          <cell r="BU51">
            <v>126.538</v>
          </cell>
          <cell r="BV51">
            <v>0.43619532746769818</v>
          </cell>
          <cell r="BW51">
            <v>451.98208199999999</v>
          </cell>
          <cell r="BX51">
            <v>0.76131144437293363</v>
          </cell>
          <cell r="BY51">
            <v>130.46773999999999</v>
          </cell>
          <cell r="BZ51">
            <v>0.30031183706319098</v>
          </cell>
          <cell r="CA51">
            <v>142.88117999999997</v>
          </cell>
          <cell r="CB51">
            <v>0.33157549671558884</v>
          </cell>
          <cell r="CC51">
            <v>171.51093</v>
          </cell>
          <cell r="CD51">
            <v>0.45587601650170617</v>
          </cell>
          <cell r="CE51">
            <v>167.00254000000004</v>
          </cell>
          <cell r="CF51">
            <v>0.31978172564763185</v>
          </cell>
          <cell r="CG51">
            <v>611.86239</v>
          </cell>
          <cell r="CH51">
            <v>0.35373151805606318</v>
          </cell>
          <cell r="CI51">
            <v>184</v>
          </cell>
          <cell r="CJ51">
            <v>0.41031031885736668</v>
          </cell>
          <cell r="CK51">
            <v>197</v>
          </cell>
          <cell r="CL51">
            <v>0.37876800849489101</v>
          </cell>
          <cell r="CM51">
            <v>214.5</v>
          </cell>
          <cell r="CN51">
            <v>0.25064915687880651</v>
          </cell>
          <cell r="CO51">
            <v>231.5</v>
          </cell>
          <cell r="CP51">
            <v>0.38620646129094771</v>
          </cell>
          <cell r="CQ51">
            <v>827</v>
          </cell>
          <cell r="CR51">
            <v>0.35161110327438161</v>
          </cell>
        </row>
        <row r="52">
          <cell r="BO52">
            <v>0.19998776103663699</v>
          </cell>
          <cell r="BQ52">
            <v>0.20080740978755518</v>
          </cell>
          <cell r="BS52">
            <v>0.21588836069721301</v>
          </cell>
          <cell r="BU52">
            <v>0.21412025505629165</v>
          </cell>
          <cell r="BW52">
            <v>0.20835490806213544</v>
          </cell>
          <cell r="BY52">
            <v>0.18</v>
          </cell>
          <cell r="CA52">
            <v>0.17</v>
          </cell>
          <cell r="CC52">
            <v>0.13</v>
          </cell>
          <cell r="CE52">
            <v>0.14000000000000001</v>
          </cell>
          <cell r="CG52">
            <v>0.15322657252266528</v>
          </cell>
          <cell r="CI52">
            <v>0.13207547169811321</v>
          </cell>
          <cell r="CK52">
            <v>0.12638580931263857</v>
          </cell>
          <cell r="CM52">
            <v>0.11909650924024641</v>
          </cell>
          <cell r="CO52">
            <v>0.1147227533460803</v>
          </cell>
          <cell r="CQ52">
            <v>0.12254641909814323</v>
          </cell>
        </row>
        <row r="53">
          <cell r="BO53">
            <v>0.80157007046191686</v>
          </cell>
          <cell r="BQ53">
            <v>0.80182293028851537</v>
          </cell>
          <cell r="BS53">
            <v>0.78433800716387692</v>
          </cell>
          <cell r="BU53">
            <v>0.7879470957457404</v>
          </cell>
          <cell r="BW53">
            <v>0.79324744509790479</v>
          </cell>
          <cell r="BY53">
            <v>0.82</v>
          </cell>
          <cell r="CA53">
            <v>0.82999999999999985</v>
          </cell>
          <cell r="CC53">
            <v>0.87</v>
          </cell>
          <cell r="CE53">
            <v>0.86</v>
          </cell>
          <cell r="CG53">
            <v>0.84677342747733453</v>
          </cell>
          <cell r="CI53">
            <v>0.86792452830188682</v>
          </cell>
          <cell r="CK53">
            <v>0.87361419068736146</v>
          </cell>
          <cell r="CM53">
            <v>0.8809034907597536</v>
          </cell>
          <cell r="CO53">
            <v>0.88527724665391971</v>
          </cell>
          <cell r="CQ53">
            <v>0.87745358090185677</v>
          </cell>
        </row>
        <row r="56">
          <cell r="BO56">
            <v>58.387</v>
          </cell>
          <cell r="BP56">
            <v>0.96595844977945378</v>
          </cell>
          <cell r="BQ56">
            <v>63.381</v>
          </cell>
          <cell r="BR56">
            <v>0.55964860475417111</v>
          </cell>
          <cell r="BS56">
            <v>67.203000000000003</v>
          </cell>
          <cell r="BT56">
            <v>0.46565035331065174</v>
          </cell>
          <cell r="BU56">
            <v>61.960999999999999</v>
          </cell>
          <cell r="BV56">
            <v>0.44772074113881155</v>
          </cell>
          <cell r="BW56">
            <v>61.960999999999999</v>
          </cell>
          <cell r="BX56">
            <v>0.44772074113881155</v>
          </cell>
          <cell r="BY56">
            <v>63.399000000000001</v>
          </cell>
          <cell r="BZ56">
            <v>8.5841026255844666E-2</v>
          </cell>
          <cell r="CA56">
            <v>75.620999999999995</v>
          </cell>
          <cell r="CB56">
            <v>0.19311781133147154</v>
          </cell>
          <cell r="CC56">
            <v>70.873999999999995</v>
          </cell>
          <cell r="CD56">
            <v>5.4625537550406777E-2</v>
          </cell>
          <cell r="CE56">
            <v>68.953000000000003</v>
          </cell>
          <cell r="CF56">
            <v>0.11284517680476447</v>
          </cell>
          <cell r="CG56">
            <v>68.953000000000003</v>
          </cell>
          <cell r="CH56">
            <v>0.11284517680476447</v>
          </cell>
          <cell r="CI56">
            <v>80</v>
          </cell>
          <cell r="CJ56">
            <v>0.26184955598668758</v>
          </cell>
          <cell r="CK56">
            <v>83.5</v>
          </cell>
          <cell r="CL56">
            <v>0.10419063487655555</v>
          </cell>
          <cell r="CM56">
            <v>88.5</v>
          </cell>
          <cell r="CN56">
            <v>0.2486948669469764</v>
          </cell>
          <cell r="CO56">
            <v>97.5</v>
          </cell>
          <cell r="CP56">
            <v>0.41400664220556016</v>
          </cell>
          <cell r="CQ56">
            <v>97.5</v>
          </cell>
          <cell r="CR56">
            <v>0.41400664220556016</v>
          </cell>
        </row>
        <row r="57">
          <cell r="BO57">
            <v>70.248999999999995</v>
          </cell>
          <cell r="BP57">
            <v>0.83269416399259066</v>
          </cell>
          <cell r="BQ57">
            <v>69.150000000000006</v>
          </cell>
          <cell r="BR57">
            <v>0.44665271966527209</v>
          </cell>
          <cell r="BS57">
            <v>76.296999999999997</v>
          </cell>
          <cell r="BT57">
            <v>0.51512202871497514</v>
          </cell>
          <cell r="BU57">
            <v>77.334000000000003</v>
          </cell>
          <cell r="BV57">
            <v>0.51980976338338181</v>
          </cell>
          <cell r="BW57">
            <v>77.334000000000003</v>
          </cell>
          <cell r="BX57">
            <v>0.51980976338338181</v>
          </cell>
          <cell r="BY57">
            <v>77.876999999999995</v>
          </cell>
          <cell r="BZ57">
            <v>0.10858517558968805</v>
          </cell>
          <cell r="CA57">
            <v>87.203000000000003</v>
          </cell>
          <cell r="CB57">
            <v>0.26107013738250173</v>
          </cell>
          <cell r="CC57">
            <v>95.058000000000007</v>
          </cell>
          <cell r="CD57">
            <v>0.24589433398429827</v>
          </cell>
          <cell r="CE57">
            <v>96.93</v>
          </cell>
          <cell r="CF57">
            <v>0.25339436728993725</v>
          </cell>
          <cell r="CG57">
            <v>96.93</v>
          </cell>
          <cell r="CH57">
            <v>0.25339436728993725</v>
          </cell>
          <cell r="CI57">
            <v>107.5</v>
          </cell>
          <cell r="CJ57">
            <v>0.38038188425337394</v>
          </cell>
          <cell r="CK57">
            <v>115</v>
          </cell>
          <cell r="CL57">
            <v>0.31876196919830746</v>
          </cell>
          <cell r="CM57">
            <v>120</v>
          </cell>
          <cell r="CN57">
            <v>0.26238717414631063</v>
          </cell>
          <cell r="CO57">
            <v>125</v>
          </cell>
          <cell r="CP57">
            <v>0.28959042608067675</v>
          </cell>
          <cell r="CQ57">
            <v>125</v>
          </cell>
          <cell r="CR57">
            <v>0.28959042608067675</v>
          </cell>
        </row>
        <row r="58">
          <cell r="BO58">
            <v>4.4249999999999998</v>
          </cell>
          <cell r="BP58">
            <v>0.62863452337136527</v>
          </cell>
          <cell r="BQ58">
            <v>4.7380000000000004</v>
          </cell>
          <cell r="BR58">
            <v>0.43012375490492016</v>
          </cell>
          <cell r="BS58">
            <v>5.05</v>
          </cell>
          <cell r="BT58">
            <v>0.37527233115468395</v>
          </cell>
          <cell r="BU58">
            <v>5.2</v>
          </cell>
          <cell r="BV58">
            <v>0.34994807892004198</v>
          </cell>
          <cell r="BW58">
            <v>19.413</v>
          </cell>
          <cell r="BX58">
            <v>0.43227091633466164</v>
          </cell>
          <cell r="BY58">
            <v>5.6870000000000003</v>
          </cell>
          <cell r="BZ58">
            <v>0.28519774011299437</v>
          </cell>
          <cell r="CA58">
            <v>6.0179999999999998</v>
          </cell>
          <cell r="CB58">
            <v>0.27015618404390018</v>
          </cell>
          <cell r="CC58">
            <v>7.5329999999999986</v>
          </cell>
          <cell r="CD58">
            <v>0.49168316831683145</v>
          </cell>
          <cell r="CE58">
            <v>8</v>
          </cell>
          <cell r="CF58">
            <v>0.53846153846153832</v>
          </cell>
          <cell r="CG58">
            <v>27.238</v>
          </cell>
          <cell r="CH58">
            <v>0.40308041003451289</v>
          </cell>
          <cell r="CI58">
            <v>8.1999999999999993</v>
          </cell>
          <cell r="CJ58">
            <v>0.44188500087919791</v>
          </cell>
          <cell r="CK58">
            <v>8.4</v>
          </cell>
          <cell r="CL58">
            <v>0.39581256231306083</v>
          </cell>
          <cell r="CM58">
            <v>8.6</v>
          </cell>
          <cell r="CN58">
            <v>0.14164343555024583</v>
          </cell>
          <cell r="CO58">
            <v>8.8000000000000007</v>
          </cell>
          <cell r="CP58">
            <v>0.10000000000000009</v>
          </cell>
          <cell r="CQ58">
            <v>34</v>
          </cell>
          <cell r="CR58">
            <v>0.24825611278361115</v>
          </cell>
        </row>
        <row r="59">
          <cell r="BO59">
            <v>7.6945822544620786</v>
          </cell>
          <cell r="BP59">
            <v>-0.13029275039733346</v>
          </cell>
          <cell r="BQ59">
            <v>6.9500689836410228</v>
          </cell>
          <cell r="BR59">
            <v>-0.15975640417475911</v>
          </cell>
          <cell r="BS59">
            <v>7.1864240642038837</v>
          </cell>
          <cell r="BT59">
            <v>-2.2345197381096749E-2</v>
          </cell>
          <cell r="BU59">
            <v>8.3714967018673967</v>
          </cell>
          <cell r="BV59">
            <v>3.1256328256657362E-2</v>
          </cell>
          <cell r="BW59">
            <v>8.6975181366933949</v>
          </cell>
          <cell r="BX59">
            <v>-7.2874936501687859E-4</v>
          </cell>
          <cell r="BY59">
            <v>7.9406509253350359</v>
          </cell>
          <cell r="BZ59">
            <v>3.1979471105174406E-2</v>
          </cell>
          <cell r="CA59">
            <v>7.741044454035392</v>
          </cell>
          <cell r="CB59">
            <v>0.1138082905732527</v>
          </cell>
          <cell r="CC59">
            <v>8.3938974026417288</v>
          </cell>
          <cell r="CD59">
            <v>0.16802144260486385</v>
          </cell>
          <cell r="CE59">
            <v>8.653836526564973</v>
          </cell>
          <cell r="CF59">
            <v>3.3726325739887875E-2</v>
          </cell>
          <cell r="CG59">
            <v>8.6150144369586155</v>
          </cell>
          <cell r="CH59">
            <v>-9.4858899329809399E-3</v>
          </cell>
          <cell r="CI59">
            <v>8.8641114982578397</v>
          </cell>
          <cell r="CJ59">
            <v>0.11629532409949639</v>
          </cell>
          <cell r="CK59">
            <v>8.6172721712538216</v>
          </cell>
          <cell r="CL59">
            <v>0.11319244094531111</v>
          </cell>
          <cell r="CM59">
            <v>8.9019069767441863</v>
          </cell>
          <cell r="CN59">
            <v>6.0521298954949954E-2</v>
          </cell>
          <cell r="CO59">
            <v>8.8628817204301082</v>
          </cell>
          <cell r="CP59">
            <v>2.4156360386913045E-2</v>
          </cell>
          <cell r="CQ59">
            <v>8.8747033697199829</v>
          </cell>
          <cell r="CR59">
            <v>3.0143760600945146E-2</v>
          </cell>
        </row>
        <row r="60">
          <cell r="BO60">
            <v>43.547262211002277</v>
          </cell>
          <cell r="BP60">
            <v>8.1260301394547874E-3</v>
          </cell>
          <cell r="BQ60">
            <v>46.875014011044435</v>
          </cell>
          <cell r="BR60">
            <v>0.13211788801654034</v>
          </cell>
          <cell r="BS60">
            <v>43.576578915831099</v>
          </cell>
          <cell r="BT60">
            <v>6.5084644961836968E-3</v>
          </cell>
          <cell r="BU60">
            <v>43.049435837401596</v>
          </cell>
          <cell r="BV60">
            <v>8.9199121152192307E-2</v>
          </cell>
          <cell r="BW60">
            <v>40.505030827309149</v>
          </cell>
          <cell r="BX60">
            <v>-2.4087166745939803E-2</v>
          </cell>
          <cell r="BY60">
            <v>43.898100020740763</v>
          </cell>
          <cell r="BZ60">
            <v>8.056483735729536E-3</v>
          </cell>
          <cell r="CA60">
            <v>43.152905092189187</v>
          </cell>
          <cell r="CB60">
            <v>-7.9404966534586285E-2</v>
          </cell>
          <cell r="CC60">
            <v>41.603868336554413</v>
          </cell>
          <cell r="CD60">
            <v>-4.5269973649996964E-2</v>
          </cell>
          <cell r="CE60">
            <v>44.489955661752198</v>
          </cell>
          <cell r="CF60">
            <v>3.3461990763165028E-2</v>
          </cell>
          <cell r="CG60">
            <v>43.410385825256952</v>
          </cell>
          <cell r="CH60">
            <v>7.1728250506328806E-2</v>
          </cell>
          <cell r="CI60">
            <v>43.393160377358491</v>
          </cell>
          <cell r="CJ60">
            <v>-1.1502539817069501E-2</v>
          </cell>
          <cell r="CK60">
            <v>44.40133037694013</v>
          </cell>
          <cell r="CL60">
            <v>2.8930272065898821E-2</v>
          </cell>
          <cell r="CM60">
            <v>43.429158110882959</v>
          </cell>
          <cell r="CN60">
            <v>4.3873078329228044E-2</v>
          </cell>
          <cell r="CO60">
            <v>42.160611854684511</v>
          </cell>
          <cell r="CP60">
            <v>-5.2356622352631721E-2</v>
          </cell>
          <cell r="CQ60">
            <v>42.384509283819632</v>
          </cell>
          <cell r="CR60">
            <v>-2.3632053065984149E-2</v>
          </cell>
        </row>
        <row r="61">
          <cell r="BO61">
            <v>22.854000000000013</v>
          </cell>
          <cell r="BP61">
            <v>0.61706644024623247</v>
          </cell>
          <cell r="BQ61">
            <v>22.516000000000002</v>
          </cell>
          <cell r="BR61">
            <v>0.36651089397341785</v>
          </cell>
          <cell r="BS61">
            <v>26.199000000000005</v>
          </cell>
          <cell r="BT61">
            <v>0.44745856353591207</v>
          </cell>
          <cell r="BU61">
            <v>16.039000000000037</v>
          </cell>
          <cell r="BV61">
            <v>-0.20492737817875528</v>
          </cell>
          <cell r="BW61">
            <v>87.608000000000047</v>
          </cell>
          <cell r="BX61">
            <v>0.27183775387250764</v>
          </cell>
          <cell r="BY61">
            <v>29.801999999999996</v>
          </cell>
          <cell r="BZ61">
            <v>0.30401680231031669</v>
          </cell>
          <cell r="CA61">
            <v>32.450999999999979</v>
          </cell>
          <cell r="CB61">
            <v>0.44124178362053557</v>
          </cell>
          <cell r="CC61">
            <v>38.353000000000009</v>
          </cell>
          <cell r="CD61">
            <v>0.46391083629146146</v>
          </cell>
          <cell r="CE61">
            <v>38.603999999999999</v>
          </cell>
          <cell r="CF61">
            <v>1.4068832221460137</v>
          </cell>
          <cell r="CG61">
            <v>139.20999999999998</v>
          </cell>
          <cell r="CH61">
            <v>0.58901013606063257</v>
          </cell>
          <cell r="CI61">
            <v>42.465999999999994</v>
          </cell>
          <cell r="CJ61">
            <v>0.42493792362928651</v>
          </cell>
          <cell r="CK61">
            <v>44.223750000000003</v>
          </cell>
          <cell r="CL61">
            <v>0.36278543034113064</v>
          </cell>
          <cell r="CM61">
            <v>46.058199999999985</v>
          </cell>
          <cell r="CN61">
            <v>0.20090214585560395</v>
          </cell>
          <cell r="CO61">
            <v>48.822299999999984</v>
          </cell>
          <cell r="CP61">
            <v>0.26469536835561036</v>
          </cell>
          <cell r="CQ61">
            <v>181.57024999999999</v>
          </cell>
          <cell r="CR61">
            <v>0.30429028087062715</v>
          </cell>
        </row>
        <row r="64">
          <cell r="BR64" t="str">
            <v>Sanmina Corporation</v>
          </cell>
          <cell r="CB64" t="str">
            <v>Sanmina Corporation</v>
          </cell>
          <cell r="CL64" t="str">
            <v>Sanmina Corporation</v>
          </cell>
        </row>
        <row r="65">
          <cell r="BR65" t="str">
            <v>Quarterly Income Statements</v>
          </cell>
          <cell r="CB65" t="str">
            <v>Quarterly Income Statements</v>
          </cell>
          <cell r="CL65" t="str">
            <v>Quarterly Income Statements</v>
          </cell>
        </row>
        <row r="66">
          <cell r="BR66" t="str">
            <v>($ In Millions Except Per Share Data)</v>
          </cell>
          <cell r="CB66" t="str">
            <v>($ In Millions Except Per Share Data)</v>
          </cell>
          <cell r="CL66" t="str">
            <v>($ In Millions Except Per Share Data)</v>
          </cell>
        </row>
        <row r="67">
          <cell r="BO67" t="str">
            <v>1997R</v>
          </cell>
          <cell r="BW67" t="str">
            <v>1997R</v>
          </cell>
          <cell r="BY67" t="str">
            <v>1998A</v>
          </cell>
          <cell r="CG67" t="str">
            <v>1998A</v>
          </cell>
          <cell r="CI67" t="str">
            <v>1999E</v>
          </cell>
          <cell r="CQ67" t="str">
            <v>1999E</v>
          </cell>
        </row>
        <row r="68">
          <cell r="BO68" t="str">
            <v>1QR</v>
          </cell>
          <cell r="BP68" t="str">
            <v>% Chg.</v>
          </cell>
          <cell r="BQ68" t="str">
            <v>2QR</v>
          </cell>
          <cell r="BR68" t="str">
            <v>% Chg.</v>
          </cell>
          <cell r="BS68" t="str">
            <v>3QR</v>
          </cell>
          <cell r="BT68" t="str">
            <v>% Chg.</v>
          </cell>
          <cell r="BU68" t="str">
            <v>4QR</v>
          </cell>
          <cell r="BV68" t="str">
            <v>% Chg.</v>
          </cell>
          <cell r="BW68" t="str">
            <v xml:space="preserve">    YEAR </v>
          </cell>
          <cell r="BX68" t="str">
            <v>% Chg.</v>
          </cell>
          <cell r="BY68" t="str">
            <v>1QA</v>
          </cell>
          <cell r="BZ68" t="str">
            <v>% Chg.</v>
          </cell>
          <cell r="CA68" t="str">
            <v xml:space="preserve">  2QA</v>
          </cell>
          <cell r="CB68" t="str">
            <v>% Chg.</v>
          </cell>
          <cell r="CC68" t="str">
            <v xml:space="preserve">  3QA</v>
          </cell>
          <cell r="CD68" t="str">
            <v>% Chg.</v>
          </cell>
          <cell r="CE68" t="str">
            <v xml:space="preserve">  4QA</v>
          </cell>
          <cell r="CF68" t="str">
            <v>% Chg.</v>
          </cell>
          <cell r="CG68" t="str">
            <v xml:space="preserve">    YEAR </v>
          </cell>
          <cell r="CH68" t="str">
            <v>% Chg.</v>
          </cell>
          <cell r="CI68" t="str">
            <v xml:space="preserve">   1QE</v>
          </cell>
          <cell r="CJ68" t="str">
            <v>% Chg.</v>
          </cell>
          <cell r="CK68" t="str">
            <v xml:space="preserve">  2QE</v>
          </cell>
          <cell r="CL68" t="str">
            <v>% Chg.</v>
          </cell>
          <cell r="CM68" t="str">
            <v xml:space="preserve">  3QE</v>
          </cell>
          <cell r="CN68" t="str">
            <v>% Chg.</v>
          </cell>
          <cell r="CO68" t="str">
            <v xml:space="preserve">  4QE</v>
          </cell>
          <cell r="CP68" t="str">
            <v>% Chg.</v>
          </cell>
          <cell r="CQ68" t="str">
            <v xml:space="preserve">    YEAR </v>
          </cell>
          <cell r="CR68" t="str">
            <v>% Chg.</v>
          </cell>
        </row>
        <row r="69">
          <cell r="BO69">
            <v>125.17400000000001</v>
          </cell>
          <cell r="BP69">
            <v>0.54381421048087719</v>
          </cell>
          <cell r="BQ69">
            <v>133.82300000000001</v>
          </cell>
          <cell r="BR69">
            <v>0.4295801730584341</v>
          </cell>
          <cell r="BS69">
            <v>150.19800000000004</v>
          </cell>
          <cell r="BT69">
            <v>0.472197445674015</v>
          </cell>
          <cell r="BU69">
            <v>160.5920000000001</v>
          </cell>
          <cell r="BV69">
            <v>0.39320539959052003</v>
          </cell>
          <cell r="BW69">
            <v>569.78700000000015</v>
          </cell>
          <cell r="BX69">
            <v>0.4536050124750628</v>
          </cell>
          <cell r="BY69">
            <v>159.107</v>
          </cell>
          <cell r="BZ69">
            <v>0.27108664738683741</v>
          </cell>
          <cell r="CA69">
            <v>172.14599999999999</v>
          </cell>
          <cell r="CB69">
            <v>0.28637080322515551</v>
          </cell>
          <cell r="CC69">
            <v>197.13900000000004</v>
          </cell>
          <cell r="CD69">
            <v>0.31252746374785279</v>
          </cell>
          <cell r="CE69">
            <v>194.18900000000005</v>
          </cell>
          <cell r="CF69">
            <v>0.2092071834213407</v>
          </cell>
          <cell r="CG69">
            <v>722.58100000000013</v>
          </cell>
          <cell r="CH69">
            <v>0.26815985622697602</v>
          </cell>
          <cell r="CI69">
            <v>212</v>
          </cell>
          <cell r="CJ69">
            <v>0.33243666212045975</v>
          </cell>
          <cell r="CK69">
            <v>225.5</v>
          </cell>
          <cell r="CL69">
            <v>0.30993459040581839</v>
          </cell>
          <cell r="CM69">
            <v>243.5</v>
          </cell>
          <cell r="CN69">
            <v>0.23516909388806861</v>
          </cell>
          <cell r="CO69">
            <v>261.5</v>
          </cell>
          <cell r="CP69">
            <v>0.34662622496639828</v>
          </cell>
          <cell r="CQ69">
            <v>942.5</v>
          </cell>
          <cell r="CR69">
            <v>0.30435203804140976</v>
          </cell>
        </row>
        <row r="70">
          <cell r="BO70" t="str">
            <v>Estimates of SANM / ELEX combined</v>
          </cell>
        </row>
        <row r="71">
          <cell r="BO71">
            <v>67.504260000000002</v>
          </cell>
          <cell r="BP71">
            <v>-0.16744662744662742</v>
          </cell>
          <cell r="BQ71">
            <v>75.100500000000011</v>
          </cell>
          <cell r="BR71">
            <v>-0.19772994338211713</v>
          </cell>
          <cell r="BS71">
            <v>76.875040000000013</v>
          </cell>
          <cell r="BT71">
            <v>-0.24649304568577657</v>
          </cell>
          <cell r="BU71">
            <v>86.775620000000075</v>
          </cell>
          <cell r="BV71" t="str">
            <v xml:space="preserve">     N.M.</v>
          </cell>
          <cell r="BW71">
            <v>306.25542000000019</v>
          </cell>
          <cell r="BX71">
            <v>0.41672234768827465</v>
          </cell>
          <cell r="BY71">
            <v>82.735640000000004</v>
          </cell>
          <cell r="BZ71">
            <v>0.22563583394588727</v>
          </cell>
          <cell r="CA71">
            <v>90.204504</v>
          </cell>
          <cell r="CB71">
            <v>0.2011172229212852</v>
          </cell>
          <cell r="CC71">
            <v>106.45506</v>
          </cell>
          <cell r="CD71">
            <v>0.38478054775646275</v>
          </cell>
          <cell r="CE71">
            <v>106.80395000000003</v>
          </cell>
          <cell r="CF71">
            <v>0.23080595678832294</v>
          </cell>
          <cell r="CG71">
            <v>386.19915400000014</v>
          </cell>
          <cell r="CH71">
            <v>0.26103614427460542</v>
          </cell>
          <cell r="CI71">
            <v>120.84</v>
          </cell>
          <cell r="CJ71">
            <v>0.46055557193973473</v>
          </cell>
          <cell r="CK71">
            <v>127.4075</v>
          </cell>
          <cell r="CL71">
            <v>0.41242947247955608</v>
          </cell>
          <cell r="CM71">
            <v>138.79500000000002</v>
          </cell>
          <cell r="CN71">
            <v>0.30378959910407266</v>
          </cell>
          <cell r="CO71">
            <v>150.36249999999998</v>
          </cell>
          <cell r="CP71">
            <v>0.40783650791941639</v>
          </cell>
          <cell r="CQ71">
            <v>537.40499999999997</v>
          </cell>
          <cell r="CR71">
            <v>0.39152298609126368</v>
          </cell>
        </row>
        <row r="72">
          <cell r="BO72">
            <v>23.248750000000001</v>
          </cell>
          <cell r="BP72" t="str">
            <v xml:space="preserve">      N.M.</v>
          </cell>
          <cell r="BQ72">
            <v>28.829249999999998</v>
          </cell>
          <cell r="BR72" t="str">
            <v xml:space="preserve">      N.M.</v>
          </cell>
          <cell r="BS72">
            <v>37.291640000000001</v>
          </cell>
          <cell r="BT72" t="str">
            <v xml:space="preserve">      N.M.</v>
          </cell>
          <cell r="BU72">
            <v>40.85698</v>
          </cell>
          <cell r="BV72">
            <v>-0.48338856401245822</v>
          </cell>
          <cell r="BW72">
            <v>130.22662</v>
          </cell>
          <cell r="BX72">
            <v>0.64663568286260831</v>
          </cell>
          <cell r="BY72">
            <v>46.141029999999994</v>
          </cell>
          <cell r="BZ72">
            <v>0.98466713264153949</v>
          </cell>
          <cell r="CA72">
            <v>50.438777999999992</v>
          </cell>
          <cell r="CB72">
            <v>0.74956955175732953</v>
          </cell>
          <cell r="CC72">
            <v>55.198920000000008</v>
          </cell>
          <cell r="CD72">
            <v>0.48019556125716134</v>
          </cell>
          <cell r="CE72">
            <v>56.314810000000008</v>
          </cell>
          <cell r="CF72">
            <v>0.37834000457204642</v>
          </cell>
          <cell r="CG72">
            <v>208.09353800000002</v>
          </cell>
          <cell r="CH72">
            <v>0.59793395543860406</v>
          </cell>
          <cell r="CI72">
            <v>61.48</v>
          </cell>
          <cell r="CJ72">
            <v>0.33243666212045997</v>
          </cell>
          <cell r="CK72">
            <v>65.394999999999996</v>
          </cell>
          <cell r="CL72">
            <v>0.29652229084534931</v>
          </cell>
          <cell r="CM72">
            <v>69.397499999999994</v>
          </cell>
          <cell r="CN72">
            <v>0.25722568485035557</v>
          </cell>
          <cell r="CO72">
            <v>73.220000000000013</v>
          </cell>
          <cell r="CP72">
            <v>0.3001908378985918</v>
          </cell>
          <cell r="CQ72">
            <v>269.49250000000001</v>
          </cell>
          <cell r="CR72">
            <v>0.29505463067286586</v>
          </cell>
        </row>
        <row r="73">
          <cell r="BO73">
            <v>21.265039999999999</v>
          </cell>
          <cell r="BP73" t="str">
            <v xml:space="preserve">      N.M.</v>
          </cell>
          <cell r="BQ73">
            <v>15.037000000000001</v>
          </cell>
          <cell r="BR73" t="str">
            <v xml:space="preserve">      N.M.</v>
          </cell>
          <cell r="BS73">
            <v>21.638280000000002</v>
          </cell>
          <cell r="BT73" t="str">
            <v xml:space="preserve">      N.M.</v>
          </cell>
          <cell r="BU73">
            <v>17.910299999999999</v>
          </cell>
          <cell r="BV73">
            <v>-0.7236255888481784</v>
          </cell>
          <cell r="BW73">
            <v>75.850619999999992</v>
          </cell>
          <cell r="BX73">
            <v>0.17045333902841286</v>
          </cell>
          <cell r="BY73">
            <v>19.092839999999999</v>
          </cell>
          <cell r="BZ73">
            <v>-0.10214887909921633</v>
          </cell>
          <cell r="CA73">
            <v>21.173957999999999</v>
          </cell>
          <cell r="CB73">
            <v>0.40812382789120161</v>
          </cell>
          <cell r="CC73">
            <v>25.628070000000001</v>
          </cell>
          <cell r="CD73">
            <v>0.18438572751623505</v>
          </cell>
          <cell r="CE73">
            <v>17.477010000000003</v>
          </cell>
          <cell r="CF73">
            <v>-2.4192224585852573E-2</v>
          </cell>
          <cell r="CG73">
            <v>83.371878000000009</v>
          </cell>
          <cell r="CH73">
            <v>9.915882032342016E-2</v>
          </cell>
          <cell r="CI73">
            <v>16.96</v>
          </cell>
          <cell r="CJ73">
            <v>-0.11170889191969335</v>
          </cell>
          <cell r="CK73">
            <v>19.1675</v>
          </cell>
          <cell r="CL73">
            <v>-9.4760648906548228E-2</v>
          </cell>
          <cell r="CM73">
            <v>21.914999999999999</v>
          </cell>
          <cell r="CN73">
            <v>-0.14488293500056781</v>
          </cell>
          <cell r="CO73">
            <v>23.535</v>
          </cell>
          <cell r="CP73">
            <v>0.3466262249663985</v>
          </cell>
          <cell r="CQ73">
            <v>81.577500000000001</v>
          </cell>
          <cell r="CR73">
            <v>-2.1522581031460097E-2</v>
          </cell>
        </row>
        <row r="74">
          <cell r="BO74">
            <v>13.155950000000001</v>
          </cell>
          <cell r="BP74" t="str">
            <v xml:space="preserve">      N.M.</v>
          </cell>
          <cell r="BQ74">
            <v>14.856249999999999</v>
          </cell>
          <cell r="BR74" t="str">
            <v xml:space="preserve">      N.M.</v>
          </cell>
          <cell r="BS74">
            <v>14.393039999999999</v>
          </cell>
          <cell r="BT74" t="str">
            <v xml:space="preserve">      N.M.</v>
          </cell>
          <cell r="BU74">
            <v>15.049099999999999</v>
          </cell>
          <cell r="BV74">
            <v>-0.51084207802811732</v>
          </cell>
          <cell r="BW74">
            <v>57.454340000000002</v>
          </cell>
          <cell r="BX74">
            <v>0.86750340968337092</v>
          </cell>
          <cell r="BY74">
            <v>11.137490000000001</v>
          </cell>
          <cell r="BZ74">
            <v>-0.15342563630904638</v>
          </cell>
          <cell r="CA74">
            <v>10.328759999999999</v>
          </cell>
          <cell r="CB74">
            <v>-0.30475321834244851</v>
          </cell>
          <cell r="CC74">
            <v>9.8569500000000012</v>
          </cell>
          <cell r="CD74">
            <v>-0.3151585766453785</v>
          </cell>
          <cell r="CE74">
            <v>13.593230000000005</v>
          </cell>
          <cell r="CF74">
            <v>-9.6741333368772442E-2</v>
          </cell>
          <cell r="CG74">
            <v>44.916430000000005</v>
          </cell>
          <cell r="CH74">
            <v>-0.21822389744621551</v>
          </cell>
          <cell r="CI74">
            <v>12.719999999999999</v>
          </cell>
          <cell r="CJ74">
            <v>0.14208856753182242</v>
          </cell>
          <cell r="CK74">
            <v>13.53</v>
          </cell>
          <cell r="CL74">
            <v>0.30993459040581839</v>
          </cell>
          <cell r="CM74">
            <v>13.3925</v>
          </cell>
          <cell r="CN74">
            <v>0.3586860032768755</v>
          </cell>
          <cell r="CO74">
            <v>14.3825</v>
          </cell>
          <cell r="CP74">
            <v>5.8063462473598504E-2</v>
          </cell>
          <cell r="CQ74">
            <v>54.024999999999999</v>
          </cell>
          <cell r="CR74">
            <v>0.20278926887110105</v>
          </cell>
        </row>
        <row r="75">
          <cell r="BO75">
            <v>0</v>
          </cell>
          <cell r="BP75" t="str">
            <v xml:space="preserve">      N.M.</v>
          </cell>
          <cell r="BQ75">
            <v>0</v>
          </cell>
          <cell r="BR75" t="str">
            <v xml:space="preserve">      N.M.</v>
          </cell>
          <cell r="BS75">
            <v>0</v>
          </cell>
          <cell r="BT75" t="str">
            <v xml:space="preserve">      N.M.</v>
          </cell>
          <cell r="BU75">
            <v>0</v>
          </cell>
          <cell r="BV75" t="str">
            <v xml:space="preserve">      N.M.</v>
          </cell>
          <cell r="BW75">
            <v>0</v>
          </cell>
          <cell r="BX75" t="e">
            <v>#DIV/0!</v>
          </cell>
          <cell r="BY75">
            <v>0</v>
          </cell>
          <cell r="BZ75" t="str">
            <v xml:space="preserve">      N.M.</v>
          </cell>
          <cell r="CA75">
            <v>0</v>
          </cell>
          <cell r="CB75" t="str">
            <v xml:space="preserve">      N.M.</v>
          </cell>
          <cell r="CC75">
            <v>0</v>
          </cell>
          <cell r="CD75" t="str">
            <v xml:space="preserve">      N.M.</v>
          </cell>
          <cell r="CE75">
            <v>0</v>
          </cell>
          <cell r="CF75" t="str">
            <v xml:space="preserve">      N.M.</v>
          </cell>
          <cell r="CG75">
            <v>0</v>
          </cell>
          <cell r="CH75" t="e">
            <v>#DIV/0!</v>
          </cell>
          <cell r="CI75">
            <v>0</v>
          </cell>
          <cell r="CJ75" t="str">
            <v xml:space="preserve">      N.M.</v>
          </cell>
          <cell r="CK75">
            <v>0</v>
          </cell>
          <cell r="CL75" t="str">
            <v xml:space="preserve">      N.M.</v>
          </cell>
          <cell r="CM75">
            <v>0</v>
          </cell>
          <cell r="CN75" t="str">
            <v xml:space="preserve">      N.M.</v>
          </cell>
          <cell r="CO75">
            <v>0</v>
          </cell>
          <cell r="CP75" t="str">
            <v xml:space="preserve">      N.M.</v>
          </cell>
          <cell r="CQ75">
            <v>0</v>
          </cell>
          <cell r="CR75" t="e">
            <v>#DIV/0!</v>
          </cell>
        </row>
        <row r="76">
          <cell r="BO76">
            <v>0</v>
          </cell>
          <cell r="BP76" t="str">
            <v xml:space="preserve">      N.M.</v>
          </cell>
          <cell r="BQ76">
            <v>7.1054273576010003E-15</v>
          </cell>
          <cell r="BR76" t="str">
            <v xml:space="preserve">      N.M.</v>
          </cell>
          <cell r="BS76">
            <v>0</v>
          </cell>
          <cell r="BT76" t="str">
            <v xml:space="preserve">      N.M.</v>
          </cell>
          <cell r="BU76">
            <v>0</v>
          </cell>
          <cell r="BV76">
            <v>-1</v>
          </cell>
          <cell r="BW76">
            <v>7.1054273576010003E-15</v>
          </cell>
          <cell r="BX76">
            <v>-0.99999999999999389</v>
          </cell>
          <cell r="BY76">
            <v>0</v>
          </cell>
          <cell r="BZ76" t="str">
            <v xml:space="preserve">      N.M.</v>
          </cell>
          <cell r="CA76">
            <v>0</v>
          </cell>
          <cell r="CB76">
            <v>-1</v>
          </cell>
          <cell r="CC76">
            <v>0</v>
          </cell>
          <cell r="CD76" t="str">
            <v xml:space="preserve">      N.M.</v>
          </cell>
          <cell r="CE76">
            <v>0</v>
          </cell>
          <cell r="CF76" t="str">
            <v xml:space="preserve">      N.M.</v>
          </cell>
          <cell r="CG76">
            <v>0</v>
          </cell>
          <cell r="CH76">
            <v>-1</v>
          </cell>
          <cell r="CI76">
            <v>0</v>
          </cell>
          <cell r="CJ76" t="str">
            <v xml:space="preserve">      N.M.</v>
          </cell>
          <cell r="CK76">
            <v>0</v>
          </cell>
          <cell r="CL76" t="str">
            <v xml:space="preserve">      N.M.</v>
          </cell>
          <cell r="CM76">
            <v>0</v>
          </cell>
          <cell r="CN76" t="str">
            <v xml:space="preserve">      N.M.</v>
          </cell>
          <cell r="CO76">
            <v>0</v>
          </cell>
          <cell r="CP76" t="str">
            <v xml:space="preserve">      N.M.</v>
          </cell>
          <cell r="CQ76">
            <v>0</v>
          </cell>
          <cell r="CR76" t="e">
            <v>#DIV/0!</v>
          </cell>
        </row>
        <row r="77">
          <cell r="BO77">
            <v>125.17400000000001</v>
          </cell>
          <cell r="BP77">
            <v>0.54381421048087719</v>
          </cell>
          <cell r="BQ77">
            <v>133.82300000000001</v>
          </cell>
          <cell r="BR77">
            <v>0.4295801730584341</v>
          </cell>
          <cell r="BS77">
            <v>150.19800000000004</v>
          </cell>
          <cell r="BT77">
            <v>0.472197445674015</v>
          </cell>
          <cell r="BU77">
            <v>160.5920000000001</v>
          </cell>
          <cell r="BV77">
            <v>0.39320539959052003</v>
          </cell>
          <cell r="BW77">
            <v>569.78700000000015</v>
          </cell>
          <cell r="BX77">
            <v>0.4536050124750628</v>
          </cell>
          <cell r="BY77">
            <v>159.107</v>
          </cell>
          <cell r="BZ77">
            <v>0.27108664738683741</v>
          </cell>
          <cell r="CA77">
            <v>172.14599999999999</v>
          </cell>
          <cell r="CB77">
            <v>0.28637080322515551</v>
          </cell>
          <cell r="CC77">
            <v>197.13900000000004</v>
          </cell>
          <cell r="CD77">
            <v>0.31252746374785279</v>
          </cell>
          <cell r="CE77">
            <v>194.18900000000005</v>
          </cell>
          <cell r="CF77">
            <v>0.2092071834213407</v>
          </cell>
          <cell r="CG77">
            <v>722.58100000000013</v>
          </cell>
          <cell r="CH77">
            <v>0.26815985622697602</v>
          </cell>
          <cell r="CI77">
            <v>212</v>
          </cell>
          <cell r="CJ77">
            <v>0.33243666212045975</v>
          </cell>
          <cell r="CK77">
            <v>225.5</v>
          </cell>
          <cell r="CL77">
            <v>0.30993459040581839</v>
          </cell>
          <cell r="CM77">
            <v>243.5</v>
          </cell>
          <cell r="CN77">
            <v>0.23516909388806861</v>
          </cell>
          <cell r="CO77">
            <v>261.5</v>
          </cell>
          <cell r="CP77">
            <v>0.34662622496639828</v>
          </cell>
          <cell r="CQ77">
            <v>942.5</v>
          </cell>
          <cell r="CR77">
            <v>0.30435203804140976</v>
          </cell>
        </row>
        <row r="78">
          <cell r="BY78">
            <v>0.56000000000000005</v>
          </cell>
          <cell r="BZ78" t="e">
            <v>#DIV/0!</v>
          </cell>
          <cell r="CA78">
            <v>0.56000000000000005</v>
          </cell>
          <cell r="CB78" t="e">
            <v>#DIV/0!</v>
          </cell>
          <cell r="CC78">
            <v>0.6</v>
          </cell>
          <cell r="CD78" t="e">
            <v>#DIV/0!</v>
          </cell>
          <cell r="CE78">
            <v>0.67</v>
          </cell>
          <cell r="CF78" t="e">
            <v>#DIV/0!</v>
          </cell>
          <cell r="CG78">
            <v>0.60047483949896274</v>
          </cell>
          <cell r="CH78" t="e">
            <v>#DIV/0!</v>
          </cell>
          <cell r="CI78">
            <v>0.67</v>
          </cell>
          <cell r="CJ78">
            <v>0.59416529217983594</v>
          </cell>
          <cell r="CK78">
            <v>0.65</v>
          </cell>
          <cell r="CL78">
            <v>0.52045979243532514</v>
          </cell>
          <cell r="CM78">
            <v>0.67</v>
          </cell>
          <cell r="CN78">
            <v>0.37927215484167687</v>
          </cell>
          <cell r="CO78">
            <v>0.67</v>
          </cell>
          <cell r="CP78">
            <v>0.34662622496639828</v>
          </cell>
          <cell r="CQ78">
            <v>0.66521485411140591</v>
          </cell>
          <cell r="CR78">
            <v>0.44498036157455023</v>
          </cell>
        </row>
        <row r="79">
          <cell r="BY79">
            <v>0.1</v>
          </cell>
          <cell r="BZ79" t="e">
            <v>#DIV/0!</v>
          </cell>
          <cell r="CA79">
            <v>0.1</v>
          </cell>
          <cell r="CB79" t="e">
            <v>#DIV/0!</v>
          </cell>
          <cell r="CC79">
            <v>0.13</v>
          </cell>
          <cell r="CD79" t="e">
            <v>#DIV/0!</v>
          </cell>
          <cell r="CE79">
            <v>0.12</v>
          </cell>
          <cell r="CF79" t="e">
            <v>#DIV/0!</v>
          </cell>
          <cell r="CG79">
            <v>0.11355965628766879</v>
          </cell>
          <cell r="CH79" t="e">
            <v>#DIV/0!</v>
          </cell>
          <cell r="CI79">
            <v>0.12</v>
          </cell>
          <cell r="CJ79">
            <v>0.5989239945445517</v>
          </cell>
          <cell r="CK79">
            <v>0.12</v>
          </cell>
          <cell r="CL79">
            <v>0.57192150848698176</v>
          </cell>
          <cell r="CM79">
            <v>0.12</v>
          </cell>
          <cell r="CN79">
            <v>0.14015608666590951</v>
          </cell>
          <cell r="CO79">
            <v>0.12</v>
          </cell>
          <cell r="CP79">
            <v>0.34662622496639828</v>
          </cell>
          <cell r="CQ79">
            <v>0.12</v>
          </cell>
          <cell r="CR79">
            <v>0.37832615632850941</v>
          </cell>
        </row>
        <row r="80">
          <cell r="BY80">
            <v>0.66</v>
          </cell>
          <cell r="CA80">
            <v>0.66</v>
          </cell>
          <cell r="CC80">
            <v>0.73</v>
          </cell>
          <cell r="CE80">
            <v>0.79</v>
          </cell>
          <cell r="CG80">
            <v>0.71403449578663158</v>
          </cell>
          <cell r="CI80">
            <v>0.79</v>
          </cell>
          <cell r="CK80">
            <v>0.77</v>
          </cell>
          <cell r="CM80">
            <v>0.79</v>
          </cell>
          <cell r="CO80">
            <v>0.79</v>
          </cell>
          <cell r="CQ80">
            <v>0.7852148541114059</v>
          </cell>
        </row>
        <row r="83">
          <cell r="BO83">
            <v>0.53928339751066512</v>
          </cell>
          <cell r="BQ83">
            <v>0.5611927695538137</v>
          </cell>
          <cell r="BS83">
            <v>0.51182465811795097</v>
          </cell>
          <cell r="BU83">
            <v>0.54034833615622213</v>
          </cell>
          <cell r="BW83">
            <v>0.53749106244965239</v>
          </cell>
          <cell r="BY83">
            <v>0.52</v>
          </cell>
          <cell r="CA83">
            <v>0.52400000000000002</v>
          </cell>
          <cell r="CC83">
            <v>0.53999999999999992</v>
          </cell>
          <cell r="CE83">
            <v>0.55000000000000004</v>
          </cell>
          <cell r="CG83">
            <v>0.53447178101832193</v>
          </cell>
          <cell r="CI83">
            <v>0.57000000000000006</v>
          </cell>
          <cell r="CK83">
            <v>0.56499999999999995</v>
          </cell>
          <cell r="CM83">
            <v>0.57000000000000006</v>
          </cell>
          <cell r="CO83">
            <v>0.57499999999999996</v>
          </cell>
          <cell r="CQ83">
            <v>0.57019098143236069</v>
          </cell>
        </row>
        <row r="84">
          <cell r="BO84">
            <v>0.1857314618051672</v>
          </cell>
          <cell r="BQ84">
            <v>0.21542821488085007</v>
          </cell>
          <cell r="BS84">
            <v>0.2482831995099801</v>
          </cell>
          <cell r="BU84">
            <v>0.25441479027597874</v>
          </cell>
          <cell r="BW84">
            <v>0.22855316109353138</v>
          </cell>
          <cell r="BY84">
            <v>0.28999999999999998</v>
          </cell>
          <cell r="CA84">
            <v>0.29299999999999998</v>
          </cell>
          <cell r="CC84">
            <v>0.27999999999999997</v>
          </cell>
          <cell r="CE84">
            <v>0.28999999999999998</v>
          </cell>
          <cell r="CG84">
            <v>0.28798645134593903</v>
          </cell>
          <cell r="CI84">
            <v>0.28999999999999998</v>
          </cell>
          <cell r="CK84">
            <v>0.28999999999999998</v>
          </cell>
          <cell r="CM84">
            <v>0.28499999999999998</v>
          </cell>
          <cell r="CO84">
            <v>0.28000000000000003</v>
          </cell>
          <cell r="CQ84">
            <v>0.28593368700265254</v>
          </cell>
        </row>
        <row r="85">
          <cell r="BO85">
            <v>0.1698838416923642</v>
          </cell>
          <cell r="BQ85">
            <v>0.11236484012464225</v>
          </cell>
          <cell r="BS85">
            <v>0.14406503415491548</v>
          </cell>
          <cell r="BU85">
            <v>0.11152672611338042</v>
          </cell>
          <cell r="BW85">
            <v>0.13312100837681445</v>
          </cell>
          <cell r="BY85">
            <v>0.12</v>
          </cell>
          <cell r="CA85">
            <v>0.123</v>
          </cell>
          <cell r="CC85">
            <v>0.12999999999999998</v>
          </cell>
          <cell r="CE85">
            <v>0.09</v>
          </cell>
          <cell r="CG85">
            <v>0.11538066735770798</v>
          </cell>
          <cell r="CI85">
            <v>0.08</v>
          </cell>
          <cell r="CK85">
            <v>8.5000000000000006E-2</v>
          </cell>
          <cell r="CM85">
            <v>0.09</v>
          </cell>
          <cell r="CO85">
            <v>0.09</v>
          </cell>
          <cell r="CQ85">
            <v>8.6554376657824936E-2</v>
          </cell>
        </row>
        <row r="86">
          <cell r="BO86">
            <v>0.10510129899180341</v>
          </cell>
          <cell r="BQ86">
            <v>0.11101417544069404</v>
          </cell>
          <cell r="BS86">
            <v>9.5827108217153331E-2</v>
          </cell>
          <cell r="BU86">
            <v>9.3710147454418594E-2</v>
          </cell>
          <cell r="BW86">
            <v>0.1008347680800018</v>
          </cell>
          <cell r="BY86">
            <v>7.0000000000000007E-2</v>
          </cell>
          <cell r="CA86">
            <v>0.06</v>
          </cell>
          <cell r="CC86">
            <v>4.9999999999999996E-2</v>
          </cell>
          <cell r="CE86">
            <v>7.0000000000000007E-2</v>
          </cell>
          <cell r="CG86">
            <v>6.2161100278031109E-2</v>
          </cell>
          <cell r="CI86">
            <v>0.06</v>
          </cell>
          <cell r="CK86">
            <v>0.06</v>
          </cell>
          <cell r="CM86">
            <v>5.5E-2</v>
          </cell>
          <cell r="CO86">
            <v>5.5E-2</v>
          </cell>
          <cell r="CQ86">
            <v>5.7320954907161804E-2</v>
          </cell>
        </row>
        <row r="87">
          <cell r="BO87">
            <v>0</v>
          </cell>
          <cell r="BQ87">
            <v>0</v>
          </cell>
          <cell r="BS87">
            <v>0</v>
          </cell>
          <cell r="BU87">
            <v>0</v>
          </cell>
          <cell r="BW87">
            <v>0</v>
          </cell>
          <cell r="BY87">
            <v>0</v>
          </cell>
          <cell r="CA87">
            <v>0</v>
          </cell>
          <cell r="CC87">
            <v>0</v>
          </cell>
          <cell r="CE87">
            <v>0</v>
          </cell>
          <cell r="CG87">
            <v>0</v>
          </cell>
          <cell r="CI87">
            <v>0</v>
          </cell>
          <cell r="CK87">
            <v>0</v>
          </cell>
          <cell r="CM87">
            <v>0</v>
          </cell>
          <cell r="CO87">
            <v>0</v>
          </cell>
          <cell r="CQ87">
            <v>0</v>
          </cell>
        </row>
        <row r="88">
          <cell r="BO88">
            <v>0</v>
          </cell>
          <cell r="BQ88">
            <v>5.3095711182689073E-17</v>
          </cell>
          <cell r="BS88">
            <v>0</v>
          </cell>
          <cell r="BU88">
            <v>0</v>
          </cell>
          <cell r="BW88">
            <v>1.2470321993308023E-17</v>
          </cell>
          <cell r="BY88">
            <v>0</v>
          </cell>
          <cell r="CA88">
            <v>0</v>
          </cell>
          <cell r="CC88">
            <v>0</v>
          </cell>
          <cell r="CE88">
            <v>0</v>
          </cell>
          <cell r="CG88">
            <v>0</v>
          </cell>
          <cell r="CI88">
            <v>0</v>
          </cell>
          <cell r="CK88">
            <v>0</v>
          </cell>
          <cell r="CM88">
            <v>0</v>
          </cell>
          <cell r="CO88">
            <v>0</v>
          </cell>
          <cell r="CQ88">
            <v>0</v>
          </cell>
        </row>
        <row r="89">
          <cell r="BO89">
            <v>1</v>
          </cell>
          <cell r="BQ89">
            <v>1</v>
          </cell>
          <cell r="BS89">
            <v>1</v>
          </cell>
          <cell r="BU89">
            <v>1</v>
          </cell>
          <cell r="BW89">
            <v>1</v>
          </cell>
          <cell r="BY89">
            <v>1</v>
          </cell>
          <cell r="CA89">
            <v>1</v>
          </cell>
          <cell r="CC89">
            <v>1</v>
          </cell>
          <cell r="CE89">
            <v>1</v>
          </cell>
          <cell r="CG89">
            <v>1</v>
          </cell>
          <cell r="CI89">
            <v>1</v>
          </cell>
          <cell r="CK89">
            <v>1</v>
          </cell>
          <cell r="CM89">
            <v>1</v>
          </cell>
          <cell r="CO89">
            <v>1</v>
          </cell>
          <cell r="CQ89">
            <v>1</v>
          </cell>
        </row>
        <row r="91">
          <cell r="BO91">
            <v>0</v>
          </cell>
          <cell r="BP91" t="str">
            <v xml:space="preserve">      N.M.</v>
          </cell>
          <cell r="BQ91">
            <v>0</v>
          </cell>
          <cell r="BR91" t="str">
            <v xml:space="preserve">      N.M.</v>
          </cell>
          <cell r="BS91">
            <v>0</v>
          </cell>
          <cell r="BT91" t="str">
            <v xml:space="preserve">      N.M.</v>
          </cell>
          <cell r="BU91">
            <v>0</v>
          </cell>
          <cell r="BV91" t="str">
            <v xml:space="preserve">      N.M.</v>
          </cell>
          <cell r="BW91">
            <v>0</v>
          </cell>
          <cell r="BX91" t="e">
            <v>#DIV/0!</v>
          </cell>
          <cell r="BY91">
            <v>0</v>
          </cell>
          <cell r="BZ91" t="str">
            <v xml:space="preserve">      N.M.</v>
          </cell>
          <cell r="CA91">
            <v>0</v>
          </cell>
          <cell r="CB91" t="str">
            <v xml:space="preserve">      N.M.</v>
          </cell>
          <cell r="CC91">
            <v>0</v>
          </cell>
          <cell r="CD91" t="str">
            <v xml:space="preserve">      N.M.</v>
          </cell>
          <cell r="CE91">
            <v>0</v>
          </cell>
          <cell r="CF91" t="str">
            <v xml:space="preserve">      N.M.</v>
          </cell>
          <cell r="CG91">
            <v>0</v>
          </cell>
          <cell r="CH91" t="e">
            <v>#DIV/0!</v>
          </cell>
          <cell r="CI91">
            <v>0</v>
          </cell>
          <cell r="CJ91" t="str">
            <v xml:space="preserve">      N.M.</v>
          </cell>
          <cell r="CK91">
            <v>0</v>
          </cell>
          <cell r="CL91" t="str">
            <v xml:space="preserve">      N.M.</v>
          </cell>
          <cell r="CM91">
            <v>0</v>
          </cell>
          <cell r="CN91" t="str">
            <v xml:space="preserve">      N.M.</v>
          </cell>
          <cell r="CO91">
            <v>0</v>
          </cell>
          <cell r="CP91" t="str">
            <v xml:space="preserve">      N.M.</v>
          </cell>
          <cell r="CQ91">
            <v>0</v>
          </cell>
          <cell r="CR91" t="e">
            <v>#DIV/0!</v>
          </cell>
        </row>
        <row r="93">
          <cell r="BO93" t="str">
            <v>1997R</v>
          </cell>
          <cell r="BW93" t="str">
            <v>1997R</v>
          </cell>
          <cell r="BY93" t="str">
            <v>1998A</v>
          </cell>
          <cell r="CG93" t="str">
            <v>1998A</v>
          </cell>
          <cell r="CI93" t="str">
            <v>1999E</v>
          </cell>
          <cell r="CQ93" t="str">
            <v>1999E</v>
          </cell>
        </row>
        <row r="94">
          <cell r="BO94" t="str">
            <v>1QR</v>
          </cell>
          <cell r="BQ94" t="str">
            <v>2QR</v>
          </cell>
          <cell r="BS94" t="str">
            <v>3QR</v>
          </cell>
          <cell r="BU94" t="str">
            <v>4QR</v>
          </cell>
          <cell r="BW94" t="str">
            <v xml:space="preserve">    Year</v>
          </cell>
          <cell r="BY94" t="str">
            <v>1QA</v>
          </cell>
          <cell r="CA94" t="str">
            <v xml:space="preserve">  2QA</v>
          </cell>
          <cell r="CC94" t="str">
            <v xml:space="preserve">  3QA</v>
          </cell>
          <cell r="CE94" t="str">
            <v xml:space="preserve">  4QA</v>
          </cell>
          <cell r="CG94" t="str">
            <v xml:space="preserve">    Year</v>
          </cell>
          <cell r="CI94" t="str">
            <v xml:space="preserve">   1QE</v>
          </cell>
          <cell r="CK94" t="str">
            <v xml:space="preserve">  2QE</v>
          </cell>
          <cell r="CM94" t="str">
            <v xml:space="preserve">  3QE</v>
          </cell>
          <cell r="CO94" t="str">
            <v xml:space="preserve">  4QE</v>
          </cell>
          <cell r="CQ94" t="str">
            <v xml:space="preserve">    Year</v>
          </cell>
        </row>
        <row r="95">
          <cell r="BO95">
            <v>125.17400000000001</v>
          </cell>
          <cell r="BQ95">
            <v>133.82300000000001</v>
          </cell>
          <cell r="BS95">
            <v>150.19800000000001</v>
          </cell>
          <cell r="BU95">
            <v>160.59200000000007</v>
          </cell>
          <cell r="BW95">
            <v>569.78700000000015</v>
          </cell>
          <cell r="BY95">
            <v>159.107</v>
          </cell>
          <cell r="CA95">
            <v>172.14599999999999</v>
          </cell>
          <cell r="CC95">
            <v>197.13900000000001</v>
          </cell>
          <cell r="CE95">
            <v>194.18900000000005</v>
          </cell>
          <cell r="CG95">
            <v>722.58100000000013</v>
          </cell>
          <cell r="CI95">
            <v>212</v>
          </cell>
          <cell r="CK95">
            <v>225.5</v>
          </cell>
          <cell r="CM95">
            <v>243.5</v>
          </cell>
          <cell r="CO95">
            <v>261.5</v>
          </cell>
          <cell r="CQ95">
            <v>942.5</v>
          </cell>
        </row>
        <row r="96">
          <cell r="BO96">
            <v>0.54381421048087719</v>
          </cell>
          <cell r="BQ96">
            <v>0.4295801730584341</v>
          </cell>
          <cell r="BS96">
            <v>0.47219744567401478</v>
          </cell>
          <cell r="BU96">
            <v>0.39320539959051959</v>
          </cell>
          <cell r="BW96">
            <v>0.4536050124750628</v>
          </cell>
          <cell r="BY96">
            <v>0.27108664738683741</v>
          </cell>
          <cell r="CA96">
            <v>0.28637080322515551</v>
          </cell>
          <cell r="CC96">
            <v>0.31252746374785279</v>
          </cell>
          <cell r="CE96">
            <v>0.20920718342134093</v>
          </cell>
          <cell r="CG96">
            <v>0.26815985622697602</v>
          </cell>
          <cell r="CI96">
            <v>0.33243666212045975</v>
          </cell>
          <cell r="CK96">
            <v>0.30993459040581839</v>
          </cell>
          <cell r="CM96">
            <v>0.23516909388806884</v>
          </cell>
          <cell r="CO96">
            <v>0.34662622496639828</v>
          </cell>
          <cell r="CQ96">
            <v>0.30435203804140976</v>
          </cell>
        </row>
        <row r="97">
          <cell r="BO97">
            <v>0</v>
          </cell>
          <cell r="BQ97">
            <v>0</v>
          </cell>
          <cell r="BS97">
            <v>0</v>
          </cell>
          <cell r="BU97">
            <v>0</v>
          </cell>
          <cell r="BW97">
            <v>0</v>
          </cell>
          <cell r="BY97">
            <v>0</v>
          </cell>
          <cell r="CA97">
            <v>2.2417671102874692E-2</v>
          </cell>
          <cell r="CC97">
            <v>4.9934087005153192E-2</v>
          </cell>
          <cell r="CE97">
            <v>4.358872172960046E-2</v>
          </cell>
          <cell r="CG97">
            <v>3.0713231435606631E-2</v>
          </cell>
          <cell r="CI97">
            <v>4.3995550164354809E-2</v>
          </cell>
          <cell r="CK97">
            <v>2.323609029544689E-2</v>
          </cell>
          <cell r="CM97">
            <v>0</v>
          </cell>
          <cell r="CO97">
            <v>0</v>
          </cell>
          <cell r="CQ97">
            <v>1.5223206810032367E-2</v>
          </cell>
        </row>
        <row r="98">
          <cell r="BO98">
            <v>0</v>
          </cell>
          <cell r="BQ98">
            <v>0</v>
          </cell>
          <cell r="BS98">
            <v>0</v>
          </cell>
          <cell r="BU98">
            <v>0</v>
          </cell>
          <cell r="BW98">
            <v>0</v>
          </cell>
          <cell r="BY98">
            <v>0</v>
          </cell>
          <cell r="CA98">
            <v>0</v>
          </cell>
          <cell r="CC98">
            <v>0</v>
          </cell>
          <cell r="CE98">
            <v>0</v>
          </cell>
          <cell r="CG98">
            <v>0</v>
          </cell>
          <cell r="CI98">
            <v>0</v>
          </cell>
          <cell r="CK98">
            <v>0</v>
          </cell>
          <cell r="CM98">
            <v>0</v>
          </cell>
          <cell r="CO98">
            <v>0</v>
          </cell>
          <cell r="CQ98">
            <v>0</v>
          </cell>
        </row>
        <row r="99">
          <cell r="BO99">
            <v>0.54381421048087719</v>
          </cell>
          <cell r="BQ99">
            <v>0.4295801730584341</v>
          </cell>
          <cell r="BS99">
            <v>0.47219744567401478</v>
          </cell>
          <cell r="BU99">
            <v>0.39320539959051959</v>
          </cell>
          <cell r="BW99">
            <v>0.4536050124750628</v>
          </cell>
          <cell r="BY99">
            <v>0.27108664738683741</v>
          </cell>
          <cell r="CA99">
            <v>0.26395313212228078</v>
          </cell>
          <cell r="CC99">
            <v>0.26259337674269956</v>
          </cell>
          <cell r="CE99">
            <v>0.16561846169174044</v>
          </cell>
          <cell r="CG99">
            <v>0.23744662479136935</v>
          </cell>
          <cell r="CI99">
            <v>0.288441111956105</v>
          </cell>
          <cell r="CK99">
            <v>0.28669850011037146</v>
          </cell>
          <cell r="CM99">
            <v>0.23516909388806884</v>
          </cell>
          <cell r="CO99">
            <v>0.34662622496639828</v>
          </cell>
          <cell r="CQ99">
            <v>0.28912883123137734</v>
          </cell>
        </row>
        <row r="100">
          <cell r="BO100">
            <v>125.17400000000001</v>
          </cell>
          <cell r="BQ100">
            <v>133.82300000000001</v>
          </cell>
          <cell r="BS100">
            <v>150.19800000000001</v>
          </cell>
          <cell r="BU100">
            <v>160.59200000000007</v>
          </cell>
          <cell r="BW100">
            <v>569.78700000000015</v>
          </cell>
          <cell r="BY100">
            <v>159.107</v>
          </cell>
          <cell r="CA100">
            <v>172.14599999999999</v>
          </cell>
          <cell r="CC100">
            <v>197.13900000000001</v>
          </cell>
          <cell r="CE100">
            <v>194.18900000000005</v>
          </cell>
          <cell r="CG100">
            <v>722.58100000000013</v>
          </cell>
          <cell r="CI100">
            <v>212</v>
          </cell>
          <cell r="CK100">
            <v>225.5</v>
          </cell>
          <cell r="CM100">
            <v>243.5</v>
          </cell>
          <cell r="CO100">
            <v>261.5</v>
          </cell>
          <cell r="CQ100">
            <v>942.5</v>
          </cell>
        </row>
        <row r="101">
          <cell r="BO101">
            <v>0.47695927915348213</v>
          </cell>
          <cell r="BQ101">
            <v>0.46066272803865094</v>
          </cell>
          <cell r="BS101">
            <v>0.44570546675454459</v>
          </cell>
          <cell r="BU101">
            <v>0.42048423412166869</v>
          </cell>
          <cell r="BW101">
            <v>0.44800196016144145</v>
          </cell>
          <cell r="BY101">
            <v>0.4074504289338573</v>
          </cell>
          <cell r="CA101">
            <v>0.34676665259035744</v>
          </cell>
          <cell r="CC101">
            <v>0.36739541120835717</v>
          </cell>
          <cell r="CE101">
            <v>0.27941193064113001</v>
          </cell>
          <cell r="CG101">
            <v>0.34552581863321608</v>
          </cell>
          <cell r="CI101">
            <v>0.27976387967147121</v>
          </cell>
          <cell r="CK101">
            <v>0.27532581611632612</v>
          </cell>
          <cell r="CM101">
            <v>0.2488812353153842</v>
          </cell>
          <cell r="CO101">
            <v>0.25612234332906936</v>
          </cell>
          <cell r="CQ101">
            <v>0.26328772801137335</v>
          </cell>
        </row>
        <row r="102">
          <cell r="BO102">
            <v>0</v>
          </cell>
          <cell r="BQ102">
            <v>0</v>
          </cell>
          <cell r="BS102">
            <v>0</v>
          </cell>
          <cell r="BU102">
            <v>0</v>
          </cell>
          <cell r="BW102">
            <v>0</v>
          </cell>
          <cell r="BY102">
            <v>0</v>
          </cell>
          <cell r="CA102">
            <v>3</v>
          </cell>
          <cell r="CC102">
            <v>7.5</v>
          </cell>
          <cell r="CE102">
            <v>7</v>
          </cell>
          <cell r="CG102">
            <v>17.5</v>
          </cell>
          <cell r="CI102">
            <v>7</v>
          </cell>
          <cell r="CK102">
            <v>4</v>
          </cell>
          <cell r="CM102">
            <v>0</v>
          </cell>
          <cell r="CO102">
            <v>0</v>
          </cell>
          <cell r="CQ102">
            <v>11</v>
          </cell>
        </row>
        <row r="103">
          <cell r="BO103">
            <v>0</v>
          </cell>
          <cell r="BQ103">
            <v>0</v>
          </cell>
          <cell r="BS103">
            <v>0</v>
          </cell>
          <cell r="BU103">
            <v>0</v>
          </cell>
          <cell r="BW103">
            <v>0</v>
          </cell>
          <cell r="BY103">
            <v>0</v>
          </cell>
          <cell r="CA103">
            <v>0</v>
          </cell>
          <cell r="CC103">
            <v>0</v>
          </cell>
          <cell r="CE103">
            <v>0</v>
          </cell>
          <cell r="CG103">
            <v>0</v>
          </cell>
          <cell r="CI103">
            <v>0</v>
          </cell>
          <cell r="CK103">
            <v>0</v>
          </cell>
          <cell r="CM103">
            <v>0</v>
          </cell>
          <cell r="CO103">
            <v>0</v>
          </cell>
          <cell r="CQ103">
            <v>0</v>
          </cell>
        </row>
        <row r="104">
          <cell r="BO104">
            <v>81.081000000000003</v>
          </cell>
          <cell r="BQ104">
            <v>93.61</v>
          </cell>
          <cell r="BS104">
            <v>102.023</v>
          </cell>
          <cell r="BU104">
            <v>115.26800000000004</v>
          </cell>
          <cell r="BW104">
            <v>391.98200000000003</v>
          </cell>
          <cell r="BY104">
            <v>125.17400000000001</v>
          </cell>
          <cell r="CA104">
            <v>133.82300000000001</v>
          </cell>
          <cell r="CC104">
            <v>150.19800000000001</v>
          </cell>
          <cell r="CE104">
            <v>160.59200000000007</v>
          </cell>
          <cell r="CG104">
            <v>569.78700000000015</v>
          </cell>
          <cell r="CI104">
            <v>159.107</v>
          </cell>
          <cell r="CK104">
            <v>172.14599999999999</v>
          </cell>
          <cell r="CM104">
            <v>197.13900000000001</v>
          </cell>
          <cell r="CO104">
            <v>194.18900000000005</v>
          </cell>
          <cell r="CQ104">
            <v>722.58100000000013</v>
          </cell>
        </row>
        <row r="107">
          <cell r="BO107">
            <v>0</v>
          </cell>
          <cell r="BQ107">
            <v>0</v>
          </cell>
          <cell r="BS107">
            <v>0</v>
          </cell>
          <cell r="BU107">
            <v>0</v>
          </cell>
          <cell r="BW107">
            <v>0</v>
          </cell>
          <cell r="BY107">
            <v>0</v>
          </cell>
          <cell r="CA107">
            <v>0</v>
          </cell>
          <cell r="CC107">
            <v>0</v>
          </cell>
          <cell r="CE107">
            <v>0</v>
          </cell>
          <cell r="CG107">
            <v>0</v>
          </cell>
          <cell r="CI107">
            <v>0</v>
          </cell>
          <cell r="CK107">
            <v>0</v>
          </cell>
          <cell r="CM107">
            <v>0</v>
          </cell>
          <cell r="CO107">
            <v>0</v>
          </cell>
          <cell r="CQ107">
            <v>0</v>
          </cell>
        </row>
        <row r="108">
          <cell r="BO108">
            <v>0</v>
          </cell>
          <cell r="BQ108">
            <v>0</v>
          </cell>
          <cell r="BS108">
            <v>0</v>
          </cell>
          <cell r="BU108">
            <v>0</v>
          </cell>
          <cell r="BW108">
            <v>0</v>
          </cell>
          <cell r="BY108">
            <v>0</v>
          </cell>
          <cell r="CA108">
            <v>0</v>
          </cell>
          <cell r="CC108">
            <v>0</v>
          </cell>
          <cell r="CE108">
            <v>0</v>
          </cell>
          <cell r="CG108">
            <v>0</v>
          </cell>
          <cell r="CI108">
            <v>0</v>
          </cell>
          <cell r="CK108">
            <v>0</v>
          </cell>
          <cell r="CM108">
            <v>0</v>
          </cell>
          <cell r="CO108">
            <v>0</v>
          </cell>
          <cell r="CQ108">
            <v>0</v>
          </cell>
        </row>
        <row r="109">
          <cell r="BO109">
            <v>0</v>
          </cell>
          <cell r="BQ109">
            <v>0</v>
          </cell>
          <cell r="BS109">
            <v>0</v>
          </cell>
          <cell r="BU109">
            <v>0</v>
          </cell>
          <cell r="BW109">
            <v>0</v>
          </cell>
          <cell r="BY109">
            <v>0</v>
          </cell>
          <cell r="CA109">
            <v>0</v>
          </cell>
          <cell r="CC109">
            <v>0</v>
          </cell>
          <cell r="CE109">
            <v>0</v>
          </cell>
          <cell r="CG109">
            <v>0</v>
          </cell>
          <cell r="CI109">
            <v>0</v>
          </cell>
          <cell r="CK109">
            <v>0</v>
          </cell>
          <cell r="CM109">
            <v>0</v>
          </cell>
          <cell r="CO109">
            <v>0</v>
          </cell>
          <cell r="CQ109">
            <v>0</v>
          </cell>
        </row>
        <row r="110">
          <cell r="BO110">
            <v>0</v>
          </cell>
          <cell r="BQ110">
            <v>0</v>
          </cell>
          <cell r="BS110">
            <v>0</v>
          </cell>
          <cell r="BU110">
            <v>0</v>
          </cell>
          <cell r="BW110">
            <v>0</v>
          </cell>
          <cell r="BY110">
            <v>0</v>
          </cell>
          <cell r="CA110">
            <v>0</v>
          </cell>
          <cell r="CC110">
            <v>0</v>
          </cell>
          <cell r="CE110">
            <v>0</v>
          </cell>
          <cell r="CG110">
            <v>0</v>
          </cell>
          <cell r="CI110">
            <v>0</v>
          </cell>
          <cell r="CK110">
            <v>0</v>
          </cell>
          <cell r="CM110">
            <v>0</v>
          </cell>
          <cell r="CO110">
            <v>0</v>
          </cell>
          <cell r="CQ110">
            <v>0</v>
          </cell>
        </row>
        <row r="111">
          <cell r="BO111">
            <v>0</v>
          </cell>
          <cell r="BQ111">
            <v>0</v>
          </cell>
          <cell r="BS111">
            <v>0</v>
          </cell>
          <cell r="BU111">
            <v>0</v>
          </cell>
          <cell r="BW111">
            <v>0</v>
          </cell>
          <cell r="BY111">
            <v>0</v>
          </cell>
          <cell r="CA111">
            <v>0</v>
          </cell>
          <cell r="CC111">
            <v>0</v>
          </cell>
          <cell r="CE111">
            <v>0</v>
          </cell>
          <cell r="CG111">
            <v>0</v>
          </cell>
          <cell r="CI111">
            <v>0</v>
          </cell>
          <cell r="CK111">
            <v>0</v>
          </cell>
          <cell r="CM111">
            <v>0</v>
          </cell>
          <cell r="CO111">
            <v>0</v>
          </cell>
          <cell r="CQ111">
            <v>0</v>
          </cell>
        </row>
        <row r="112">
          <cell r="BO112">
            <v>0</v>
          </cell>
          <cell r="BQ112">
            <v>0</v>
          </cell>
          <cell r="BS112">
            <v>0</v>
          </cell>
          <cell r="BU112">
            <v>0</v>
          </cell>
          <cell r="BW112">
            <v>0</v>
          </cell>
          <cell r="BY112">
            <v>0</v>
          </cell>
          <cell r="CA112">
            <v>0</v>
          </cell>
          <cell r="CC112">
            <v>0</v>
          </cell>
          <cell r="CE112">
            <v>0</v>
          </cell>
          <cell r="CG112">
            <v>0</v>
          </cell>
          <cell r="CI112">
            <v>0</v>
          </cell>
          <cell r="CK112">
            <v>0</v>
          </cell>
          <cell r="CM112">
            <v>0</v>
          </cell>
          <cell r="CO112">
            <v>0</v>
          </cell>
          <cell r="CQ112">
            <v>0</v>
          </cell>
        </row>
        <row r="113">
          <cell r="BO113">
            <v>0</v>
          </cell>
          <cell r="BQ113">
            <v>0</v>
          </cell>
          <cell r="BS113">
            <v>0</v>
          </cell>
          <cell r="BU113">
            <v>0</v>
          </cell>
          <cell r="BW113">
            <v>0</v>
          </cell>
          <cell r="BY113">
            <v>0</v>
          </cell>
          <cell r="CA113">
            <v>0</v>
          </cell>
          <cell r="CC113">
            <v>0</v>
          </cell>
          <cell r="CE113">
            <v>0</v>
          </cell>
          <cell r="CG113">
            <v>0</v>
          </cell>
          <cell r="CI113">
            <v>0</v>
          </cell>
          <cell r="CK113">
            <v>0</v>
          </cell>
          <cell r="CM113">
            <v>0</v>
          </cell>
          <cell r="CO113">
            <v>0</v>
          </cell>
          <cell r="CQ113">
            <v>0</v>
          </cell>
        </row>
        <row r="114">
          <cell r="BO114">
            <v>0</v>
          </cell>
          <cell r="BQ114">
            <v>0</v>
          </cell>
          <cell r="BS114">
            <v>0</v>
          </cell>
          <cell r="BU114">
            <v>0</v>
          </cell>
          <cell r="BW114">
            <v>0</v>
          </cell>
          <cell r="BY114">
            <v>0</v>
          </cell>
          <cell r="CA114">
            <v>0</v>
          </cell>
          <cell r="CC114">
            <v>0</v>
          </cell>
          <cell r="CE114">
            <v>0</v>
          </cell>
          <cell r="CG114">
            <v>0</v>
          </cell>
          <cell r="CI114">
            <v>0</v>
          </cell>
          <cell r="CK114">
            <v>0</v>
          </cell>
          <cell r="CM114">
            <v>0</v>
          </cell>
          <cell r="CO114">
            <v>0</v>
          </cell>
          <cell r="CQ114">
            <v>0</v>
          </cell>
        </row>
        <row r="115">
          <cell r="BO115">
            <v>0</v>
          </cell>
          <cell r="BQ115">
            <v>0</v>
          </cell>
          <cell r="BS115">
            <v>0</v>
          </cell>
          <cell r="BU115">
            <v>0</v>
          </cell>
          <cell r="BW115">
            <v>0</v>
          </cell>
          <cell r="BY115">
            <v>0</v>
          </cell>
          <cell r="CA115">
            <v>3</v>
          </cell>
          <cell r="CC115">
            <v>7.5</v>
          </cell>
          <cell r="CE115">
            <v>7</v>
          </cell>
          <cell r="CG115">
            <v>17.5</v>
          </cell>
          <cell r="CI115">
            <v>7</v>
          </cell>
          <cell r="CK115">
            <v>4</v>
          </cell>
          <cell r="CM115">
            <v>0</v>
          </cell>
          <cell r="CO115">
            <v>0</v>
          </cell>
          <cell r="CQ115">
            <v>11</v>
          </cell>
        </row>
        <row r="116">
          <cell r="BO116">
            <v>0</v>
          </cell>
          <cell r="BQ116">
            <v>0</v>
          </cell>
          <cell r="BS116">
            <v>0</v>
          </cell>
          <cell r="BU116">
            <v>0</v>
          </cell>
          <cell r="BW116">
            <v>0</v>
          </cell>
          <cell r="BY116">
            <v>0</v>
          </cell>
          <cell r="CA116">
            <v>0</v>
          </cell>
          <cell r="CC116">
            <v>0</v>
          </cell>
          <cell r="CE116">
            <v>0</v>
          </cell>
          <cell r="CG116">
            <v>0</v>
          </cell>
          <cell r="CI116">
            <v>0</v>
          </cell>
          <cell r="CK116">
            <v>0</v>
          </cell>
          <cell r="CM116">
            <v>0</v>
          </cell>
          <cell r="CO116">
            <v>0</v>
          </cell>
          <cell r="CQ116">
            <v>0</v>
          </cell>
        </row>
        <row r="117">
          <cell r="BO117">
            <v>0</v>
          </cell>
          <cell r="BQ117">
            <v>0</v>
          </cell>
          <cell r="BS117">
            <v>0</v>
          </cell>
          <cell r="BU117">
            <v>0</v>
          </cell>
          <cell r="BW117">
            <v>0</v>
          </cell>
          <cell r="BY117">
            <v>0</v>
          </cell>
          <cell r="CA117">
            <v>0</v>
          </cell>
          <cell r="CC117">
            <v>0</v>
          </cell>
          <cell r="CE117">
            <v>0</v>
          </cell>
          <cell r="CG117">
            <v>0</v>
          </cell>
          <cell r="CI117">
            <v>0</v>
          </cell>
          <cell r="CK117">
            <v>0</v>
          </cell>
          <cell r="CM117">
            <v>0</v>
          </cell>
          <cell r="CO117">
            <v>0</v>
          </cell>
          <cell r="CQ117">
            <v>0</v>
          </cell>
        </row>
        <row r="118">
          <cell r="BO118">
            <v>0</v>
          </cell>
          <cell r="BQ118">
            <v>0</v>
          </cell>
          <cell r="BS118">
            <v>0</v>
          </cell>
          <cell r="BU118">
            <v>0</v>
          </cell>
          <cell r="BW118">
            <v>0</v>
          </cell>
          <cell r="BY118">
            <v>0</v>
          </cell>
          <cell r="CA118">
            <v>0</v>
          </cell>
          <cell r="CC118">
            <v>0</v>
          </cell>
          <cell r="CE118">
            <v>0</v>
          </cell>
          <cell r="CG118">
            <v>0</v>
          </cell>
          <cell r="CI118">
            <v>0</v>
          </cell>
          <cell r="CK118">
            <v>0</v>
          </cell>
          <cell r="CM118">
            <v>0</v>
          </cell>
          <cell r="CO118">
            <v>0</v>
          </cell>
          <cell r="CQ118">
            <v>0</v>
          </cell>
        </row>
        <row r="119">
          <cell r="BO119">
            <v>0</v>
          </cell>
          <cell r="BQ119">
            <v>0</v>
          </cell>
          <cell r="BS119">
            <v>0</v>
          </cell>
          <cell r="BU119">
            <v>0</v>
          </cell>
          <cell r="BW119">
            <v>0</v>
          </cell>
          <cell r="BY119">
            <v>0</v>
          </cell>
          <cell r="CA119">
            <v>0</v>
          </cell>
          <cell r="CC119">
            <v>0</v>
          </cell>
          <cell r="CE119">
            <v>0</v>
          </cell>
          <cell r="CG119">
            <v>0</v>
          </cell>
          <cell r="CI119">
            <v>0</v>
          </cell>
          <cell r="CK119">
            <v>0</v>
          </cell>
          <cell r="CM119">
            <v>0</v>
          </cell>
          <cell r="CO119">
            <v>0</v>
          </cell>
          <cell r="CQ119">
            <v>0</v>
          </cell>
        </row>
        <row r="120">
          <cell r="BO120">
            <v>0</v>
          </cell>
          <cell r="BQ120">
            <v>0</v>
          </cell>
          <cell r="BS120">
            <v>0</v>
          </cell>
          <cell r="BU120">
            <v>0</v>
          </cell>
          <cell r="BW120">
            <v>0</v>
          </cell>
          <cell r="BY120">
            <v>0</v>
          </cell>
          <cell r="CA120">
            <v>3</v>
          </cell>
          <cell r="CC120">
            <v>7.5</v>
          </cell>
          <cell r="CE120">
            <v>7</v>
          </cell>
          <cell r="CG120">
            <v>17.5</v>
          </cell>
          <cell r="CI120">
            <v>7</v>
          </cell>
          <cell r="CK120">
            <v>4</v>
          </cell>
          <cell r="CM120">
            <v>0</v>
          </cell>
          <cell r="CO120">
            <v>0</v>
          </cell>
          <cell r="CQ120">
            <v>11</v>
          </cell>
        </row>
        <row r="128">
          <cell r="P128" t="str">
            <v>Sanmina Corporation</v>
          </cell>
        </row>
        <row r="129">
          <cell r="P129" t="str">
            <v>Full Year Revenue Analysis</v>
          </cell>
        </row>
        <row r="130">
          <cell r="P130" t="str">
            <v>($ In Millions Except Per Share Data)</v>
          </cell>
        </row>
        <row r="132">
          <cell r="L132" t="str">
            <v xml:space="preserve">    1995A</v>
          </cell>
          <cell r="M132" t="str">
            <v xml:space="preserve">   % Chg.</v>
          </cell>
          <cell r="N132" t="str">
            <v xml:space="preserve">    1996A</v>
          </cell>
          <cell r="O132" t="str">
            <v xml:space="preserve">   % Chg.</v>
          </cell>
          <cell r="P132" t="str">
            <v xml:space="preserve">    1997A</v>
          </cell>
          <cell r="Q132" t="str">
            <v xml:space="preserve">   % Chg.</v>
          </cell>
          <cell r="R132" t="str">
            <v xml:space="preserve">    1998A</v>
          </cell>
          <cell r="S132" t="str">
            <v xml:space="preserve">   % Chg.</v>
          </cell>
          <cell r="T132" t="str">
            <v xml:space="preserve">    1999E</v>
          </cell>
          <cell r="U132" t="str">
            <v xml:space="preserve">   % Chg.</v>
          </cell>
          <cell r="V132" t="str">
            <v xml:space="preserve">    2000E</v>
          </cell>
          <cell r="W132" t="str">
            <v xml:space="preserve">   % Chg.</v>
          </cell>
        </row>
        <row r="133">
          <cell r="L133">
            <v>271.75700000000001</v>
          </cell>
          <cell r="M133">
            <v>0.28913925191527712</v>
          </cell>
          <cell r="N133">
            <v>391.98200000000003</v>
          </cell>
          <cell r="O133">
            <v>0.4423989078478201</v>
          </cell>
          <cell r="P133">
            <v>559.78700000000015</v>
          </cell>
          <cell r="Q133">
            <v>0.42809363695271752</v>
          </cell>
          <cell r="R133">
            <v>707.58100000000013</v>
          </cell>
          <cell r="S133">
            <v>0.26401827838088399</v>
          </cell>
          <cell r="T133">
            <v>912.5</v>
          </cell>
          <cell r="U133">
            <v>0.28960500635262942</v>
          </cell>
          <cell r="V133">
            <v>1185</v>
          </cell>
          <cell r="W133">
            <v>0.29863013698630136</v>
          </cell>
        </row>
        <row r="134">
          <cell r="L134">
            <v>0</v>
          </cell>
          <cell r="M134" t="str">
            <v xml:space="preserve">      N.M.</v>
          </cell>
          <cell r="N134">
            <v>0</v>
          </cell>
          <cell r="O134" t="str">
            <v xml:space="preserve">      N.M.</v>
          </cell>
          <cell r="P134">
            <v>10</v>
          </cell>
          <cell r="Q134" t="str">
            <v xml:space="preserve">      N.M.</v>
          </cell>
          <cell r="R134">
            <v>15</v>
          </cell>
          <cell r="S134">
            <v>0.5</v>
          </cell>
          <cell r="T134">
            <v>30</v>
          </cell>
          <cell r="U134">
            <v>1</v>
          </cell>
          <cell r="V134">
            <v>50</v>
          </cell>
          <cell r="W134">
            <v>0.66666666666666674</v>
          </cell>
        </row>
        <row r="135">
          <cell r="L135">
            <v>0</v>
          </cell>
          <cell r="M135" t="str">
            <v xml:space="preserve">      N.M.</v>
          </cell>
          <cell r="N135">
            <v>0</v>
          </cell>
          <cell r="O135" t="str">
            <v xml:space="preserve">      N.M.</v>
          </cell>
          <cell r="P135">
            <v>0</v>
          </cell>
          <cell r="Q135" t="str">
            <v xml:space="preserve">      N.M.</v>
          </cell>
          <cell r="R135">
            <v>0</v>
          </cell>
          <cell r="S135" t="str">
            <v xml:space="preserve">      N.M.</v>
          </cell>
          <cell r="T135">
            <v>0</v>
          </cell>
          <cell r="U135" t="str">
            <v xml:space="preserve">      N.M.</v>
          </cell>
          <cell r="V135">
            <v>0</v>
          </cell>
          <cell r="W135" t="str">
            <v xml:space="preserve">      N.M.</v>
          </cell>
        </row>
        <row r="136">
          <cell r="L136">
            <v>0</v>
          </cell>
          <cell r="M136" t="str">
            <v xml:space="preserve">      N.M.</v>
          </cell>
          <cell r="N136">
            <v>0</v>
          </cell>
          <cell r="O136" t="str">
            <v xml:space="preserve">      N.M.</v>
          </cell>
          <cell r="P136">
            <v>0</v>
          </cell>
          <cell r="Q136" t="str">
            <v xml:space="preserve">      N.M.</v>
          </cell>
          <cell r="R136">
            <v>0</v>
          </cell>
          <cell r="S136" t="str">
            <v xml:space="preserve">      N.M.</v>
          </cell>
          <cell r="T136">
            <v>0</v>
          </cell>
          <cell r="U136" t="str">
            <v xml:space="preserve">      N.M.</v>
          </cell>
          <cell r="V136">
            <v>0</v>
          </cell>
          <cell r="W136" t="str">
            <v xml:space="preserve">      N.M.</v>
          </cell>
        </row>
        <row r="137">
          <cell r="L137">
            <v>0</v>
          </cell>
          <cell r="M137" t="str">
            <v xml:space="preserve">      N.M.</v>
          </cell>
          <cell r="N137">
            <v>0</v>
          </cell>
          <cell r="O137" t="str">
            <v xml:space="preserve">      N.M.</v>
          </cell>
          <cell r="P137">
            <v>0</v>
          </cell>
          <cell r="Q137" t="str">
            <v xml:space="preserve">      N.M.</v>
          </cell>
          <cell r="R137">
            <v>0</v>
          </cell>
          <cell r="S137" t="str">
            <v xml:space="preserve">      N.M.</v>
          </cell>
          <cell r="T137">
            <v>0</v>
          </cell>
          <cell r="U137" t="str">
            <v xml:space="preserve">      N.M.</v>
          </cell>
          <cell r="V137">
            <v>0</v>
          </cell>
          <cell r="W137" t="str">
            <v xml:space="preserve">      N.M.</v>
          </cell>
        </row>
        <row r="138">
          <cell r="L138">
            <v>271.75700000000001</v>
          </cell>
          <cell r="M138">
            <v>0.28913925191527712</v>
          </cell>
          <cell r="N138">
            <v>391.98200000000003</v>
          </cell>
          <cell r="O138">
            <v>0.4423989078478201</v>
          </cell>
          <cell r="P138">
            <v>569.78700000000015</v>
          </cell>
          <cell r="Q138">
            <v>0.4536050124750628</v>
          </cell>
          <cell r="R138">
            <v>722.58100000000013</v>
          </cell>
          <cell r="S138">
            <v>0.26815985622697602</v>
          </cell>
          <cell r="T138">
            <v>942.5</v>
          </cell>
          <cell r="U138">
            <v>0.30435203804140976</v>
          </cell>
          <cell r="V138">
            <v>1235</v>
          </cell>
          <cell r="W138">
            <v>0.31034482758620685</v>
          </cell>
        </row>
        <row r="139">
          <cell r="L139">
            <v>271.75700000000001</v>
          </cell>
          <cell r="M139">
            <v>0.28913925191527712</v>
          </cell>
          <cell r="N139">
            <v>391.98200000000003</v>
          </cell>
          <cell r="O139">
            <v>0.4423989078478201</v>
          </cell>
          <cell r="P139">
            <v>569.78700000000015</v>
          </cell>
          <cell r="Q139">
            <v>0.4536050124750628</v>
          </cell>
          <cell r="R139">
            <v>722.58100000000013</v>
          </cell>
          <cell r="S139">
            <v>0.26815985622697602</v>
          </cell>
          <cell r="T139">
            <v>942.5</v>
          </cell>
          <cell r="U139">
            <v>0.30435203804140976</v>
          </cell>
          <cell r="V139">
            <v>1235</v>
          </cell>
          <cell r="W139">
            <v>0.31034482758620685</v>
          </cell>
        </row>
        <row r="141">
          <cell r="L141">
            <v>31.510000000000012</v>
          </cell>
          <cell r="M141" t="str">
            <v xml:space="preserve">     N.M.</v>
          </cell>
          <cell r="N141">
            <v>53.984000000000052</v>
          </cell>
          <cell r="O141">
            <v>0.71323389400190518</v>
          </cell>
          <cell r="P141">
            <v>57.257000000000133</v>
          </cell>
          <cell r="Q141">
            <v>6.0629075281566358E-2</v>
          </cell>
          <cell r="R141">
            <v>107.41400000000013</v>
          </cell>
          <cell r="S141">
            <v>0.8759976946050243</v>
          </cell>
          <cell r="T141">
            <v>153.37024999999988</v>
          </cell>
          <cell r="U141">
            <v>0.42784227381905238</v>
          </cell>
          <cell r="V141">
            <v>196.72150000000002</v>
          </cell>
          <cell r="W141">
            <v>0.28265749061503231</v>
          </cell>
        </row>
        <row r="142">
          <cell r="L142">
            <v>0</v>
          </cell>
          <cell r="M142" t="str">
            <v xml:space="preserve">      N.M.</v>
          </cell>
          <cell r="N142">
            <v>0</v>
          </cell>
          <cell r="O142" t="str">
            <v xml:space="preserve">      N.M.</v>
          </cell>
          <cell r="P142">
            <v>-0.4</v>
          </cell>
          <cell r="Q142" t="str">
            <v xml:space="preserve">      N.M.</v>
          </cell>
          <cell r="R142">
            <v>-7.4999999999999997E-2</v>
          </cell>
          <cell r="S142">
            <v>-0.8125</v>
          </cell>
          <cell r="T142">
            <v>0.6</v>
          </cell>
          <cell r="U142" t="str">
            <v xml:space="preserve">     N.M.</v>
          </cell>
          <cell r="V142">
            <v>2.5</v>
          </cell>
          <cell r="W142">
            <v>3.166666666666667</v>
          </cell>
        </row>
        <row r="143">
          <cell r="L143">
            <v>0</v>
          </cell>
          <cell r="M143" t="str">
            <v xml:space="preserve">      N.M.</v>
          </cell>
          <cell r="N143">
            <v>0</v>
          </cell>
          <cell r="O143" t="str">
            <v xml:space="preserve">      N.M.</v>
          </cell>
          <cell r="P143">
            <v>0</v>
          </cell>
          <cell r="Q143" t="str">
            <v xml:space="preserve">      N.M.</v>
          </cell>
          <cell r="R143">
            <v>0</v>
          </cell>
          <cell r="S143" t="str">
            <v xml:space="preserve">      N.M.</v>
          </cell>
          <cell r="T143">
            <v>0</v>
          </cell>
          <cell r="U143" t="str">
            <v xml:space="preserve">      N.M.</v>
          </cell>
          <cell r="V143">
            <v>0</v>
          </cell>
          <cell r="W143" t="str">
            <v xml:space="preserve">      N.M.</v>
          </cell>
        </row>
        <row r="144">
          <cell r="L144">
            <v>0</v>
          </cell>
          <cell r="M144" t="str">
            <v xml:space="preserve">      N.M.</v>
          </cell>
          <cell r="N144">
            <v>0</v>
          </cell>
          <cell r="O144" t="str">
            <v xml:space="preserve">      N.M.</v>
          </cell>
          <cell r="P144">
            <v>0</v>
          </cell>
          <cell r="Q144" t="str">
            <v xml:space="preserve">      N.M.</v>
          </cell>
          <cell r="R144">
            <v>0</v>
          </cell>
          <cell r="S144" t="str">
            <v xml:space="preserve">      N.M.</v>
          </cell>
          <cell r="T144">
            <v>0</v>
          </cell>
          <cell r="U144" t="str">
            <v xml:space="preserve">      N.M.</v>
          </cell>
          <cell r="V144">
            <v>0</v>
          </cell>
          <cell r="W144" t="str">
            <v xml:space="preserve">      N.M.</v>
          </cell>
        </row>
        <row r="145">
          <cell r="L145">
            <v>0</v>
          </cell>
          <cell r="M145" t="str">
            <v xml:space="preserve">      N.M.</v>
          </cell>
          <cell r="N145">
            <v>0</v>
          </cell>
          <cell r="O145" t="str">
            <v xml:space="preserve">      N.M.</v>
          </cell>
          <cell r="P145">
            <v>0</v>
          </cell>
          <cell r="Q145" t="str">
            <v xml:space="preserve">      N.M.</v>
          </cell>
          <cell r="R145">
            <v>0</v>
          </cell>
          <cell r="S145" t="str">
            <v xml:space="preserve">      N.M.</v>
          </cell>
          <cell r="T145">
            <v>0</v>
          </cell>
          <cell r="U145" t="str">
            <v xml:space="preserve">      N.M.</v>
          </cell>
          <cell r="V145">
            <v>0</v>
          </cell>
          <cell r="W145" t="str">
            <v xml:space="preserve">      N.M.</v>
          </cell>
        </row>
        <row r="146">
          <cell r="L146">
            <v>31.510000000000012</v>
          </cell>
          <cell r="M146" t="str">
            <v xml:space="preserve">     N.M.</v>
          </cell>
          <cell r="N146">
            <v>53.984000000000052</v>
          </cell>
          <cell r="O146">
            <v>0.71323389400190518</v>
          </cell>
          <cell r="P146">
            <v>56.857000000000134</v>
          </cell>
          <cell r="Q146">
            <v>5.3219472436278892E-2</v>
          </cell>
          <cell r="R146">
            <v>107.33900000000013</v>
          </cell>
          <cell r="S146">
            <v>0.88787660270502977</v>
          </cell>
          <cell r="T146">
            <v>153.97024999999988</v>
          </cell>
          <cell r="U146">
            <v>0.43442970402183456</v>
          </cell>
          <cell r="V146">
            <v>199.22150000000002</v>
          </cell>
          <cell r="W146">
            <v>0.29389606108972455</v>
          </cell>
        </row>
        <row r="147">
          <cell r="L147">
            <v>31.510000000000012</v>
          </cell>
          <cell r="M147" t="str">
            <v xml:space="preserve">     N.M.</v>
          </cell>
          <cell r="N147">
            <v>53.984000000000052</v>
          </cell>
          <cell r="O147">
            <v>0.71323389400190518</v>
          </cell>
          <cell r="P147">
            <v>56.857000000000134</v>
          </cell>
          <cell r="Q147">
            <v>5.3219472436278892E-2</v>
          </cell>
          <cell r="R147">
            <v>107.33900000000013</v>
          </cell>
          <cell r="S147">
            <v>0.88787660270502977</v>
          </cell>
          <cell r="T147">
            <v>153.97024999999988</v>
          </cell>
          <cell r="U147">
            <v>0.43442970402183456</v>
          </cell>
          <cell r="V147">
            <v>199.22150000000002</v>
          </cell>
          <cell r="W147">
            <v>0.29389606108972455</v>
          </cell>
        </row>
        <row r="149">
          <cell r="L149">
            <v>0.11594917518224006</v>
          </cell>
          <cell r="N149">
            <v>0.1377206096198296</v>
          </cell>
          <cell r="P149">
            <v>0.10228354713489259</v>
          </cell>
          <cell r="R149">
            <v>0.15180452838614958</v>
          </cell>
          <cell r="T149">
            <v>0.16807698630136975</v>
          </cell>
          <cell r="V149">
            <v>0.16600970464135023</v>
          </cell>
        </row>
        <row r="150">
          <cell r="L150" t="e">
            <v>#DIV/0!</v>
          </cell>
          <cell r="N150">
            <v>0</v>
          </cell>
          <cell r="P150">
            <v>-0.04</v>
          </cell>
          <cell r="R150">
            <v>-5.0000000000000001E-3</v>
          </cell>
          <cell r="T150">
            <v>0.02</v>
          </cell>
          <cell r="V150">
            <v>0.05</v>
          </cell>
        </row>
        <row r="151">
          <cell r="L151" t="e">
            <v>#DIV/0!</v>
          </cell>
          <cell r="N151">
            <v>0</v>
          </cell>
          <cell r="P151">
            <v>0</v>
          </cell>
          <cell r="R151">
            <v>0</v>
          </cell>
          <cell r="T151">
            <v>0</v>
          </cell>
          <cell r="V151">
            <v>0</v>
          </cell>
        </row>
        <row r="152">
          <cell r="L152" t="e">
            <v>#DIV/0!</v>
          </cell>
          <cell r="N152">
            <v>0</v>
          </cell>
          <cell r="P152">
            <v>0</v>
          </cell>
          <cell r="R152">
            <v>0</v>
          </cell>
          <cell r="T152">
            <v>0</v>
          </cell>
          <cell r="V152">
            <v>0</v>
          </cell>
        </row>
        <row r="153">
          <cell r="L153" t="e">
            <v>#DIV/0!</v>
          </cell>
          <cell r="N153">
            <v>0</v>
          </cell>
          <cell r="P153">
            <v>0</v>
          </cell>
          <cell r="R153">
            <v>0</v>
          </cell>
          <cell r="T153">
            <v>0</v>
          </cell>
          <cell r="V153">
            <v>0</v>
          </cell>
        </row>
        <row r="154">
          <cell r="L154">
            <v>0.11594917518224006</v>
          </cell>
          <cell r="N154">
            <v>0.1377206096198296</v>
          </cell>
          <cell r="P154">
            <v>9.9786411413388024E-2</v>
          </cell>
          <cell r="R154">
            <v>0.14854943598018783</v>
          </cell>
          <cell r="T154">
            <v>0.16336366047745346</v>
          </cell>
          <cell r="V154">
            <v>0.16131295546558705</v>
          </cell>
        </row>
        <row r="155">
          <cell r="L155">
            <v>0.11594917518224006</v>
          </cell>
          <cell r="N155">
            <v>0.1377206096198296</v>
          </cell>
          <cell r="P155">
            <v>9.9786411413388024E-2</v>
          </cell>
          <cell r="R155">
            <v>0.14854943598018783</v>
          </cell>
          <cell r="T155">
            <v>0.16336366047745346</v>
          </cell>
          <cell r="V155">
            <v>0.16131295546558705</v>
          </cell>
        </row>
        <row r="157">
          <cell r="L157">
            <v>166.89819</v>
          </cell>
          <cell r="M157">
            <v>-0.20828163468608429</v>
          </cell>
          <cell r="N157">
            <v>216.17180000000002</v>
          </cell>
          <cell r="O157">
            <v>0.29523154205566882</v>
          </cell>
          <cell r="P157">
            <v>306.25542000000019</v>
          </cell>
          <cell r="Q157">
            <v>0.41672234768827465</v>
          </cell>
          <cell r="R157">
            <v>386.19915400000014</v>
          </cell>
          <cell r="S157">
            <v>0.26103614427460542</v>
          </cell>
          <cell r="T157">
            <v>537.40499999999997</v>
          </cell>
          <cell r="U157">
            <v>0.39152298609126368</v>
          </cell>
          <cell r="V157">
            <v>727.27499999999998</v>
          </cell>
          <cell r="W157">
            <v>0.35330895693192277</v>
          </cell>
        </row>
        <row r="158">
          <cell r="L158">
            <v>46.83605</v>
          </cell>
          <cell r="M158" t="str">
            <v xml:space="preserve">      N.M.</v>
          </cell>
          <cell r="N158">
            <v>79.086479999999995</v>
          </cell>
          <cell r="O158">
            <v>0.68858133852022085</v>
          </cell>
          <cell r="P158">
            <v>130.22662</v>
          </cell>
          <cell r="Q158">
            <v>0.64663568286260831</v>
          </cell>
          <cell r="R158">
            <v>208.09353800000002</v>
          </cell>
          <cell r="S158">
            <v>0.59793395543860406</v>
          </cell>
          <cell r="T158">
            <v>269.49250000000001</v>
          </cell>
          <cell r="U158">
            <v>0.29505463067286586</v>
          </cell>
          <cell r="V158">
            <v>345.8</v>
          </cell>
          <cell r="W158">
            <v>0.28315259237270052</v>
          </cell>
        </row>
        <row r="159">
          <cell r="L159">
            <v>36.063380000000002</v>
          </cell>
          <cell r="M159" t="str">
            <v xml:space="preserve">      N.M.</v>
          </cell>
          <cell r="N159">
            <v>64.804479999999998</v>
          </cell>
          <cell r="O159">
            <v>0.79696079513345652</v>
          </cell>
          <cell r="P159">
            <v>75.850619999999992</v>
          </cell>
          <cell r="Q159">
            <v>0.17045333902841286</v>
          </cell>
          <cell r="R159">
            <v>83.371878000000009</v>
          </cell>
          <cell r="S159">
            <v>9.915882032342016E-2</v>
          </cell>
          <cell r="T159">
            <v>81.577500000000001</v>
          </cell>
          <cell r="U159">
            <v>-2.1522581031460097E-2</v>
          </cell>
          <cell r="V159">
            <v>98.8</v>
          </cell>
          <cell r="W159">
            <v>0.21111826177561221</v>
          </cell>
        </row>
        <row r="160">
          <cell r="L160">
            <v>21.118320000000001</v>
          </cell>
          <cell r="M160" t="str">
            <v xml:space="preserve">      N.M.</v>
          </cell>
          <cell r="N160">
            <v>30.765319999999999</v>
          </cell>
          <cell r="O160">
            <v>0.45680717026733175</v>
          </cell>
          <cell r="P160">
            <v>57.454340000000002</v>
          </cell>
          <cell r="Q160">
            <v>0.86750340968337092</v>
          </cell>
          <cell r="R160">
            <v>44.916430000000005</v>
          </cell>
          <cell r="S160">
            <v>-0.21822389744621551</v>
          </cell>
          <cell r="T160">
            <v>54.024999999999999</v>
          </cell>
          <cell r="U160">
            <v>0.20278926887110105</v>
          </cell>
          <cell r="V160">
            <v>63.125</v>
          </cell>
          <cell r="W160">
            <v>0.16844053678852378</v>
          </cell>
        </row>
        <row r="161">
          <cell r="L161">
            <v>0</v>
          </cell>
          <cell r="M161" t="str">
            <v xml:space="preserve">      N.M.</v>
          </cell>
          <cell r="N161">
            <v>0</v>
          </cell>
          <cell r="O161" t="str">
            <v xml:space="preserve">      N.M.</v>
          </cell>
          <cell r="P161">
            <v>0</v>
          </cell>
          <cell r="Q161" t="str">
            <v xml:space="preserve">      N.M.</v>
          </cell>
          <cell r="R161">
            <v>0</v>
          </cell>
          <cell r="S161" t="str">
            <v xml:space="preserve">      N.M.</v>
          </cell>
          <cell r="T161">
            <v>0</v>
          </cell>
          <cell r="U161" t="str">
            <v xml:space="preserve">      N.M.</v>
          </cell>
          <cell r="V161">
            <v>0</v>
          </cell>
          <cell r="W161" t="str">
            <v xml:space="preserve">      N.M.</v>
          </cell>
        </row>
        <row r="162">
          <cell r="L162">
            <v>0.84106000000000003</v>
          </cell>
          <cell r="M162" t="str">
            <v xml:space="preserve">      N.M.</v>
          </cell>
          <cell r="N162">
            <v>1.1539200000000001</v>
          </cell>
          <cell r="O162">
            <v>0.37198297386631163</v>
          </cell>
          <cell r="P162">
            <v>7.1054273576010003E-15</v>
          </cell>
          <cell r="Q162">
            <v>-0.99999999999999389</v>
          </cell>
          <cell r="R162">
            <v>0</v>
          </cell>
          <cell r="S162">
            <v>-1</v>
          </cell>
          <cell r="T162">
            <v>0</v>
          </cell>
          <cell r="U162" t="str">
            <v xml:space="preserve">      N.M.</v>
          </cell>
          <cell r="V162">
            <v>0</v>
          </cell>
          <cell r="W162" t="str">
            <v xml:space="preserve">      N.M.</v>
          </cell>
        </row>
        <row r="163">
          <cell r="L163">
            <v>271.75700000000001</v>
          </cell>
          <cell r="M163">
            <v>0.28913925191527712</v>
          </cell>
          <cell r="N163">
            <v>391.98200000000003</v>
          </cell>
          <cell r="O163">
            <v>0.4423989078478201</v>
          </cell>
          <cell r="P163">
            <v>569.78700000000015</v>
          </cell>
          <cell r="Q163">
            <v>0.4536050124750628</v>
          </cell>
          <cell r="R163">
            <v>722.58100000000013</v>
          </cell>
          <cell r="S163">
            <v>0.26815985622697602</v>
          </cell>
          <cell r="T163">
            <v>942.5</v>
          </cell>
          <cell r="U163">
            <v>0.30435203804140976</v>
          </cell>
          <cell r="V163">
            <v>1235</v>
          </cell>
          <cell r="W163">
            <v>0.31034482758620685</v>
          </cell>
        </row>
        <row r="165">
          <cell r="L165">
            <v>0.61414495302788885</v>
          </cell>
          <cell r="M165">
            <v>-0.20828163468608429</v>
          </cell>
          <cell r="N165">
            <v>0.55148399671413484</v>
          </cell>
          <cell r="O165">
            <v>0.29523154205566882</v>
          </cell>
          <cell r="P165">
            <v>0.53749106244965239</v>
          </cell>
          <cell r="Q165">
            <v>0.41672234768827465</v>
          </cell>
          <cell r="R165">
            <v>0.53447178101832193</v>
          </cell>
          <cell r="S165">
            <v>0.26103614427460542</v>
          </cell>
          <cell r="T165">
            <v>0.57019098143236069</v>
          </cell>
          <cell r="U165">
            <v>0.39152298609126368</v>
          </cell>
          <cell r="V165">
            <v>0.58888663967611332</v>
          </cell>
          <cell r="W165">
            <v>0.35330895693192277</v>
          </cell>
        </row>
        <row r="166">
          <cell r="L166">
            <v>0.17234533057106163</v>
          </cell>
          <cell r="M166" t="str">
            <v xml:space="preserve">      N.M.</v>
          </cell>
          <cell r="N166">
            <v>0.20176048900204599</v>
          </cell>
          <cell r="O166">
            <v>0.68858133852022085</v>
          </cell>
          <cell r="P166">
            <v>0.22855316109353138</v>
          </cell>
          <cell r="Q166">
            <v>0.64663568286260831</v>
          </cell>
          <cell r="R166">
            <v>0.28798645134593903</v>
          </cell>
          <cell r="S166">
            <v>0.59793395543860384</v>
          </cell>
          <cell r="T166">
            <v>0.28593368700265254</v>
          </cell>
          <cell r="U166">
            <v>0.29505463067286608</v>
          </cell>
          <cell r="V166">
            <v>0.28000000000000003</v>
          </cell>
          <cell r="W166">
            <v>0.28315259237270052</v>
          </cell>
        </row>
        <row r="167">
          <cell r="L167">
            <v>0.13270451175130724</v>
          </cell>
          <cell r="M167" t="str">
            <v xml:space="preserve">      N.M.</v>
          </cell>
          <cell r="N167">
            <v>0.16532514248103228</v>
          </cell>
          <cell r="O167">
            <v>0.79696079513345652</v>
          </cell>
          <cell r="P167">
            <v>0.13312100837681445</v>
          </cell>
          <cell r="Q167">
            <v>0.17045333902841286</v>
          </cell>
          <cell r="R167">
            <v>0.11538066735770798</v>
          </cell>
          <cell r="S167">
            <v>9.915882032342016E-2</v>
          </cell>
          <cell r="T167">
            <v>8.6554376657824936E-2</v>
          </cell>
          <cell r="U167">
            <v>-2.1522581031460097E-2</v>
          </cell>
          <cell r="V167">
            <v>0.08</v>
          </cell>
          <cell r="W167">
            <v>0.21111826177561221</v>
          </cell>
        </row>
        <row r="168">
          <cell r="L168">
            <v>7.7710307370187331E-2</v>
          </cell>
          <cell r="M168" t="str">
            <v xml:space="preserve">      N.M.</v>
          </cell>
          <cell r="N168">
            <v>7.8486563158512379E-2</v>
          </cell>
          <cell r="O168">
            <v>0.45680717026733197</v>
          </cell>
          <cell r="P168">
            <v>0.1008347680800018</v>
          </cell>
          <cell r="Q168">
            <v>0.8675034096833707</v>
          </cell>
          <cell r="R168">
            <v>6.2161100278031109E-2</v>
          </cell>
          <cell r="S168">
            <v>-0.21822389744621551</v>
          </cell>
          <cell r="T168">
            <v>5.7320954907161804E-2</v>
          </cell>
          <cell r="U168">
            <v>0.20278926887110105</v>
          </cell>
          <cell r="V168">
            <v>5.1113360323886636E-2</v>
          </cell>
          <cell r="W168">
            <v>0.16844053678852378</v>
          </cell>
        </row>
        <row r="169">
          <cell r="L169">
            <v>0</v>
          </cell>
          <cell r="M169" t="str">
            <v xml:space="preserve">      N.M.</v>
          </cell>
          <cell r="N169">
            <v>0</v>
          </cell>
          <cell r="O169" t="str">
            <v xml:space="preserve">      N.M.</v>
          </cell>
          <cell r="P169">
            <v>0</v>
          </cell>
          <cell r="Q169" t="str">
            <v xml:space="preserve">      N.M.</v>
          </cell>
          <cell r="R169">
            <v>0</v>
          </cell>
          <cell r="S169" t="str">
            <v xml:space="preserve">      N.M.</v>
          </cell>
          <cell r="T169">
            <v>0</v>
          </cell>
          <cell r="U169" t="str">
            <v xml:space="preserve">      N.M.</v>
          </cell>
          <cell r="V169">
            <v>0</v>
          </cell>
          <cell r="W169" t="str">
            <v xml:space="preserve">      N.M.</v>
          </cell>
        </row>
        <row r="170">
          <cell r="L170">
            <v>3.0948972795548967E-3</v>
          </cell>
          <cell r="M170" t="str">
            <v xml:space="preserve">      N.M.</v>
          </cell>
          <cell r="N170">
            <v>2.9438086442744819E-3</v>
          </cell>
          <cell r="O170">
            <v>0.37198297386631163</v>
          </cell>
          <cell r="P170">
            <v>1.2470321993308023E-17</v>
          </cell>
          <cell r="Q170">
            <v>-0.99999999999999389</v>
          </cell>
          <cell r="R170">
            <v>0</v>
          </cell>
          <cell r="S170">
            <v>-1</v>
          </cell>
          <cell r="T170">
            <v>0</v>
          </cell>
          <cell r="U170" t="str">
            <v xml:space="preserve">      N.M.</v>
          </cell>
          <cell r="V170">
            <v>0</v>
          </cell>
          <cell r="W170" t="str">
            <v xml:space="preserve">      N.M.</v>
          </cell>
        </row>
        <row r="171">
          <cell r="L171">
            <v>1</v>
          </cell>
          <cell r="M171">
            <v>0.28913925191527712</v>
          </cell>
          <cell r="N171">
            <v>1</v>
          </cell>
          <cell r="O171">
            <v>0.4423989078478201</v>
          </cell>
          <cell r="P171">
            <v>1</v>
          </cell>
          <cell r="Q171">
            <v>0.4536050124750628</v>
          </cell>
          <cell r="R171">
            <v>1</v>
          </cell>
          <cell r="S171">
            <v>0.26815985622697602</v>
          </cell>
          <cell r="T171">
            <v>1</v>
          </cell>
          <cell r="U171">
            <v>0.30435203804140976</v>
          </cell>
          <cell r="V171">
            <v>1</v>
          </cell>
          <cell r="W171">
            <v>0.31034482758620685</v>
          </cell>
        </row>
        <row r="173">
          <cell r="L173">
            <v>27.349281000000012</v>
          </cell>
          <cell r="M173" t="str">
            <v xml:space="preserve">      N.M.</v>
          </cell>
          <cell r="N173">
            <v>135.36521399999998</v>
          </cell>
          <cell r="O173">
            <v>3.9494980873537378</v>
          </cell>
          <cell r="P173">
            <v>118.717918</v>
          </cell>
          <cell r="Q173">
            <v>-0.12298060563772306</v>
          </cell>
          <cell r="R173">
            <v>110.71861000000001</v>
          </cell>
          <cell r="S173">
            <v>-6.738079756418891E-2</v>
          </cell>
          <cell r="T173">
            <v>115.5</v>
          </cell>
          <cell r="U173">
            <v>4.3185061662172064E-2</v>
          </cell>
          <cell r="V173">
            <v>123.5</v>
          </cell>
          <cell r="W173">
            <v>6.9264069264069361E-2</v>
          </cell>
        </row>
        <row r="174">
          <cell r="L174">
            <v>244.40771899999999</v>
          </cell>
          <cell r="M174" t="str">
            <v xml:space="preserve">      N.M.</v>
          </cell>
          <cell r="N174">
            <v>256.61678599999999</v>
          </cell>
          <cell r="O174">
            <v>4.9953688246646699E-2</v>
          </cell>
          <cell r="P174">
            <v>451.98208199999999</v>
          </cell>
          <cell r="Q174">
            <v>0.76131144437293363</v>
          </cell>
          <cell r="R174">
            <v>611.86239</v>
          </cell>
          <cell r="S174">
            <v>0.35373151805606318</v>
          </cell>
          <cell r="T174">
            <v>827</v>
          </cell>
          <cell r="U174">
            <v>0.35161110327438161</v>
          </cell>
          <cell r="V174">
            <v>1111.5</v>
          </cell>
          <cell r="W174">
            <v>0.34401451027811358</v>
          </cell>
        </row>
        <row r="175">
          <cell r="L175">
            <v>0.8993612639232843</v>
          </cell>
          <cell r="N175">
            <v>0.65466471929833503</v>
          </cell>
          <cell r="P175">
            <v>0.79324744509790479</v>
          </cell>
          <cell r="R175">
            <v>0.84677342747733453</v>
          </cell>
          <cell r="T175">
            <v>0.87745358090185677</v>
          </cell>
          <cell r="V175">
            <v>0.9</v>
          </cell>
        </row>
        <row r="178">
          <cell r="L178">
            <v>35.871924</v>
          </cell>
          <cell r="M178" t="str">
            <v xml:space="preserve">      N.M.</v>
          </cell>
          <cell r="N178">
            <v>51.741624000000009</v>
          </cell>
          <cell r="O178">
            <v>0.4423989078478201</v>
          </cell>
          <cell r="P178">
            <v>48.431895000000019</v>
          </cell>
          <cell r="Q178">
            <v>-6.3966469239542856E-2</v>
          </cell>
          <cell r="R178">
            <v>48.41292700000001</v>
          </cell>
          <cell r="S178">
            <v>-3.916427387367083E-4</v>
          </cell>
          <cell r="T178">
            <v>65.975000000000009</v>
          </cell>
          <cell r="U178">
            <v>0.36275586064027898</v>
          </cell>
          <cell r="V178">
            <v>82.745000000000005</v>
          </cell>
          <cell r="W178">
            <v>0.2541871921182266</v>
          </cell>
        </row>
        <row r="179">
          <cell r="L179">
            <v>59.514783000000001</v>
          </cell>
          <cell r="M179">
            <v>-1.9717027189424585E-2</v>
          </cell>
          <cell r="N179">
            <v>98.779464000000004</v>
          </cell>
          <cell r="O179">
            <v>0.65974668848242302</v>
          </cell>
          <cell r="P179">
            <v>100.85229900000002</v>
          </cell>
          <cell r="Q179">
            <v>2.0984473047960694E-2</v>
          </cell>
          <cell r="R179">
            <v>90.322625000000016</v>
          </cell>
          <cell r="S179">
            <v>-0.10440688119563835</v>
          </cell>
          <cell r="T179">
            <v>98.962499999999991</v>
          </cell>
          <cell r="U179">
            <v>9.5655711954784062E-2</v>
          </cell>
          <cell r="V179">
            <v>104.97500000000001</v>
          </cell>
          <cell r="W179">
            <v>6.0755336617405842E-2</v>
          </cell>
        </row>
        <row r="180">
          <cell r="L180">
            <v>0</v>
          </cell>
          <cell r="M180" t="str">
            <v xml:space="preserve">      N.M.</v>
          </cell>
          <cell r="N180">
            <v>0</v>
          </cell>
          <cell r="O180" t="str">
            <v xml:space="preserve">      N.M.</v>
          </cell>
          <cell r="P180">
            <v>48.431895000000019</v>
          </cell>
          <cell r="Q180" t="str">
            <v xml:space="preserve">      N.M.</v>
          </cell>
          <cell r="R180">
            <v>126.45167500000001</v>
          </cell>
          <cell r="S180">
            <v>1.6109173510555381</v>
          </cell>
          <cell r="T180">
            <v>122.52500000000001</v>
          </cell>
          <cell r="U180">
            <v>-3.1052771740667007E-2</v>
          </cell>
          <cell r="V180">
            <v>160.55000000000001</v>
          </cell>
          <cell r="W180">
            <v>0.31034482758620685</v>
          </cell>
        </row>
        <row r="181">
          <cell r="L181">
            <v>0</v>
          </cell>
          <cell r="M181">
            <v>-1</v>
          </cell>
          <cell r="N181">
            <v>0</v>
          </cell>
          <cell r="O181" t="str">
            <v xml:space="preserve">      N.M.</v>
          </cell>
          <cell r="P181">
            <v>25.640415000000004</v>
          </cell>
          <cell r="Q181" t="str">
            <v xml:space="preserve">      N.M.</v>
          </cell>
          <cell r="R181">
            <v>18.064525000000003</v>
          </cell>
          <cell r="S181">
            <v>-0.29546674654056881</v>
          </cell>
          <cell r="T181">
            <v>46.182500000000005</v>
          </cell>
          <cell r="U181">
            <v>1.556529994561163</v>
          </cell>
          <cell r="V181">
            <v>58.045000000000002</v>
          </cell>
          <cell r="W181">
            <v>0.25686136523574943</v>
          </cell>
        </row>
        <row r="182">
          <cell r="L182">
            <v>0</v>
          </cell>
          <cell r="M182" t="str">
            <v xml:space="preserve">      N.M.</v>
          </cell>
          <cell r="N182">
            <v>0</v>
          </cell>
          <cell r="O182" t="str">
            <v xml:space="preserve">      N.M.</v>
          </cell>
          <cell r="P182">
            <v>25.640415000000004</v>
          </cell>
          <cell r="Q182" t="str">
            <v xml:space="preserve">      N.M.</v>
          </cell>
          <cell r="R182">
            <v>46.967765000000007</v>
          </cell>
          <cell r="S182">
            <v>0.83178645899452097</v>
          </cell>
          <cell r="T182">
            <v>81.997499999999988</v>
          </cell>
          <cell r="U182">
            <v>0.74582503553234814</v>
          </cell>
          <cell r="V182">
            <v>96.33</v>
          </cell>
          <cell r="W182">
            <v>0.17479191438763397</v>
          </cell>
        </row>
        <row r="183">
          <cell r="L183">
            <v>0</v>
          </cell>
          <cell r="M183" t="str">
            <v xml:space="preserve">      N.M.</v>
          </cell>
          <cell r="N183">
            <v>0</v>
          </cell>
          <cell r="O183" t="str">
            <v xml:space="preserve">      N.M.</v>
          </cell>
          <cell r="P183">
            <v>0</v>
          </cell>
          <cell r="Q183" t="str">
            <v xml:space="preserve">      N.M.</v>
          </cell>
          <cell r="R183">
            <v>39.741955000000004</v>
          </cell>
          <cell r="S183" t="str">
            <v xml:space="preserve">      N.M.</v>
          </cell>
          <cell r="T183">
            <v>49.952500000000001</v>
          </cell>
          <cell r="U183">
            <v>0.25692105483990391</v>
          </cell>
          <cell r="V183">
            <v>61.75</v>
          </cell>
          <cell r="W183">
            <v>0.23617436564736494</v>
          </cell>
        </row>
        <row r="184">
          <cell r="L184">
            <v>0</v>
          </cell>
          <cell r="M184">
            <v>-1</v>
          </cell>
          <cell r="N184">
            <v>0</v>
          </cell>
          <cell r="O184" t="str">
            <v xml:space="preserve">      N.M.</v>
          </cell>
          <cell r="P184">
            <v>0</v>
          </cell>
          <cell r="Q184" t="str">
            <v xml:space="preserve">      N.M.</v>
          </cell>
          <cell r="R184">
            <v>0</v>
          </cell>
          <cell r="S184" t="str">
            <v xml:space="preserve">      N.M.</v>
          </cell>
          <cell r="T184">
            <v>0</v>
          </cell>
          <cell r="U184" t="str">
            <v xml:space="preserve">      N.M.</v>
          </cell>
          <cell r="V184">
            <v>0</v>
          </cell>
          <cell r="W184" t="str">
            <v xml:space="preserve">      N.M.</v>
          </cell>
        </row>
        <row r="185">
          <cell r="L185">
            <v>0</v>
          </cell>
          <cell r="M185" t="str">
            <v xml:space="preserve">      N.M.</v>
          </cell>
          <cell r="N185">
            <v>0</v>
          </cell>
          <cell r="O185" t="str">
            <v xml:space="preserve">      N.M.</v>
          </cell>
          <cell r="P185">
            <v>0</v>
          </cell>
          <cell r="Q185" t="str">
            <v xml:space="preserve">      N.M.</v>
          </cell>
          <cell r="R185">
            <v>28.903240000000007</v>
          </cell>
          <cell r="S185" t="str">
            <v xml:space="preserve">      N.M.</v>
          </cell>
          <cell r="T185">
            <v>56.55</v>
          </cell>
          <cell r="U185">
            <v>0.95652805706211419</v>
          </cell>
          <cell r="V185">
            <v>74.099999999999994</v>
          </cell>
          <cell r="W185">
            <v>0.31034482758620685</v>
          </cell>
        </row>
        <row r="186">
          <cell r="P186">
            <v>248.99691900000008</v>
          </cell>
          <cell r="Q186" t="str">
            <v xml:space="preserve">      N.M.</v>
          </cell>
          <cell r="R186">
            <v>330.21951700000005</v>
          </cell>
          <cell r="S186">
            <v>0.32619920891470922</v>
          </cell>
          <cell r="T186">
            <v>465.59499999999997</v>
          </cell>
          <cell r="U186">
            <v>0.40995603236861333</v>
          </cell>
          <cell r="V186">
            <v>0</v>
          </cell>
          <cell r="W186">
            <v>-1</v>
          </cell>
        </row>
        <row r="187">
          <cell r="L187">
            <v>0</v>
          </cell>
          <cell r="M187">
            <v>-1</v>
          </cell>
          <cell r="N187">
            <v>0</v>
          </cell>
          <cell r="O187" t="str">
            <v xml:space="preserve">      N.M.</v>
          </cell>
          <cell r="P187">
            <v>0</v>
          </cell>
          <cell r="Q187" t="str">
            <v xml:space="preserve">      N.M.</v>
          </cell>
          <cell r="R187">
            <v>433.8917100000001</v>
          </cell>
          <cell r="S187" t="str">
            <v xml:space="preserve">      N.M.</v>
          </cell>
          <cell r="T187">
            <v>626.96500000000003</v>
          </cell>
          <cell r="U187">
            <v>0.44498036157455023</v>
          </cell>
          <cell r="V187">
            <v>827.45</v>
          </cell>
          <cell r="W187">
            <v>0.31977064110436793</v>
          </cell>
        </row>
        <row r="188">
          <cell r="L188">
            <v>0</v>
          </cell>
          <cell r="M188" t="str">
            <v xml:space="preserve">      N.M.</v>
          </cell>
          <cell r="N188">
            <v>0</v>
          </cell>
          <cell r="O188" t="str">
            <v xml:space="preserve">      N.M.</v>
          </cell>
          <cell r="P188">
            <v>0</v>
          </cell>
          <cell r="Q188" t="str">
            <v xml:space="preserve">      N.M.</v>
          </cell>
          <cell r="R188">
            <v>515.94776000000013</v>
          </cell>
          <cell r="S188" t="str">
            <v xml:space="preserve">      N.M.</v>
          </cell>
          <cell r="T188">
            <v>740.06500000000005</v>
          </cell>
          <cell r="U188">
            <v>0.43437971317096102</v>
          </cell>
          <cell r="V188">
            <v>975.65000000000009</v>
          </cell>
          <cell r="W188">
            <v>0.31833014667630555</v>
          </cell>
        </row>
        <row r="205">
          <cell r="P205" t="str">
            <v>Sanmina Corporation</v>
          </cell>
        </row>
        <row r="206">
          <cell r="P206" t="str">
            <v>Full Year Income Statements</v>
          </cell>
        </row>
        <row r="207">
          <cell r="P207" t="str">
            <v>($ In Millions Except Per Share Data)</v>
          </cell>
        </row>
        <row r="209">
          <cell r="L209" t="str">
            <v xml:space="preserve">    1995A</v>
          </cell>
          <cell r="M209" t="str">
            <v xml:space="preserve">   % Chg.</v>
          </cell>
          <cell r="N209" t="str">
            <v>1996A</v>
          </cell>
          <cell r="O209" t="str">
            <v xml:space="preserve">   % Chg.</v>
          </cell>
          <cell r="P209" t="str">
            <v>1997A</v>
          </cell>
          <cell r="Q209" t="str">
            <v xml:space="preserve">   % Chg.</v>
          </cell>
          <cell r="R209" t="str">
            <v>1998A</v>
          </cell>
          <cell r="S209" t="str">
            <v xml:space="preserve">   % Chg.</v>
          </cell>
          <cell r="T209" t="str">
            <v>1999E</v>
          </cell>
          <cell r="U209" t="str">
            <v xml:space="preserve">   % Chg.</v>
          </cell>
          <cell r="V209" t="str">
            <v>2000E</v>
          </cell>
          <cell r="W209" t="str">
            <v xml:space="preserve">   % Chg.</v>
          </cell>
        </row>
        <row r="210">
          <cell r="L210">
            <v>271.75700000000001</v>
          </cell>
          <cell r="M210">
            <v>0.28913925191527712</v>
          </cell>
          <cell r="N210">
            <v>391.98200000000003</v>
          </cell>
          <cell r="O210">
            <v>0.4423989078478201</v>
          </cell>
          <cell r="P210">
            <v>569.78700000000015</v>
          </cell>
          <cell r="Q210">
            <v>0.4536050124750628</v>
          </cell>
          <cell r="R210">
            <v>722.58100000000013</v>
          </cell>
          <cell r="S210">
            <v>0.26815985622697602</v>
          </cell>
          <cell r="T210">
            <v>942.5</v>
          </cell>
          <cell r="U210">
            <v>0.30435203804140976</v>
          </cell>
          <cell r="V210">
            <v>1235</v>
          </cell>
          <cell r="W210">
            <v>0.31034482758620685</v>
          </cell>
        </row>
        <row r="212">
          <cell r="L212">
            <v>216.81399999999999</v>
          </cell>
          <cell r="M212">
            <v>0.23557637511682494</v>
          </cell>
          <cell r="N212">
            <v>305.22699999999998</v>
          </cell>
          <cell r="O212">
            <v>0.40778270775872394</v>
          </cell>
          <cell r="P212">
            <v>455.57600000000002</v>
          </cell>
          <cell r="Q212">
            <v>0.49258093156896354</v>
          </cell>
          <cell r="R212">
            <v>563.91300000000001</v>
          </cell>
          <cell r="S212">
            <v>0.23780225472808048</v>
          </cell>
          <cell r="T212">
            <v>738.61050000000012</v>
          </cell>
          <cell r="U212">
            <v>0.30979512797186826</v>
          </cell>
          <cell r="V212">
            <v>976.41049999999996</v>
          </cell>
          <cell r="W212">
            <v>0.32195588879389048</v>
          </cell>
        </row>
        <row r="213">
          <cell r="L213">
            <v>0.79782305515589291</v>
          </cell>
          <cell r="N213">
            <v>0.7786760616558922</v>
          </cell>
          <cell r="P213">
            <v>0.79955492140045303</v>
          </cell>
          <cell r="R213">
            <v>0.78041492926052569</v>
          </cell>
          <cell r="T213">
            <v>0.78367161803713536</v>
          </cell>
          <cell r="V213">
            <v>0.79061578947368416</v>
          </cell>
        </row>
        <row r="214">
          <cell r="L214">
            <v>54.943000000000012</v>
          </cell>
          <cell r="M214">
            <v>0.55518129581929987</v>
          </cell>
          <cell r="N214">
            <v>86.755000000000052</v>
          </cell>
          <cell r="O214">
            <v>0.57900005460204262</v>
          </cell>
          <cell r="P214">
            <v>114.21100000000013</v>
          </cell>
          <cell r="Q214">
            <v>0.3164774364589944</v>
          </cell>
          <cell r="R214">
            <v>158.66800000000012</v>
          </cell>
          <cell r="S214">
            <v>0.38925322429538256</v>
          </cell>
          <cell r="T214">
            <v>203.88949999999988</v>
          </cell>
          <cell r="U214">
            <v>0.2850070587642104</v>
          </cell>
          <cell r="V214">
            <v>258.58950000000004</v>
          </cell>
          <cell r="W214">
            <v>0.26828257462988625</v>
          </cell>
        </row>
        <row r="215">
          <cell r="L215">
            <v>0.20217694484410709</v>
          </cell>
          <cell r="N215">
            <v>0.22132393834410777</v>
          </cell>
          <cell r="P215">
            <v>0.20044507859954702</v>
          </cell>
          <cell r="R215">
            <v>0.21958507073947431</v>
          </cell>
          <cell r="T215">
            <v>0.21632838196286461</v>
          </cell>
          <cell r="V215">
            <v>0.20938421052631581</v>
          </cell>
        </row>
        <row r="216">
          <cell r="L216">
            <v>0.32179419871374249</v>
          </cell>
          <cell r="N216">
            <v>0.26460386774797284</v>
          </cell>
          <cell r="P216">
            <v>0.1544163549956416</v>
          </cell>
          <cell r="R216">
            <v>0.2909603780253151</v>
          </cell>
          <cell r="T216">
            <v>0.20562798121126319</v>
          </cell>
          <cell r="V216">
            <v>0.18700854700854755</v>
          </cell>
        </row>
        <row r="217">
          <cell r="L217">
            <v>21.905999999999999</v>
          </cell>
          <cell r="M217">
            <v>0.12876797031998755</v>
          </cell>
          <cell r="N217">
            <v>29.702999999999999</v>
          </cell>
          <cell r="O217">
            <v>0.3559298822240482</v>
          </cell>
          <cell r="P217">
            <v>44.01</v>
          </cell>
          <cell r="Q217">
            <v>0.48166851833148172</v>
          </cell>
          <cell r="R217">
            <v>43.844999999999999</v>
          </cell>
          <cell r="S217">
            <v>-3.7491479209270651E-3</v>
          </cell>
          <cell r="T217">
            <v>53.035250000000005</v>
          </cell>
          <cell r="U217">
            <v>0.20960770897479764</v>
          </cell>
          <cell r="V217">
            <v>63.787999999999997</v>
          </cell>
          <cell r="W217">
            <v>0.20274722943702517</v>
          </cell>
        </row>
        <row r="218">
          <cell r="L218">
            <v>8.0608779166681993E-2</v>
          </cell>
          <cell r="N218">
            <v>7.5776438714022579E-2</v>
          </cell>
          <cell r="P218">
            <v>7.7239389456059876E-2</v>
          </cell>
          <cell r="R218">
            <v>6.0678318416897192E-2</v>
          </cell>
          <cell r="T218">
            <v>5.6270822281167115E-2</v>
          </cell>
          <cell r="V218">
            <v>5.1650202429149798E-2</v>
          </cell>
        </row>
        <row r="220">
          <cell r="L220">
            <v>0.68599999999999994</v>
          </cell>
          <cell r="M220">
            <v>-0.50397686189443247</v>
          </cell>
          <cell r="N220">
            <v>1.7230000000000001</v>
          </cell>
          <cell r="O220">
            <v>1.5116618075801753</v>
          </cell>
          <cell r="P220">
            <v>2.0059999999999998</v>
          </cell>
          <cell r="Q220">
            <v>0.16424840394660456</v>
          </cell>
          <cell r="R220">
            <v>2.851</v>
          </cell>
          <cell r="S220">
            <v>0.42123629112662031</v>
          </cell>
          <cell r="T220">
            <v>3.2839999999999998</v>
          </cell>
          <cell r="U220">
            <v>0.15187653454928096</v>
          </cell>
          <cell r="V220">
            <v>3.28</v>
          </cell>
          <cell r="W220">
            <v>-1.2180267965895553E-3</v>
          </cell>
        </row>
        <row r="221">
          <cell r="L221">
            <v>2.5243140011112866E-3</v>
          </cell>
          <cell r="N221">
            <v>4.395610002500115E-3</v>
          </cell>
          <cell r="P221">
            <v>3.5206138434186796E-3</v>
          </cell>
          <cell r="R221">
            <v>3.9455784195820253E-3</v>
          </cell>
          <cell r="T221">
            <v>3.4843501326259946E-3</v>
          </cell>
          <cell r="V221">
            <v>2.6558704453441295E-3</v>
          </cell>
        </row>
        <row r="222">
          <cell r="L222">
            <v>32.351000000000013</v>
          </cell>
          <cell r="M222">
            <v>1.2251186463993435</v>
          </cell>
          <cell r="N222">
            <v>55.32900000000005</v>
          </cell>
          <cell r="O222">
            <v>0.71027170721152455</v>
          </cell>
          <cell r="P222">
            <v>68.195000000000135</v>
          </cell>
          <cell r="Q222">
            <v>0.23253628296191997</v>
          </cell>
          <cell r="R222">
            <v>111.97200000000012</v>
          </cell>
          <cell r="S222">
            <v>0.64193855854534654</v>
          </cell>
          <cell r="T222">
            <v>147.57024999999987</v>
          </cell>
          <cell r="U222">
            <v>0.31792099810666685</v>
          </cell>
          <cell r="V222">
            <v>191.52150000000003</v>
          </cell>
          <cell r="W222">
            <v>0.29783272712487907</v>
          </cell>
        </row>
        <row r="223">
          <cell r="L223">
            <v>0.11904385167631382</v>
          </cell>
          <cell r="N223">
            <v>0.14115188962758507</v>
          </cell>
          <cell r="P223">
            <v>0.11968507530006847</v>
          </cell>
          <cell r="R223">
            <v>0.1549611739029951</v>
          </cell>
          <cell r="T223">
            <v>0.15657320954907147</v>
          </cell>
          <cell r="V223">
            <v>0.15507813765182188</v>
          </cell>
        </row>
        <row r="224">
          <cell r="L224">
            <v>0.29222995143719704</v>
          </cell>
          <cell r="N224">
            <v>0.19112497400707035</v>
          </cell>
          <cell r="P224">
            <v>7.2360169848992295E-2</v>
          </cell>
          <cell r="R224">
            <v>0.28650994148984904</v>
          </cell>
          <cell r="T224">
            <v>0.16186982479912956</v>
          </cell>
          <cell r="V224">
            <v>0.1502606837606843</v>
          </cell>
        </row>
        <row r="226">
          <cell r="L226">
            <v>0.84099999999999997</v>
          </cell>
          <cell r="M226">
            <v>-0.48656898656898651</v>
          </cell>
          <cell r="N226">
            <v>1.345</v>
          </cell>
          <cell r="O226">
            <v>0.59928656361474442</v>
          </cell>
          <cell r="P226">
            <v>2.4620000000000002</v>
          </cell>
          <cell r="Q226">
            <v>0.83048327137546485</v>
          </cell>
          <cell r="R226">
            <v>0.68799999999999994</v>
          </cell>
          <cell r="S226">
            <v>-0.72055239642567015</v>
          </cell>
          <cell r="T226">
            <v>-6.4</v>
          </cell>
          <cell r="U226" t="str">
            <v xml:space="preserve">     N.M.</v>
          </cell>
          <cell r="V226">
            <v>-7.6999999999999993</v>
          </cell>
          <cell r="W226">
            <v>0.20312499999999978</v>
          </cell>
        </row>
        <row r="227">
          <cell r="L227">
            <v>0</v>
          </cell>
          <cell r="M227">
            <v>-1</v>
          </cell>
          <cell r="N227">
            <v>0</v>
          </cell>
          <cell r="O227" t="str">
            <v xml:space="preserve">      N.M.</v>
          </cell>
          <cell r="P227">
            <v>8.8759999999999994</v>
          </cell>
          <cell r="Q227" t="str">
            <v xml:space="preserve">      N.M.</v>
          </cell>
          <cell r="R227">
            <v>3.9449999999999998</v>
          </cell>
          <cell r="S227">
            <v>-0.55554303740423605</v>
          </cell>
          <cell r="T227">
            <v>0</v>
          </cell>
          <cell r="U227">
            <v>-1</v>
          </cell>
          <cell r="V227">
            <v>0</v>
          </cell>
          <cell r="W227" t="str">
            <v xml:space="preserve">      N.M.</v>
          </cell>
        </row>
        <row r="228">
          <cell r="L228">
            <v>31.510000000000012</v>
          </cell>
          <cell r="M228" t="str">
            <v xml:space="preserve">     N.M.</v>
          </cell>
          <cell r="N228">
            <v>53.984000000000052</v>
          </cell>
          <cell r="O228">
            <v>0.71323389400190518</v>
          </cell>
          <cell r="P228">
            <v>56.857000000000134</v>
          </cell>
          <cell r="Q228">
            <v>5.3219472436278892E-2</v>
          </cell>
          <cell r="R228">
            <v>107.33900000000013</v>
          </cell>
          <cell r="S228">
            <v>0.88787660270502977</v>
          </cell>
          <cell r="T228">
            <v>153.97024999999988</v>
          </cell>
          <cell r="U228">
            <v>0.43442970402183456</v>
          </cell>
          <cell r="V228">
            <v>199.22150000000002</v>
          </cell>
          <cell r="W228">
            <v>0.29389606108972455</v>
          </cell>
        </row>
        <row r="229">
          <cell r="L229">
            <v>0.11594917518224006</v>
          </cell>
          <cell r="N229">
            <v>0.1377206096198296</v>
          </cell>
          <cell r="P229">
            <v>9.9786411413388024E-2</v>
          </cell>
          <cell r="R229">
            <v>0.14854943598018783</v>
          </cell>
          <cell r="T229">
            <v>0.16336366047745346</v>
          </cell>
          <cell r="V229">
            <v>0.16131295546558705</v>
          </cell>
        </row>
        <row r="231">
          <cell r="L231">
            <v>11.257</v>
          </cell>
          <cell r="M231">
            <v>2.4341061622940821</v>
          </cell>
          <cell r="N231">
            <v>17.419</v>
          </cell>
          <cell r="O231">
            <v>0.54739273341032257</v>
          </cell>
          <cell r="P231">
            <v>26.332000000000001</v>
          </cell>
          <cell r="Q231">
            <v>0.51168264538722075</v>
          </cell>
          <cell r="R231">
            <v>39.188000000000002</v>
          </cell>
          <cell r="S231">
            <v>0.48822725201276018</v>
          </cell>
          <cell r="T231">
            <v>56.199141249999997</v>
          </cell>
          <cell r="U231">
            <v>0.43409056981729077</v>
          </cell>
          <cell r="V231">
            <v>72.71584750000001</v>
          </cell>
          <cell r="W231">
            <v>0.29389606108972366</v>
          </cell>
        </row>
        <row r="232">
          <cell r="L232">
            <v>0.3572516661377339</v>
          </cell>
          <cell r="N232">
            <v>0.32266967990515677</v>
          </cell>
          <cell r="P232">
            <v>0.46312679177585764</v>
          </cell>
          <cell r="R232">
            <v>0.36508631531875607</v>
          </cell>
          <cell r="T232">
            <v>0.36500000000000027</v>
          </cell>
          <cell r="V232">
            <v>0.36499999999999999</v>
          </cell>
        </row>
        <row r="233">
          <cell r="L233">
            <v>0</v>
          </cell>
          <cell r="M233" t="str">
            <v xml:space="preserve">      N.M.</v>
          </cell>
          <cell r="N233">
            <v>0</v>
          </cell>
          <cell r="O233" t="str">
            <v xml:space="preserve">      N.M.</v>
          </cell>
          <cell r="P233">
            <v>0</v>
          </cell>
          <cell r="Q233" t="str">
            <v xml:space="preserve">      N.M.</v>
          </cell>
          <cell r="R233">
            <v>0</v>
          </cell>
          <cell r="S233" t="str">
            <v xml:space="preserve">      N.M.</v>
          </cell>
          <cell r="T233">
            <v>0</v>
          </cell>
          <cell r="U233" t="str">
            <v xml:space="preserve">      N.M.</v>
          </cell>
          <cell r="V233">
            <v>0</v>
          </cell>
          <cell r="W233" t="str">
            <v xml:space="preserve">      N.M.</v>
          </cell>
        </row>
        <row r="234">
          <cell r="L234">
            <v>20.253000000000014</v>
          </cell>
          <cell r="M234" t="str">
            <v xml:space="preserve">     N.M.</v>
          </cell>
          <cell r="N234">
            <v>36.565000000000055</v>
          </cell>
          <cell r="O234">
            <v>0.80541154396879611</v>
          </cell>
          <cell r="P234">
            <v>30.525000000000134</v>
          </cell>
          <cell r="Q234">
            <v>-0.16518528647613595</v>
          </cell>
          <cell r="R234">
            <v>68.151000000000124</v>
          </cell>
          <cell r="S234">
            <v>1.2326289926289871</v>
          </cell>
          <cell r="T234">
            <v>97.771108749999883</v>
          </cell>
          <cell r="U234">
            <v>0.43462471203650277</v>
          </cell>
          <cell r="V234">
            <v>126.50565250000001</v>
          </cell>
          <cell r="W234">
            <v>0.29389606108972521</v>
          </cell>
        </row>
        <row r="235">
          <cell r="L235">
            <v>1.833</v>
          </cell>
          <cell r="M235">
            <v>-0.81971082915314253</v>
          </cell>
          <cell r="N235">
            <v>0</v>
          </cell>
          <cell r="O235">
            <v>-1</v>
          </cell>
          <cell r="P235">
            <v>0</v>
          </cell>
          <cell r="Q235" t="str">
            <v xml:space="preserve">      N.M.</v>
          </cell>
          <cell r="R235">
            <v>0</v>
          </cell>
          <cell r="S235" t="str">
            <v xml:space="preserve">      N.M.</v>
          </cell>
          <cell r="T235">
            <v>0</v>
          </cell>
          <cell r="U235" t="str">
            <v xml:space="preserve">      N.M.</v>
          </cell>
          <cell r="V235">
            <v>0</v>
          </cell>
          <cell r="W235" t="str">
            <v xml:space="preserve">      N.M.</v>
          </cell>
        </row>
        <row r="236">
          <cell r="L236">
            <v>0</v>
          </cell>
          <cell r="M236" t="str">
            <v xml:space="preserve">      N.M.</v>
          </cell>
          <cell r="N236">
            <v>0</v>
          </cell>
          <cell r="O236" t="str">
            <v xml:space="preserve">      N.M.</v>
          </cell>
          <cell r="P236">
            <v>0</v>
          </cell>
          <cell r="Q236" t="str">
            <v xml:space="preserve">      N.M.</v>
          </cell>
          <cell r="R236">
            <v>0</v>
          </cell>
          <cell r="S236" t="str">
            <v xml:space="preserve">      N.M.</v>
          </cell>
          <cell r="T236">
            <v>0</v>
          </cell>
          <cell r="U236" t="str">
            <v xml:space="preserve">      N.M.</v>
          </cell>
          <cell r="V236">
            <v>0</v>
          </cell>
          <cell r="W236" t="str">
            <v xml:space="preserve">      N.M.</v>
          </cell>
        </row>
        <row r="237">
          <cell r="L237">
            <v>22.086000000000013</v>
          </cell>
          <cell r="M237">
            <v>6.6927899686520957</v>
          </cell>
          <cell r="N237">
            <v>36.565000000000055</v>
          </cell>
          <cell r="O237">
            <v>0.65557366657611316</v>
          </cell>
          <cell r="P237">
            <v>30.525000000000134</v>
          </cell>
          <cell r="Q237">
            <v>-0.16518528647613595</v>
          </cell>
          <cell r="R237">
            <v>68.151000000000124</v>
          </cell>
          <cell r="S237">
            <v>1.2326289926289871</v>
          </cell>
          <cell r="T237">
            <v>97.771108749999883</v>
          </cell>
          <cell r="U237">
            <v>0.43462471203650277</v>
          </cell>
          <cell r="V237">
            <v>126.50565250000001</v>
          </cell>
          <cell r="W237">
            <v>0.29389606108972521</v>
          </cell>
        </row>
        <row r="238">
          <cell r="L238">
            <v>0</v>
          </cell>
          <cell r="M238" t="str">
            <v xml:space="preserve">      N.M.</v>
          </cell>
          <cell r="N238">
            <v>0</v>
          </cell>
          <cell r="O238" t="str">
            <v xml:space="preserve">      N.M.</v>
          </cell>
          <cell r="P238">
            <v>0</v>
          </cell>
          <cell r="Q238" t="str">
            <v xml:space="preserve">      N.M.</v>
          </cell>
          <cell r="R238">
            <v>0</v>
          </cell>
          <cell r="S238" t="str">
            <v xml:space="preserve">      N.M.</v>
          </cell>
          <cell r="T238">
            <v>0</v>
          </cell>
          <cell r="U238" t="str">
            <v xml:space="preserve">      N.M.</v>
          </cell>
          <cell r="V238">
            <v>0</v>
          </cell>
          <cell r="W238" t="str">
            <v xml:space="preserve">      N.M.</v>
          </cell>
        </row>
        <row r="239">
          <cell r="L239">
            <v>22.086000000000013</v>
          </cell>
          <cell r="M239">
            <v>6.6927899686520957</v>
          </cell>
          <cell r="N239">
            <v>36.565000000000055</v>
          </cell>
          <cell r="O239">
            <v>0.65557366657611316</v>
          </cell>
          <cell r="P239">
            <v>30.525000000000134</v>
          </cell>
          <cell r="Q239">
            <v>-0.16518528647613595</v>
          </cell>
          <cell r="R239">
            <v>68.151000000000124</v>
          </cell>
          <cell r="S239">
            <v>1.2326289926289871</v>
          </cell>
          <cell r="T239">
            <v>97.771108749999883</v>
          </cell>
          <cell r="U239">
            <v>0.43462471203650277</v>
          </cell>
          <cell r="V239">
            <v>126.50565250000001</v>
          </cell>
          <cell r="W239">
            <v>0.29389606108972521</v>
          </cell>
        </row>
        <row r="240">
          <cell r="L240">
            <v>8.1271135610122322E-2</v>
          </cell>
          <cell r="N240">
            <v>9.3282344597456143E-2</v>
          </cell>
          <cell r="P240">
            <v>5.35726508326798E-2</v>
          </cell>
          <cell r="R240">
            <v>9.4316069755501608E-2</v>
          </cell>
          <cell r="T240">
            <v>0.1037359244031829</v>
          </cell>
          <cell r="V240">
            <v>0.10243372672064778</v>
          </cell>
        </row>
        <row r="242">
          <cell r="L242">
            <v>39.576000000000001</v>
          </cell>
          <cell r="M242">
            <v>0.12457376676517384</v>
          </cell>
          <cell r="N242">
            <v>41.368000000000002</v>
          </cell>
          <cell r="O242">
            <v>4.527996765716602E-2</v>
          </cell>
          <cell r="P242">
            <v>40.432000000000002</v>
          </cell>
          <cell r="Q242">
            <v>-2.2626184490427415E-2</v>
          </cell>
          <cell r="R242">
            <v>42.356000000000002</v>
          </cell>
          <cell r="S242">
            <v>4.7586070439256112E-2</v>
          </cell>
          <cell r="T242">
            <v>52.025000000000006</v>
          </cell>
          <cell r="U242">
            <v>0.22827934649164239</v>
          </cell>
          <cell r="V242">
            <v>50.8</v>
          </cell>
          <cell r="W242">
            <v>-2.3546371936569166E-2</v>
          </cell>
        </row>
        <row r="243">
          <cell r="L243">
            <v>40.781999999999996</v>
          </cell>
          <cell r="M243">
            <v>0.10929169840060915</v>
          </cell>
          <cell r="N243">
            <v>47.927999999999997</v>
          </cell>
          <cell r="O243">
            <v>0.17522436368986316</v>
          </cell>
          <cell r="P243">
            <v>49.426000000000002</v>
          </cell>
          <cell r="Q243">
            <v>3.1255216157569876E-2</v>
          </cell>
          <cell r="R243">
            <v>50.4</v>
          </cell>
          <cell r="S243">
            <v>1.9706227491603556E-2</v>
          </cell>
          <cell r="T243">
            <v>52.025000000000006</v>
          </cell>
          <cell r="U243">
            <v>3.2242063492063711E-2</v>
          </cell>
          <cell r="V243">
            <v>53.3</v>
          </cell>
          <cell r="W243">
            <v>2.4507448342143023E-2</v>
          </cell>
        </row>
        <row r="245">
          <cell r="L245">
            <v>0.51427632908833654</v>
          </cell>
          <cell r="M245" t="str">
            <v xml:space="preserve">     N.M.</v>
          </cell>
          <cell r="N245">
            <v>0.88389576484239218</v>
          </cell>
          <cell r="O245">
            <v>0.71871757428401217</v>
          </cell>
          <cell r="P245">
            <v>0.75497130985358252</v>
          </cell>
          <cell r="Q245">
            <v>-0.14585934237596243</v>
          </cell>
          <cell r="R245">
            <v>1.609004627443573</v>
          </cell>
          <cell r="S245">
            <v>1.1312129433840603</v>
          </cell>
          <cell r="T245">
            <v>1.8793101153291685</v>
          </cell>
          <cell r="U245">
            <v>0.16799546954384059</v>
          </cell>
          <cell r="V245">
            <v>2.4902687500000003</v>
          </cell>
          <cell r="W245">
            <v>0.32509729484631644</v>
          </cell>
        </row>
        <row r="246">
          <cell r="L246">
            <v>0.56059227814837287</v>
          </cell>
          <cell r="M246">
            <v>5.871599948658158</v>
          </cell>
          <cell r="N246">
            <v>0.88389576484239218</v>
          </cell>
          <cell r="O246">
            <v>0.57671769536656026</v>
          </cell>
          <cell r="P246">
            <v>0.75497130985358274</v>
          </cell>
          <cell r="Q246">
            <v>-0.14585934237596221</v>
          </cell>
          <cell r="R246">
            <v>1.609004627443573</v>
          </cell>
          <cell r="S246">
            <v>1.1312129433840594</v>
          </cell>
          <cell r="T246">
            <v>1.8793101153291685</v>
          </cell>
          <cell r="U246">
            <v>0.16799546954384059</v>
          </cell>
          <cell r="V246">
            <v>2.4902687500000003</v>
          </cell>
          <cell r="W246">
            <v>0.32509729484631644</v>
          </cell>
        </row>
        <row r="247">
          <cell r="L247">
            <v>0.50397234073856134</v>
          </cell>
          <cell r="M247" t="str">
            <v xml:space="preserve">     N.M.</v>
          </cell>
          <cell r="N247">
            <v>0.82759556000667844</v>
          </cell>
          <cell r="O247">
            <v>0.64214480261725027</v>
          </cell>
          <cell r="P247">
            <v>0.68132157164245633</v>
          </cell>
          <cell r="Q247">
            <v>-0.17674573841725505</v>
          </cell>
          <cell r="R247">
            <v>1.43156746031746</v>
          </cell>
          <cell r="S247">
            <v>1.1011626813259294</v>
          </cell>
          <cell r="T247">
            <v>1.8793101153291685</v>
          </cell>
          <cell r="U247">
            <v>0.31276392305844847</v>
          </cell>
          <cell r="V247">
            <v>2.373464399624766</v>
          </cell>
          <cell r="W247">
            <v>0.26294451366215554</v>
          </cell>
        </row>
        <row r="248">
          <cell r="L248">
            <v>1.038767103133736</v>
          </cell>
          <cell r="M248">
            <v>0.51286431009027056</v>
          </cell>
          <cell r="N248">
            <v>1.437218327491238</v>
          </cell>
          <cell r="O248">
            <v>0.38358090389603294</v>
          </cell>
          <cell r="P248">
            <v>1.5929267996601006</v>
          </cell>
          <cell r="Q248">
            <v>0.10834016599319485</v>
          </cell>
          <cell r="R248">
            <v>2.6838293650793679</v>
          </cell>
          <cell r="S248">
            <v>0.68484161711137292</v>
          </cell>
          <cell r="T248">
            <v>3.4900576645843318</v>
          </cell>
          <cell r="U248">
            <v>0.30040222004990302</v>
          </cell>
          <cell r="V248">
            <v>3.5932739212007512</v>
          </cell>
          <cell r="W248">
            <v>2.9574369977841686E-2</v>
          </cell>
        </row>
        <row r="249">
          <cell r="L249">
            <v>0</v>
          </cell>
          <cell r="M249" t="str">
            <v xml:space="preserve">      N.M.</v>
          </cell>
          <cell r="N249">
            <v>0</v>
          </cell>
          <cell r="O249" t="str">
            <v xml:space="preserve">      N.M.</v>
          </cell>
          <cell r="P249">
            <v>0</v>
          </cell>
          <cell r="Q249" t="str">
            <v xml:space="preserve">      N.M.</v>
          </cell>
          <cell r="R249">
            <v>0</v>
          </cell>
          <cell r="S249" t="str">
            <v xml:space="preserve">      N.M.</v>
          </cell>
          <cell r="T249">
            <v>0</v>
          </cell>
          <cell r="U249" t="str">
            <v xml:space="preserve">      N.M.</v>
          </cell>
          <cell r="V249">
            <v>0</v>
          </cell>
          <cell r="W249" t="str">
            <v xml:space="preserve">      N.M.</v>
          </cell>
        </row>
        <row r="251">
          <cell r="L251">
            <v>9.6572090330052109</v>
          </cell>
          <cell r="M251">
            <v>-0.24905618286628328</v>
          </cell>
          <cell r="N251">
            <v>8.7038610699212953</v>
          </cell>
          <cell r="O251">
            <v>-9.8718787159486898E-2</v>
          </cell>
          <cell r="P251">
            <v>8.6975181366933949</v>
          </cell>
          <cell r="Q251">
            <v>-7.2874936501687859E-4</v>
          </cell>
          <cell r="R251">
            <v>8.6150144369586155</v>
          </cell>
          <cell r="S251">
            <v>-9.4858899329809399E-3</v>
          </cell>
          <cell r="T251">
            <v>8.8747033697199829</v>
          </cell>
          <cell r="U251">
            <v>3.0143760600945146E-2</v>
          </cell>
          <cell r="V251">
            <v>7.9706979591836733</v>
          </cell>
          <cell r="W251">
            <v>-0.10186316915343085</v>
          </cell>
        </row>
        <row r="252">
          <cell r="L252">
            <v>43.359177500487569</v>
          </cell>
          <cell r="M252">
            <v>0.36629228222184573</v>
          </cell>
          <cell r="N252">
            <v>41.504762973810017</v>
          </cell>
          <cell r="O252">
            <v>-4.2768673982727212E-2</v>
          </cell>
          <cell r="P252">
            <v>40.505030827309149</v>
          </cell>
          <cell r="Q252">
            <v>-2.4087166745939803E-2</v>
          </cell>
          <cell r="R252">
            <v>43.410385825256952</v>
          </cell>
          <cell r="S252">
            <v>7.1728250506328806E-2</v>
          </cell>
          <cell r="T252">
            <v>42.384509283819632</v>
          </cell>
          <cell r="U252">
            <v>-2.3632053065984149E-2</v>
          </cell>
          <cell r="V252">
            <v>46.639676113360323</v>
          </cell>
          <cell r="W252">
            <v>0.10039438704001014</v>
          </cell>
        </row>
        <row r="253">
          <cell r="L253">
            <v>0</v>
          </cell>
          <cell r="N253">
            <v>0</v>
          </cell>
          <cell r="P253">
            <v>0</v>
          </cell>
          <cell r="R253">
            <v>0.60047483949896274</v>
          </cell>
          <cell r="T253">
            <v>0.66521485411140591</v>
          </cell>
          <cell r="V253">
            <v>0.67</v>
          </cell>
        </row>
        <row r="254">
          <cell r="L254">
            <v>0</v>
          </cell>
          <cell r="N254">
            <v>0</v>
          </cell>
          <cell r="P254">
            <v>0</v>
          </cell>
          <cell r="R254">
            <v>0.71403449578663158</v>
          </cell>
          <cell r="T254">
            <v>0.7852148541114059</v>
          </cell>
          <cell r="V254">
            <v>0.79</v>
          </cell>
        </row>
        <row r="255">
          <cell r="L255">
            <v>27.349281000000012</v>
          </cell>
          <cell r="M255" t="str">
            <v xml:space="preserve">      N.M.</v>
          </cell>
          <cell r="N255">
            <v>135.36521399999998</v>
          </cell>
          <cell r="O255">
            <v>3.9494980873537378</v>
          </cell>
          <cell r="P255">
            <v>118.717918</v>
          </cell>
          <cell r="Q255">
            <v>-0.12298060563772306</v>
          </cell>
          <cell r="R255">
            <v>110.71861000000001</v>
          </cell>
          <cell r="S255">
            <v>-6.738079756418891E-2</v>
          </cell>
          <cell r="T255">
            <v>115.5</v>
          </cell>
          <cell r="U255">
            <v>4.3185061662172064E-2</v>
          </cell>
          <cell r="V255">
            <v>123.5</v>
          </cell>
          <cell r="W255">
            <v>6.9264069264069361E-2</v>
          </cell>
        </row>
        <row r="256">
          <cell r="L256">
            <v>244.40771899999999</v>
          </cell>
          <cell r="M256" t="str">
            <v xml:space="preserve">      N.M.</v>
          </cell>
          <cell r="N256">
            <v>256.61678599999999</v>
          </cell>
          <cell r="O256">
            <v>4.9953688246646699E-2</v>
          </cell>
          <cell r="P256">
            <v>451.98208199999999</v>
          </cell>
          <cell r="Q256">
            <v>0.76131144437293363</v>
          </cell>
          <cell r="R256">
            <v>611.86239</v>
          </cell>
          <cell r="S256">
            <v>0.35373151805606318</v>
          </cell>
          <cell r="T256">
            <v>827</v>
          </cell>
          <cell r="U256">
            <v>0.35161110327438161</v>
          </cell>
          <cell r="V256">
            <v>1111.5</v>
          </cell>
          <cell r="W256">
            <v>0.34401451027811358</v>
          </cell>
        </row>
        <row r="263">
          <cell r="F263" t="str">
            <v>Sanmina Corporation</v>
          </cell>
        </row>
        <row r="264">
          <cell r="F264" t="str">
            <v>Statement Of Changes In Fin'l Position</v>
          </cell>
        </row>
        <row r="265">
          <cell r="F265" t="str">
            <v>($ In Millions Except Per Share Data)</v>
          </cell>
        </row>
        <row r="266">
          <cell r="D266" t="str">
            <v>Estimated Restated for Elexsys Acquisition</v>
          </cell>
        </row>
        <row r="267">
          <cell r="B267" t="str">
            <v xml:space="preserve">    1991A</v>
          </cell>
          <cell r="C267" t="str">
            <v xml:space="preserve">    1992A</v>
          </cell>
          <cell r="D267" t="str">
            <v>1993RE</v>
          </cell>
          <cell r="E267" t="str">
            <v>1994RE</v>
          </cell>
          <cell r="F267" t="str">
            <v>1995RE</v>
          </cell>
          <cell r="G267" t="str">
            <v>1996RE</v>
          </cell>
          <cell r="H267" t="str">
            <v>1997RE</v>
          </cell>
          <cell r="I267" t="str">
            <v>1998P</v>
          </cell>
          <cell r="J267" t="str">
            <v>1999E</v>
          </cell>
          <cell r="K267" t="str">
            <v>2000E</v>
          </cell>
        </row>
        <row r="269">
          <cell r="B269">
            <v>-13.233000000000009</v>
          </cell>
          <cell r="C269">
            <v>-14.124000000000006</v>
          </cell>
          <cell r="D269">
            <v>-11.234000000000002</v>
          </cell>
          <cell r="E269">
            <v>2.87099999999998</v>
          </cell>
          <cell r="F269">
            <v>22.086000000000013</v>
          </cell>
          <cell r="G269">
            <v>36.565000000000055</v>
          </cell>
          <cell r="H269">
            <v>30.525000000000134</v>
          </cell>
          <cell r="I269">
            <v>68.151000000000124</v>
          </cell>
          <cell r="J269">
            <v>97.771108749999883</v>
          </cell>
          <cell r="K269">
            <v>126.50565250000001</v>
          </cell>
        </row>
        <row r="270">
          <cell r="B270">
            <v>4.2969999999999997</v>
          </cell>
          <cell r="C270">
            <v>4.274</v>
          </cell>
          <cell r="D270">
            <v>11.794</v>
          </cell>
          <cell r="E270">
            <v>10.704000000000001</v>
          </cell>
          <cell r="F270">
            <v>10.012</v>
          </cell>
          <cell r="G270">
            <v>13.554</v>
          </cell>
          <cell r="H270">
            <v>19.413</v>
          </cell>
          <cell r="I270">
            <v>27.238</v>
          </cell>
          <cell r="J270">
            <v>34</v>
          </cell>
          <cell r="K270">
            <v>37</v>
          </cell>
        </row>
        <row r="271">
          <cell r="B271">
            <v>0</v>
          </cell>
          <cell r="C271">
            <v>0</v>
          </cell>
          <cell r="D271">
            <v>0</v>
          </cell>
          <cell r="E271">
            <v>0</v>
          </cell>
          <cell r="F271">
            <v>0</v>
          </cell>
          <cell r="G271">
            <v>0</v>
          </cell>
          <cell r="H271">
            <v>0</v>
          </cell>
          <cell r="I271">
            <v>0</v>
          </cell>
          <cell r="J271">
            <v>0</v>
          </cell>
          <cell r="K271">
            <v>0</v>
          </cell>
        </row>
        <row r="272">
          <cell r="B272">
            <v>1.321</v>
          </cell>
          <cell r="C272">
            <v>0.95199999999999996</v>
          </cell>
          <cell r="D272">
            <v>3.8239999999999998</v>
          </cell>
          <cell r="E272">
            <v>6.7519999999999989</v>
          </cell>
          <cell r="F272">
            <v>-1.833</v>
          </cell>
          <cell r="G272">
            <v>0</v>
          </cell>
          <cell r="H272">
            <v>19</v>
          </cell>
          <cell r="I272">
            <v>0</v>
          </cell>
          <cell r="J272">
            <v>0</v>
          </cell>
          <cell r="K272">
            <v>0</v>
          </cell>
        </row>
        <row r="273">
          <cell r="B273">
            <v>1.177</v>
          </cell>
          <cell r="C273">
            <v>1.0579999999999998</v>
          </cell>
          <cell r="D273">
            <v>0.52600000000000002</v>
          </cell>
          <cell r="E273">
            <v>0.27900000000000003</v>
          </cell>
          <cell r="F273">
            <v>0.36099999999999999</v>
          </cell>
          <cell r="G273">
            <v>0.55200000000000005</v>
          </cell>
          <cell r="H273">
            <v>0.5</v>
          </cell>
          <cell r="I273">
            <v>0.5</v>
          </cell>
          <cell r="J273">
            <v>0.5</v>
          </cell>
          <cell r="K273">
            <v>0.5</v>
          </cell>
        </row>
        <row r="274">
          <cell r="B274">
            <v>-6.4380000000000113</v>
          </cell>
          <cell r="C274">
            <v>-7.8400000000000052</v>
          </cell>
          <cell r="D274">
            <v>4.9099999999999984</v>
          </cell>
          <cell r="E274">
            <v>20.60599999999998</v>
          </cell>
          <cell r="F274">
            <v>30.626000000000015</v>
          </cell>
          <cell r="G274">
            <v>50.671000000000056</v>
          </cell>
          <cell r="H274">
            <v>69.43800000000013</v>
          </cell>
          <cell r="I274">
            <v>95.889000000000124</v>
          </cell>
          <cell r="J274">
            <v>132.27110874999988</v>
          </cell>
          <cell r="K274">
            <v>164.0056525</v>
          </cell>
        </row>
        <row r="278">
          <cell r="B278">
            <v>-3.6999999999999998E-2</v>
          </cell>
          <cell r="C278">
            <v>-1.2470000000000001</v>
          </cell>
          <cell r="D278">
            <v>-0.17300000000000004</v>
          </cell>
          <cell r="E278">
            <v>-5.7149999999999999</v>
          </cell>
          <cell r="F278">
            <v>-11.818</v>
          </cell>
          <cell r="G278">
            <v>-8.1199999999999992</v>
          </cell>
          <cell r="H278">
            <v>-26.450000000000003</v>
          </cell>
          <cell r="I278">
            <v>-19.596000000000004</v>
          </cell>
          <cell r="J278">
            <v>-28.069999999999993</v>
          </cell>
          <cell r="K278">
            <v>-35</v>
          </cell>
        </row>
        <row r="279">
          <cell r="B279">
            <v>-0.39100000000000001</v>
          </cell>
          <cell r="C279">
            <v>2.0859999999999999</v>
          </cell>
          <cell r="D279">
            <v>-5.7089999999999996</v>
          </cell>
          <cell r="E279">
            <v>0.36900000000000011</v>
          </cell>
          <cell r="F279">
            <v>-4.4319999999999995</v>
          </cell>
          <cell r="G279">
            <v>-12.066000000000001</v>
          </cell>
          <cell r="H279">
            <v>-19.161999999999999</v>
          </cell>
          <cell r="I279">
            <v>-6.9920000000000044</v>
          </cell>
          <cell r="J279">
            <v>-28.546999999999997</v>
          </cell>
          <cell r="K279">
            <v>-25</v>
          </cell>
        </row>
        <row r="280">
          <cell r="B280">
            <v>1.2E-2</v>
          </cell>
          <cell r="C280">
            <v>-4.9999999999999989E-2</v>
          </cell>
          <cell r="D280">
            <v>0.94799999999999995</v>
          </cell>
          <cell r="E280">
            <v>4.7E-2</v>
          </cell>
          <cell r="F280">
            <v>-2.899999999999997E-2</v>
          </cell>
          <cell r="G280">
            <v>-0.56999999999999995</v>
          </cell>
          <cell r="H280">
            <v>-3.3</v>
          </cell>
          <cell r="I280">
            <v>-8.1130000000000013</v>
          </cell>
          <cell r="J280">
            <v>0</v>
          </cell>
          <cell r="K280">
            <v>0</v>
          </cell>
        </row>
        <row r="282">
          <cell r="B282">
            <v>1.1319999999999999</v>
          </cell>
          <cell r="C282">
            <v>1.69</v>
          </cell>
          <cell r="D282">
            <v>1.03</v>
          </cell>
          <cell r="E282">
            <v>-4.2780000000000005</v>
          </cell>
          <cell r="F282">
            <v>13.689</v>
          </cell>
          <cell r="G282">
            <v>4.5140000000000002</v>
          </cell>
          <cell r="H282">
            <v>23.83</v>
          </cell>
          <cell r="I282">
            <v>24.634999999999991</v>
          </cell>
          <cell r="J282">
            <v>21.5</v>
          </cell>
          <cell r="K282">
            <v>37.5</v>
          </cell>
        </row>
        <row r="283">
          <cell r="B283">
            <v>0</v>
          </cell>
          <cell r="C283">
            <v>0.45700000000000002</v>
          </cell>
          <cell r="D283">
            <v>2.3860000000000001</v>
          </cell>
          <cell r="E283">
            <v>0.15</v>
          </cell>
          <cell r="F283">
            <v>1.042</v>
          </cell>
          <cell r="G283">
            <v>0.432</v>
          </cell>
          <cell r="H283">
            <v>0</v>
          </cell>
          <cell r="I283">
            <v>-0.5</v>
          </cell>
          <cell r="J283">
            <v>0</v>
          </cell>
          <cell r="K283">
            <v>0</v>
          </cell>
        </row>
        <row r="284">
          <cell r="B284">
            <v>-0.74099999999999999</v>
          </cell>
          <cell r="C284">
            <v>0</v>
          </cell>
          <cell r="D284">
            <v>-0.9880000000000001</v>
          </cell>
          <cell r="E284">
            <v>-1.6159999999999999</v>
          </cell>
          <cell r="F284">
            <v>-1.452</v>
          </cell>
          <cell r="G284">
            <v>-1.0009999999999999</v>
          </cell>
          <cell r="H284">
            <v>0</v>
          </cell>
          <cell r="I284">
            <v>0</v>
          </cell>
          <cell r="J284">
            <v>0</v>
          </cell>
          <cell r="K284">
            <v>0</v>
          </cell>
        </row>
        <row r="285">
          <cell r="B285">
            <v>-2.5000000000000022E-2</v>
          </cell>
          <cell r="C285">
            <v>2.9359999999999995</v>
          </cell>
          <cell r="D285">
            <v>-2.5059999999999989</v>
          </cell>
          <cell r="E285">
            <v>-11.043000000000001</v>
          </cell>
          <cell r="F285">
            <v>-3</v>
          </cell>
          <cell r="G285">
            <v>-16.811</v>
          </cell>
          <cell r="H285">
            <v>-25.082000000000001</v>
          </cell>
          <cell r="I285">
            <v>-10.566000000000017</v>
          </cell>
          <cell r="J285">
            <v>-35.11699999999999</v>
          </cell>
          <cell r="K285">
            <v>-22.5</v>
          </cell>
        </row>
        <row r="286">
          <cell r="B286">
            <v>-6.4630000000000116</v>
          </cell>
          <cell r="C286">
            <v>-4.9040000000000052</v>
          </cell>
          <cell r="D286">
            <v>2.4039999999999995</v>
          </cell>
          <cell r="E286">
            <v>9.5629999999999793</v>
          </cell>
          <cell r="F286">
            <v>27.626000000000015</v>
          </cell>
          <cell r="G286">
            <v>33.860000000000056</v>
          </cell>
          <cell r="H286">
            <v>44.35600000000013</v>
          </cell>
          <cell r="I286">
            <v>85.323000000000107</v>
          </cell>
          <cell r="J286">
            <v>97.154108749999892</v>
          </cell>
          <cell r="K286">
            <v>141.5056525</v>
          </cell>
        </row>
        <row r="289">
          <cell r="B289">
            <v>-3.2690000000000001</v>
          </cell>
          <cell r="C289">
            <v>-2.0550000000000002</v>
          </cell>
          <cell r="D289">
            <v>-7.798</v>
          </cell>
          <cell r="E289">
            <v>-6.7519999999999998</v>
          </cell>
          <cell r="F289">
            <v>-14.608000000000001</v>
          </cell>
          <cell r="G289">
            <v>-29.675000000000001</v>
          </cell>
          <cell r="H289">
            <v>-33.4</v>
          </cell>
          <cell r="I289">
            <v>-34.5</v>
          </cell>
          <cell r="J289">
            <v>-35</v>
          </cell>
          <cell r="K289">
            <v>-37.5</v>
          </cell>
        </row>
        <row r="290">
          <cell r="B290">
            <v>0</v>
          </cell>
          <cell r="C290">
            <v>0</v>
          </cell>
          <cell r="D290">
            <v>0</v>
          </cell>
          <cell r="E290">
            <v>0</v>
          </cell>
          <cell r="F290">
            <v>-9.6210000000000004</v>
          </cell>
          <cell r="G290">
            <v>-6.6869999999999994</v>
          </cell>
          <cell r="H290">
            <v>-6.3550000000000004</v>
          </cell>
          <cell r="I290">
            <v>-31</v>
          </cell>
          <cell r="J290">
            <v>0</v>
          </cell>
          <cell r="K290">
            <v>0</v>
          </cell>
        </row>
        <row r="291">
          <cell r="B291">
            <v>0</v>
          </cell>
          <cell r="C291">
            <v>0</v>
          </cell>
          <cell r="D291">
            <v>0.69</v>
          </cell>
          <cell r="E291">
            <v>7.9000000000000001E-2</v>
          </cell>
          <cell r="F291">
            <v>0.64399999999999991</v>
          </cell>
          <cell r="G291">
            <v>2.7E-2</v>
          </cell>
          <cell r="H291">
            <v>0</v>
          </cell>
          <cell r="I291">
            <v>8</v>
          </cell>
          <cell r="J291">
            <v>0</v>
          </cell>
          <cell r="K291">
            <v>0</v>
          </cell>
        </row>
        <row r="292">
          <cell r="B292">
            <v>0</v>
          </cell>
          <cell r="C292">
            <v>0</v>
          </cell>
          <cell r="D292">
            <v>0</v>
          </cell>
          <cell r="E292">
            <v>0</v>
          </cell>
          <cell r="F292">
            <v>0</v>
          </cell>
          <cell r="G292">
            <v>0</v>
          </cell>
          <cell r="H292">
            <v>0</v>
          </cell>
          <cell r="I292">
            <v>0</v>
          </cell>
          <cell r="J292">
            <v>0</v>
          </cell>
          <cell r="K292">
            <v>0</v>
          </cell>
        </row>
        <row r="293">
          <cell r="B293">
            <v>0</v>
          </cell>
          <cell r="C293">
            <v>0</v>
          </cell>
          <cell r="D293">
            <v>0</v>
          </cell>
          <cell r="E293">
            <v>0</v>
          </cell>
          <cell r="F293">
            <v>-2.1999999999999999E-2</v>
          </cell>
          <cell r="G293">
            <v>0</v>
          </cell>
          <cell r="H293">
            <v>0</v>
          </cell>
          <cell r="I293">
            <v>0</v>
          </cell>
          <cell r="J293">
            <v>0</v>
          </cell>
          <cell r="K293">
            <v>0</v>
          </cell>
        </row>
        <row r="294">
          <cell r="B294">
            <v>0</v>
          </cell>
          <cell r="C294">
            <v>0</v>
          </cell>
          <cell r="D294">
            <v>10.010999999999999</v>
          </cell>
          <cell r="E294">
            <v>-7.17</v>
          </cell>
          <cell r="F294">
            <v>4.352999999999998</v>
          </cell>
          <cell r="G294">
            <v>-78.538000000000011</v>
          </cell>
          <cell r="H294">
            <v>0</v>
          </cell>
          <cell r="I294">
            <v>0</v>
          </cell>
          <cell r="J294">
            <v>0</v>
          </cell>
          <cell r="K294">
            <v>0</v>
          </cell>
        </row>
        <row r="295">
          <cell r="B295">
            <v>-3.2690000000000001</v>
          </cell>
          <cell r="C295">
            <v>-2.0550000000000002</v>
          </cell>
          <cell r="D295">
            <v>2.9029999999999987</v>
          </cell>
          <cell r="E295">
            <v>-13.843</v>
          </cell>
          <cell r="F295">
            <v>-19.254000000000001</v>
          </cell>
          <cell r="G295">
            <v>-114.87300000000002</v>
          </cell>
          <cell r="H295">
            <v>-39.754999999999995</v>
          </cell>
          <cell r="I295">
            <v>-57.5</v>
          </cell>
          <cell r="J295">
            <v>-35</v>
          </cell>
          <cell r="K295">
            <v>-37.5</v>
          </cell>
        </row>
        <row r="296">
          <cell r="B296">
            <v>-9.7320000000000118</v>
          </cell>
          <cell r="C296">
            <v>-6.959000000000005</v>
          </cell>
          <cell r="D296">
            <v>5.3069999999999986</v>
          </cell>
          <cell r="E296">
            <v>-4.2800000000000207</v>
          </cell>
          <cell r="F296">
            <v>8.3720000000000141</v>
          </cell>
          <cell r="G296">
            <v>-81.012999999999963</v>
          </cell>
          <cell r="H296">
            <v>4.6010000000001341</v>
          </cell>
          <cell r="I296">
            <v>27.823000000000107</v>
          </cell>
          <cell r="J296">
            <v>62.154108749999892</v>
          </cell>
          <cell r="K296">
            <v>104.0056525</v>
          </cell>
        </row>
        <row r="299">
          <cell r="B299">
            <v>1</v>
          </cell>
          <cell r="C299">
            <v>0</v>
          </cell>
          <cell r="D299">
            <v>-4.431</v>
          </cell>
          <cell r="E299">
            <v>-0.98199999999999976</v>
          </cell>
          <cell r="F299">
            <v>-0.20799999999999999</v>
          </cell>
          <cell r="G299">
            <v>0.51599999999999979</v>
          </cell>
          <cell r="H299">
            <v>0</v>
          </cell>
          <cell r="I299">
            <v>-8.7880000000000003</v>
          </cell>
          <cell r="J299">
            <v>0</v>
          </cell>
          <cell r="K299">
            <v>0</v>
          </cell>
        </row>
        <row r="300">
          <cell r="B300">
            <v>-3.3730000000000002</v>
          </cell>
          <cell r="C300">
            <v>-3.0670000000000002</v>
          </cell>
          <cell r="D300">
            <v>-26.32</v>
          </cell>
          <cell r="E300">
            <v>-4.4999999999999998E-2</v>
          </cell>
          <cell r="F300">
            <v>81.14200000000001</v>
          </cell>
          <cell r="G300">
            <v>-0.748</v>
          </cell>
          <cell r="H300">
            <v>0</v>
          </cell>
          <cell r="I300">
            <v>-99.740000000000009</v>
          </cell>
          <cell r="J300">
            <v>0</v>
          </cell>
          <cell r="K300">
            <v>0</v>
          </cell>
        </row>
        <row r="301">
          <cell r="B301">
            <v>0</v>
          </cell>
          <cell r="C301">
            <v>0</v>
          </cell>
          <cell r="D301">
            <v>20.905000000000001</v>
          </cell>
          <cell r="E301">
            <v>21.858000000000001</v>
          </cell>
          <cell r="F301">
            <v>1.9570000000000001</v>
          </cell>
          <cell r="G301">
            <v>0</v>
          </cell>
          <cell r="H301">
            <v>0</v>
          </cell>
          <cell r="I301">
            <v>0</v>
          </cell>
          <cell r="J301">
            <v>0</v>
          </cell>
          <cell r="K301">
            <v>0</v>
          </cell>
        </row>
        <row r="302">
          <cell r="B302">
            <v>0</v>
          </cell>
          <cell r="C302">
            <v>0</v>
          </cell>
          <cell r="D302">
            <v>0</v>
          </cell>
          <cell r="E302">
            <v>0</v>
          </cell>
          <cell r="F302">
            <v>0.68799999999999994</v>
          </cell>
          <cell r="G302">
            <v>3.6949999999999998</v>
          </cell>
          <cell r="H302">
            <v>11.3</v>
          </cell>
          <cell r="I302">
            <v>172.33500000000001</v>
          </cell>
          <cell r="J302">
            <v>0</v>
          </cell>
          <cell r="K302">
            <v>0</v>
          </cell>
        </row>
        <row r="303">
          <cell r="B303">
            <v>2.7E-2</v>
          </cell>
          <cell r="C303">
            <v>5.0000000000000001E-3</v>
          </cell>
          <cell r="D303">
            <v>3.5000000000000003E-2</v>
          </cell>
          <cell r="E303">
            <v>9.2999999999999999E-2</v>
          </cell>
          <cell r="F303">
            <v>0</v>
          </cell>
          <cell r="G303">
            <v>0</v>
          </cell>
          <cell r="H303">
            <v>-5.25</v>
          </cell>
          <cell r="I303">
            <v>0</v>
          </cell>
          <cell r="J303">
            <v>0</v>
          </cell>
          <cell r="K303">
            <v>0</v>
          </cell>
        </row>
        <row r="304">
          <cell r="B304">
            <v>-2.3460000000000001</v>
          </cell>
          <cell r="C304">
            <v>-3.0620000000000003</v>
          </cell>
          <cell r="D304">
            <v>-9.8109999999999999</v>
          </cell>
          <cell r="E304">
            <v>20.923999999999999</v>
          </cell>
          <cell r="F304">
            <v>83.579000000000008</v>
          </cell>
          <cell r="G304">
            <v>3.4629999999999996</v>
          </cell>
          <cell r="H304">
            <v>6.0500000000000007</v>
          </cell>
          <cell r="I304">
            <v>63.807000000000002</v>
          </cell>
          <cell r="J304">
            <v>0</v>
          </cell>
          <cell r="K304">
            <v>0</v>
          </cell>
        </row>
        <row r="306">
          <cell r="B306">
            <v>-12.078000000000012</v>
          </cell>
          <cell r="C306">
            <v>-10.021000000000004</v>
          </cell>
          <cell r="D306">
            <v>-4.5040000000000013</v>
          </cell>
          <cell r="E306">
            <v>16.643999999999977</v>
          </cell>
          <cell r="F306">
            <v>91.951000000000022</v>
          </cell>
          <cell r="G306">
            <v>-77.549999999999969</v>
          </cell>
          <cell r="H306">
            <v>10.651000000000135</v>
          </cell>
          <cell r="I306">
            <v>91.630000000000109</v>
          </cell>
          <cell r="J306">
            <v>62.154108749999892</v>
          </cell>
          <cell r="K306">
            <v>104.0056525</v>
          </cell>
        </row>
        <row r="307">
          <cell r="B307">
            <v>2.0049999999999999</v>
          </cell>
          <cell r="C307">
            <v>-10.073000000000011</v>
          </cell>
          <cell r="D307">
            <v>7.5280000000000058</v>
          </cell>
          <cell r="E307">
            <v>3.0240000000000045</v>
          </cell>
          <cell r="F307">
            <v>19.667999999999981</v>
          </cell>
          <cell r="G307">
            <v>111.619</v>
          </cell>
          <cell r="H307">
            <v>34.069000000000031</v>
          </cell>
          <cell r="I307">
            <v>44.720000000000169</v>
          </cell>
          <cell r="J307">
            <v>136.35000000000028</v>
          </cell>
          <cell r="K307">
            <v>198.50410875000017</v>
          </cell>
        </row>
        <row r="308">
          <cell r="B308">
            <v>-10.073000000000011</v>
          </cell>
          <cell r="C308">
            <v>7.5280000000000058</v>
          </cell>
          <cell r="D308">
            <v>3.0240000000000045</v>
          </cell>
          <cell r="E308">
            <v>19.667999999999981</v>
          </cell>
          <cell r="F308">
            <v>111.619</v>
          </cell>
          <cell r="G308">
            <v>34.069000000000031</v>
          </cell>
          <cell r="H308">
            <v>44.720000000000169</v>
          </cell>
          <cell r="I308">
            <v>136.35000000000028</v>
          </cell>
          <cell r="J308">
            <v>198.50410875000017</v>
          </cell>
          <cell r="K308">
            <v>302.50976125000017</v>
          </cell>
        </row>
        <row r="311">
          <cell r="B311">
            <v>-0.4094935038273167</v>
          </cell>
          <cell r="C311">
            <v>-0.45211774706743146</v>
          </cell>
          <cell r="D311">
            <v>2.0898579195165811E-2</v>
          </cell>
          <cell r="E311">
            <v>0.3857410775176171</v>
          </cell>
          <cell r="F311">
            <v>0.8110470992520723</v>
          </cell>
          <cell r="G311">
            <v>1.2115403210210804</v>
          </cell>
          <cell r="H311">
            <v>1.2351108033241029</v>
          </cell>
          <cell r="I311">
            <v>2.252077627726889</v>
          </cell>
          <cell r="J311">
            <v>2.5328420711196515</v>
          </cell>
          <cell r="K311">
            <v>3.2186152066929137</v>
          </cell>
        </row>
        <row r="312">
          <cell r="B312">
            <v>-0.55929590579816457</v>
          </cell>
          <cell r="C312">
            <v>-0.54644282018657575</v>
          </cell>
          <cell r="D312">
            <v>-0.27011413609751878</v>
          </cell>
          <cell r="E312">
            <v>0.19387929074789673</v>
          </cell>
          <cell r="F312">
            <v>0.44193450576106763</v>
          </cell>
          <cell r="G312">
            <v>0.49419841423322508</v>
          </cell>
          <cell r="H312">
            <v>0.40903244954491813</v>
          </cell>
          <cell r="I312">
            <v>1.4375531211634744</v>
          </cell>
          <cell r="J312">
            <v>1.8600885872176813</v>
          </cell>
          <cell r="K312">
            <v>2.4804262303149609</v>
          </cell>
        </row>
        <row r="313">
          <cell r="B313">
            <v>-0.56044153444584621</v>
          </cell>
          <cell r="C313">
            <v>-0.41167960136525816</v>
          </cell>
          <cell r="D313">
            <v>-0.36363527799588596</v>
          </cell>
          <cell r="E313">
            <v>-0.1199136167310758</v>
          </cell>
          <cell r="F313">
            <v>0.36613098847786568</v>
          </cell>
          <cell r="G313">
            <v>8.7821504544576864E-2</v>
          </cell>
          <cell r="H313">
            <v>-0.21131776810446845</v>
          </cell>
          <cell r="I313">
            <v>1.1880961375011829</v>
          </cell>
          <cell r="J313">
            <v>1.1850861845266676</v>
          </cell>
          <cell r="K313">
            <v>2.0375128444881891</v>
          </cell>
        </row>
        <row r="314">
          <cell r="B314">
            <v>0</v>
          </cell>
          <cell r="C314">
            <v>0</v>
          </cell>
          <cell r="D314">
            <v>0</v>
          </cell>
          <cell r="E314">
            <v>0</v>
          </cell>
          <cell r="F314">
            <v>0</v>
          </cell>
          <cell r="G314">
            <v>0</v>
          </cell>
          <cell r="H314">
            <v>0</v>
          </cell>
          <cell r="I314">
            <v>0</v>
          </cell>
          <cell r="J314">
            <v>0</v>
          </cell>
          <cell r="K314">
            <v>0</v>
          </cell>
        </row>
        <row r="315">
          <cell r="B315">
            <v>0</v>
          </cell>
          <cell r="C315">
            <v>0.17602756954351281</v>
          </cell>
          <cell r="D315">
            <v>2.2727204874743039E-2</v>
          </cell>
          <cell r="E315">
            <v>0.77892702887019716</v>
          </cell>
          <cell r="F315">
            <v>2.9060541742470183</v>
          </cell>
          <cell r="G315">
            <v>2.8045107329336685</v>
          </cell>
          <cell r="H315">
            <v>3.0458300356153538</v>
          </cell>
          <cell r="I315">
            <v>3.6033147606006235</v>
          </cell>
          <cell r="J315">
            <v>4.1283250120134509</v>
          </cell>
          <cell r="K315">
            <v>6.2752315206692879</v>
          </cell>
        </row>
        <row r="323">
          <cell r="F323" t="str">
            <v>Sanmina Corporation</v>
          </cell>
        </row>
        <row r="324">
          <cell r="F324" t="str">
            <v>Balance Sheet</v>
          </cell>
        </row>
        <row r="325">
          <cell r="F325" t="str">
            <v>($ In Millions Except Per Share Data)</v>
          </cell>
        </row>
        <row r="328">
          <cell r="B328" t="str">
            <v xml:space="preserve">    1991A</v>
          </cell>
          <cell r="C328" t="str">
            <v xml:space="preserve">    1992A</v>
          </cell>
          <cell r="D328" t="str">
            <v xml:space="preserve">    1993A</v>
          </cell>
          <cell r="E328" t="str">
            <v>1994RE</v>
          </cell>
          <cell r="F328" t="str">
            <v>1995RE</v>
          </cell>
          <cell r="G328" t="str">
            <v>1996R</v>
          </cell>
          <cell r="H328" t="str">
            <v>1997R</v>
          </cell>
          <cell r="I328" t="str">
            <v>1998A</v>
          </cell>
          <cell r="J328" t="str">
            <v>1999E</v>
          </cell>
          <cell r="K328" t="str">
            <v>2000E</v>
          </cell>
        </row>
        <row r="331">
          <cell r="C331">
            <v>3.8350000000000057</v>
          </cell>
          <cell r="D331">
            <v>0.60900000000000443</v>
          </cell>
          <cell r="E331">
            <v>27.411999999999978</v>
          </cell>
          <cell r="F331">
            <v>115.01</v>
          </cell>
          <cell r="G331">
            <v>116.017</v>
          </cell>
          <cell r="H331">
            <v>123.149</v>
          </cell>
          <cell r="I331">
            <v>152.62200000000001</v>
          </cell>
          <cell r="J331">
            <v>214.77610874999982</v>
          </cell>
          <cell r="K331">
            <v>318.78176124999982</v>
          </cell>
        </row>
        <row r="332">
          <cell r="C332">
            <v>9.7919999999999998</v>
          </cell>
          <cell r="D332">
            <v>11.204000000000001</v>
          </cell>
          <cell r="E332">
            <v>25.962000000000003</v>
          </cell>
          <cell r="F332">
            <v>39.5</v>
          </cell>
          <cell r="G332">
            <v>50.884</v>
          </cell>
          <cell r="H332">
            <v>77.334000000000003</v>
          </cell>
          <cell r="I332">
            <v>96.93</v>
          </cell>
          <cell r="J332">
            <v>125</v>
          </cell>
          <cell r="K332">
            <v>160</v>
          </cell>
        </row>
        <row r="333">
          <cell r="C333">
            <v>5.8440000000000003</v>
          </cell>
          <cell r="D333">
            <v>9.7249999999999996</v>
          </cell>
          <cell r="E333">
            <v>17.565000000000001</v>
          </cell>
          <cell r="F333">
            <v>27.337</v>
          </cell>
          <cell r="G333">
            <v>42.798999999999999</v>
          </cell>
          <cell r="H333">
            <v>61.960999999999999</v>
          </cell>
          <cell r="I333">
            <v>68.953000000000003</v>
          </cell>
          <cell r="J333">
            <v>97.5</v>
          </cell>
          <cell r="K333">
            <v>122.5</v>
          </cell>
        </row>
        <row r="334">
          <cell r="C334">
            <v>2.016</v>
          </cell>
          <cell r="D334">
            <v>1.8480000000000001</v>
          </cell>
          <cell r="E334">
            <v>3.1280000000000001</v>
          </cell>
          <cell r="F334">
            <v>5.8010000000000002</v>
          </cell>
          <cell r="G334">
            <v>9.298</v>
          </cell>
          <cell r="H334">
            <v>15.708</v>
          </cell>
          <cell r="I334">
            <v>23.821000000000002</v>
          </cell>
          <cell r="J334">
            <v>23.821000000000002</v>
          </cell>
          <cell r="K334">
            <v>23.821000000000002</v>
          </cell>
        </row>
        <row r="335">
          <cell r="C335">
            <v>21.487000000000009</v>
          </cell>
          <cell r="D335">
            <v>23.386000000000003</v>
          </cell>
          <cell r="E335">
            <v>74.066999999999979</v>
          </cell>
          <cell r="F335">
            <v>187.64799999999997</v>
          </cell>
          <cell r="G335">
            <v>218.99800000000002</v>
          </cell>
          <cell r="H335">
            <v>278.15200000000004</v>
          </cell>
          <cell r="I335">
            <v>342.32600000000002</v>
          </cell>
          <cell r="J335">
            <v>461.09710874999985</v>
          </cell>
          <cell r="K335">
            <v>625.10276124999984</v>
          </cell>
        </row>
        <row r="338">
          <cell r="C338">
            <v>9.0169999999999995</v>
          </cell>
          <cell r="D338">
            <v>8.2360000000000007</v>
          </cell>
          <cell r="E338">
            <v>26.360999999999997</v>
          </cell>
          <cell r="F338">
            <v>37.778999999999996</v>
          </cell>
          <cell r="G338">
            <v>59.686</v>
          </cell>
          <cell r="H338">
            <v>92.707999999999998</v>
          </cell>
          <cell r="I338">
            <v>107.881</v>
          </cell>
          <cell r="J338">
            <v>108.881</v>
          </cell>
          <cell r="K338">
            <v>109.381</v>
          </cell>
        </row>
        <row r="339">
          <cell r="C339">
            <v>0.76900000000000002</v>
          </cell>
          <cell r="D339">
            <v>0.10100000000000001</v>
          </cell>
          <cell r="E339">
            <v>0.1</v>
          </cell>
          <cell r="F339">
            <v>2.7040000000000002</v>
          </cell>
          <cell r="G339">
            <v>2.3359999999999999</v>
          </cell>
          <cell r="H339">
            <v>0</v>
          </cell>
          <cell r="I339">
            <v>0</v>
          </cell>
          <cell r="J339">
            <v>0</v>
          </cell>
          <cell r="K339">
            <v>0</v>
          </cell>
        </row>
        <row r="340">
          <cell r="C340">
            <v>14.494999999999999</v>
          </cell>
          <cell r="D340">
            <v>13.83</v>
          </cell>
          <cell r="E340">
            <v>0.92200000000000004</v>
          </cell>
          <cell r="F340">
            <v>5.1139999999999999</v>
          </cell>
          <cell r="G340">
            <v>11.625999999999999</v>
          </cell>
          <cell r="H340">
            <v>11.067</v>
          </cell>
          <cell r="I340">
            <v>17.373000000000001</v>
          </cell>
          <cell r="J340">
            <v>17.373000000000001</v>
          </cell>
          <cell r="K340">
            <v>17.373000000000001</v>
          </cell>
        </row>
        <row r="341">
          <cell r="C341">
            <v>24.280999999999999</v>
          </cell>
          <cell r="D341">
            <v>22.167000000000002</v>
          </cell>
          <cell r="E341">
            <v>27.382999999999999</v>
          </cell>
          <cell r="F341">
            <v>45.596999999999994</v>
          </cell>
          <cell r="G341">
            <v>73.647999999999996</v>
          </cell>
          <cell r="H341">
            <v>103.77500000000001</v>
          </cell>
          <cell r="I341">
            <v>125.254</v>
          </cell>
          <cell r="J341">
            <v>126.254</v>
          </cell>
          <cell r="K341">
            <v>126.754</v>
          </cell>
        </row>
        <row r="342">
          <cell r="C342">
            <v>45.768000000000008</v>
          </cell>
          <cell r="D342">
            <v>45.553000000000004</v>
          </cell>
          <cell r="E342">
            <v>101.44999999999997</v>
          </cell>
          <cell r="F342">
            <v>233.24499999999995</v>
          </cell>
          <cell r="G342">
            <v>292.64600000000002</v>
          </cell>
          <cell r="H342">
            <v>381.92700000000002</v>
          </cell>
          <cell r="I342">
            <v>467.58000000000004</v>
          </cell>
          <cell r="J342">
            <v>587.35110874999987</v>
          </cell>
          <cell r="K342">
            <v>751.85676124999986</v>
          </cell>
        </row>
        <row r="346">
          <cell r="C346">
            <v>10.514999999999999</v>
          </cell>
          <cell r="D346">
            <v>12.666</v>
          </cell>
          <cell r="E346">
            <v>24.308</v>
          </cell>
          <cell r="F346">
            <v>42.188999999999993</v>
          </cell>
          <cell r="G346">
            <v>51.13</v>
          </cell>
          <cell r="H346">
            <v>90.211000000000013</v>
          </cell>
          <cell r="I346">
            <v>114.846</v>
          </cell>
          <cell r="J346">
            <v>136.846</v>
          </cell>
          <cell r="K346">
            <v>174.846</v>
          </cell>
        </row>
        <row r="347">
          <cell r="C347">
            <v>3.9820000000000002</v>
          </cell>
          <cell r="D347">
            <v>0</v>
          </cell>
          <cell r="E347">
            <v>3.5059999999999998</v>
          </cell>
          <cell r="F347">
            <v>3.6860000000000004</v>
          </cell>
          <cell r="G347">
            <v>6.5849999999999991</v>
          </cell>
          <cell r="H347">
            <v>8.7880000000000003</v>
          </cell>
          <cell r="I347">
            <v>0</v>
          </cell>
          <cell r="J347">
            <v>0</v>
          </cell>
          <cell r="K347">
            <v>0</v>
          </cell>
        </row>
        <row r="348">
          <cell r="C348">
            <v>2.1999999999999999E-2</v>
          </cell>
          <cell r="D348">
            <v>2.3260000000000001</v>
          </cell>
          <cell r="E348">
            <v>4.407</v>
          </cell>
          <cell r="F348">
            <v>5.6950000000000003</v>
          </cell>
          <cell r="G348">
            <v>5.4039999999999999</v>
          </cell>
          <cell r="H348">
            <v>2.2170000000000001</v>
          </cell>
          <cell r="I348">
            <v>0</v>
          </cell>
          <cell r="J348">
            <v>0</v>
          </cell>
          <cell r="K348">
            <v>0</v>
          </cell>
        </row>
        <row r="349">
          <cell r="C349">
            <v>14.519</v>
          </cell>
          <cell r="D349">
            <v>14.992000000000001</v>
          </cell>
          <cell r="E349">
            <v>32.221000000000004</v>
          </cell>
          <cell r="F349">
            <v>51.569999999999993</v>
          </cell>
          <cell r="G349">
            <v>63.119</v>
          </cell>
          <cell r="H349">
            <v>101.21600000000001</v>
          </cell>
          <cell r="I349">
            <v>114.846</v>
          </cell>
          <cell r="J349">
            <v>136.846</v>
          </cell>
          <cell r="K349">
            <v>174.846</v>
          </cell>
        </row>
        <row r="352">
          <cell r="C352">
            <v>31.163</v>
          </cell>
          <cell r="D352">
            <v>4.4379999999999997</v>
          </cell>
          <cell r="E352">
            <v>16.405999999999999</v>
          </cell>
          <cell r="F352">
            <v>99.53</v>
          </cell>
          <cell r="G352">
            <v>100.69799999999999</v>
          </cell>
          <cell r="H352">
            <v>108.38200000000001</v>
          </cell>
          <cell r="I352">
            <v>8.6419999999999995</v>
          </cell>
          <cell r="J352">
            <v>8.6419999999999995</v>
          </cell>
          <cell r="K352">
            <v>8.6419999999999995</v>
          </cell>
        </row>
        <row r="353">
          <cell r="C353">
            <v>0</v>
          </cell>
          <cell r="D353">
            <v>0</v>
          </cell>
          <cell r="E353">
            <v>0</v>
          </cell>
          <cell r="F353">
            <v>0</v>
          </cell>
          <cell r="G353">
            <v>0</v>
          </cell>
          <cell r="H353">
            <v>0</v>
          </cell>
          <cell r="I353">
            <v>0</v>
          </cell>
          <cell r="J353">
            <v>0</v>
          </cell>
          <cell r="K353">
            <v>0</v>
          </cell>
        </row>
        <row r="354">
          <cell r="C354">
            <v>0</v>
          </cell>
          <cell r="D354">
            <v>0</v>
          </cell>
          <cell r="E354">
            <v>0</v>
          </cell>
          <cell r="F354">
            <v>1.056</v>
          </cell>
          <cell r="G354">
            <v>0.59199999999999997</v>
          </cell>
          <cell r="H354">
            <v>0.55200000000000005</v>
          </cell>
          <cell r="I354">
            <v>0</v>
          </cell>
          <cell r="J354">
            <v>0</v>
          </cell>
          <cell r="K354">
            <v>0</v>
          </cell>
        </row>
        <row r="355">
          <cell r="C355">
            <v>31.163</v>
          </cell>
          <cell r="D355">
            <v>4.4379999999999997</v>
          </cell>
          <cell r="E355">
            <v>16.405999999999999</v>
          </cell>
          <cell r="F355">
            <v>100.586</v>
          </cell>
          <cell r="G355">
            <v>101.28999999999999</v>
          </cell>
          <cell r="H355">
            <v>108.93400000000001</v>
          </cell>
          <cell r="I355">
            <v>8.6419999999999995</v>
          </cell>
          <cell r="J355">
            <v>8.6419999999999995</v>
          </cell>
          <cell r="K355">
            <v>8.6419999999999995</v>
          </cell>
        </row>
        <row r="356">
          <cell r="C356">
            <v>45.682000000000002</v>
          </cell>
          <cell r="D356">
            <v>19.43</v>
          </cell>
          <cell r="E356">
            <v>48.627000000000002</v>
          </cell>
          <cell r="F356">
            <v>152.15600000000001</v>
          </cell>
          <cell r="G356">
            <v>164.40899999999999</v>
          </cell>
          <cell r="H356">
            <v>210.15000000000003</v>
          </cell>
          <cell r="I356">
            <v>123.488</v>
          </cell>
          <cell r="J356">
            <v>145.488</v>
          </cell>
          <cell r="K356">
            <v>183.488</v>
          </cell>
        </row>
        <row r="358">
          <cell r="C358">
            <v>0</v>
          </cell>
          <cell r="D358">
            <v>0</v>
          </cell>
          <cell r="E358">
            <v>0</v>
          </cell>
          <cell r="F358">
            <v>0</v>
          </cell>
          <cell r="G358">
            <v>0</v>
          </cell>
          <cell r="H358">
            <v>0</v>
          </cell>
          <cell r="I358">
            <v>0</v>
          </cell>
          <cell r="J358">
            <v>0</v>
          </cell>
          <cell r="K358">
            <v>0</v>
          </cell>
        </row>
        <row r="361">
          <cell r="C361">
            <v>8.5999999999999993E-2</v>
          </cell>
          <cell r="D361">
            <v>26.123000000000001</v>
          </cell>
          <cell r="E361">
            <v>52.823</v>
          </cell>
          <cell r="F361">
            <v>81.11099999999999</v>
          </cell>
          <cell r="G361">
            <v>128.25899999999999</v>
          </cell>
          <cell r="H361">
            <v>171.75699999999998</v>
          </cell>
          <cell r="I361">
            <v>344.09199999999998</v>
          </cell>
          <cell r="J361">
            <v>441.86310874999987</v>
          </cell>
          <cell r="K361">
            <v>568.36876124999992</v>
          </cell>
        </row>
        <row r="362">
          <cell r="C362">
            <v>0</v>
          </cell>
          <cell r="D362">
            <v>0</v>
          </cell>
          <cell r="E362">
            <v>0</v>
          </cell>
          <cell r="F362">
            <v>-2.1999999999999999E-2</v>
          </cell>
          <cell r="G362">
            <v>-2.1999999999999999E-2</v>
          </cell>
          <cell r="H362">
            <v>0.02</v>
          </cell>
          <cell r="I362">
            <v>0</v>
          </cell>
          <cell r="J362">
            <v>0</v>
          </cell>
          <cell r="K362">
            <v>0</v>
          </cell>
        </row>
        <row r="363">
          <cell r="C363">
            <v>0</v>
          </cell>
          <cell r="D363">
            <v>0</v>
          </cell>
          <cell r="E363">
            <v>0</v>
          </cell>
          <cell r="F363">
            <v>0</v>
          </cell>
          <cell r="G363">
            <v>0</v>
          </cell>
          <cell r="H363">
            <v>0</v>
          </cell>
          <cell r="I363">
            <v>0</v>
          </cell>
          <cell r="J363">
            <v>0</v>
          </cell>
          <cell r="K363">
            <v>0</v>
          </cell>
        </row>
        <row r="364">
          <cell r="C364">
            <v>8.5999999999999993E-2</v>
          </cell>
          <cell r="D364">
            <v>26.123000000000001</v>
          </cell>
          <cell r="E364">
            <v>52.823</v>
          </cell>
          <cell r="F364">
            <v>81.088999999999984</v>
          </cell>
          <cell r="G364">
            <v>128.23699999999999</v>
          </cell>
          <cell r="H364">
            <v>171.77699999999999</v>
          </cell>
          <cell r="I364">
            <v>344.09199999999998</v>
          </cell>
          <cell r="J364">
            <v>441.86310874999987</v>
          </cell>
          <cell r="K364">
            <v>568.36876124999992</v>
          </cell>
        </row>
        <row r="366">
          <cell r="C366">
            <v>45.768000000000001</v>
          </cell>
          <cell r="D366">
            <v>45.552999999999997</v>
          </cell>
          <cell r="E366">
            <v>101.45</v>
          </cell>
          <cell r="F366">
            <v>233.245</v>
          </cell>
          <cell r="G366">
            <v>292.64599999999996</v>
          </cell>
          <cell r="H366">
            <v>381.92700000000002</v>
          </cell>
          <cell r="I366">
            <v>467.58</v>
          </cell>
          <cell r="J366">
            <v>587.35110874999987</v>
          </cell>
          <cell r="K366">
            <v>751.85676124999986</v>
          </cell>
        </row>
        <row r="369">
          <cell r="C369">
            <v>4.1851860750066125E-2</v>
          </cell>
          <cell r="D369">
            <v>4.0911657239035747E-2</v>
          </cell>
          <cell r="E369">
            <v>0.11916225895970201</v>
          </cell>
          <cell r="F369">
            <v>0.32735863289630063</v>
          </cell>
          <cell r="G369">
            <v>0.37241123316886998</v>
          </cell>
          <cell r="H369">
            <v>0.2920521177211835</v>
          </cell>
          <cell r="I369">
            <v>0.27984129114936596</v>
          </cell>
          <cell r="J369">
            <v>0.29269554840848799</v>
          </cell>
          <cell r="K369">
            <v>0.31356593927125492</v>
          </cell>
        </row>
        <row r="370">
          <cell r="C370">
            <v>5.8813636691252433E-2</v>
          </cell>
          <cell r="D370">
            <v>2.9994816498597181E-2</v>
          </cell>
          <cell r="E370">
            <v>6.1649379323304949E-2</v>
          </cell>
          <cell r="F370">
            <v>7.2788648276444226E-2</v>
          </cell>
          <cell r="G370">
            <v>6.4998888530948415E-2</v>
          </cell>
          <cell r="H370">
            <v>6.7919239021363195E-2</v>
          </cell>
          <cell r="I370">
            <v>6.7119062941747257E-2</v>
          </cell>
          <cell r="J370">
            <v>6.6348604277422674E-2</v>
          </cell>
          <cell r="K370">
            <v>6.4804189718330948E-2</v>
          </cell>
        </row>
        <row r="371">
          <cell r="C371">
            <v>3.7511794647957841E-2</v>
          </cell>
          <cell r="D371">
            <v>2.9476538951702186E-2</v>
          </cell>
          <cell r="E371">
            <v>5.0133569658961055E-2</v>
          </cell>
          <cell r="F371">
            <v>6.3158129940084504E-2</v>
          </cell>
          <cell r="G371">
            <v>7.0213575682918097E-2</v>
          </cell>
          <cell r="H371">
            <v>6.8079983993541052E-2</v>
          </cell>
          <cell r="I371">
            <v>6.1198340864631197E-2</v>
          </cell>
          <cell r="J371">
            <v>6.6043739116127251E-2</v>
          </cell>
          <cell r="K371">
            <v>6.2763583420659713E-2</v>
          </cell>
        </row>
        <row r="372">
          <cell r="C372">
            <v>0.99755896795435839</v>
          </cell>
          <cell r="D372">
            <v>0.14521776119891364</v>
          </cell>
          <cell r="E372">
            <v>0.27376091290300403</v>
          </cell>
          <cell r="F372">
            <v>0.56002821410162507</v>
          </cell>
          <cell r="G372">
            <v>0.45551545516304348</v>
          </cell>
          <cell r="H372">
            <v>0.40550689226744008</v>
          </cell>
          <cell r="I372">
            <v>2.4500048194957106E-2</v>
          </cell>
          <cell r="J372">
            <v>1.9182912318083677E-2</v>
          </cell>
          <cell r="K372">
            <v>1.4977190340919313E-2</v>
          </cell>
        </row>
        <row r="373">
          <cell r="C373">
            <v>0.99724791193318196</v>
          </cell>
          <cell r="D373">
            <v>0.14521776119891364</v>
          </cell>
          <cell r="E373">
            <v>0.23698161175230031</v>
          </cell>
          <cell r="F373">
            <v>0.55104944662521671</v>
          </cell>
          <cell r="G373">
            <v>0.43985410706095612</v>
          </cell>
          <cell r="H373">
            <v>0.38685889084412783</v>
          </cell>
          <cell r="I373">
            <v>2.4500048194957106E-2</v>
          </cell>
          <cell r="J373">
            <v>1.9182912318083677E-2</v>
          </cell>
          <cell r="K373">
            <v>1.4977190340919313E-2</v>
          </cell>
        </row>
        <row r="374">
          <cell r="C374">
            <v>1.0026560849947197</v>
          </cell>
          <cell r="D374">
            <v>0.2014004777330583</v>
          </cell>
          <cell r="E374">
            <v>-4.4677808432881869E-2</v>
          </cell>
          <cell r="F374">
            <v>-3.376721164440067E-2</v>
          </cell>
          <cell r="G374">
            <v>-1.4545613383711527E-2</v>
          </cell>
          <cell r="H374">
            <v>-1.3428089049432646E-2</v>
          </cell>
          <cell r="I374">
            <v>-0.40818293671718642</v>
          </cell>
          <cell r="J374">
            <v>-0.45756220017560428</v>
          </cell>
          <cell r="K374">
            <v>-0.53749389453003005</v>
          </cell>
        </row>
        <row r="375">
          <cell r="E375">
            <v>11.17</v>
          </cell>
          <cell r="F375">
            <v>6.8170000000000073</v>
          </cell>
          <cell r="G375">
            <v>85.373999999999995</v>
          </cell>
          <cell r="H375">
            <v>80.804000000000002</v>
          </cell>
          <cell r="I375">
            <v>16.271999999999736</v>
          </cell>
          <cell r="J375">
            <v>16.27199999999965</v>
          </cell>
          <cell r="K375">
            <v>16.27199999999965</v>
          </cell>
        </row>
        <row r="385">
          <cell r="F385" t="str">
            <v>Sanmina Corporation</v>
          </cell>
        </row>
        <row r="386">
          <cell r="F386" t="str">
            <v>Key Financial Ratios</v>
          </cell>
        </row>
        <row r="389">
          <cell r="C389" t="str">
            <v xml:space="preserve">    1992A</v>
          </cell>
          <cell r="D389" t="str">
            <v xml:space="preserve">    1993A</v>
          </cell>
          <cell r="E389" t="str">
            <v>1994RE</v>
          </cell>
          <cell r="F389" t="str">
            <v>1995RE</v>
          </cell>
          <cell r="G389" t="str">
            <v>1996R</v>
          </cell>
          <cell r="H389" t="str">
            <v>1997R</v>
          </cell>
          <cell r="I389" t="str">
            <v>1998A</v>
          </cell>
          <cell r="J389" t="str">
            <v>1999E</v>
          </cell>
          <cell r="K389" t="str">
            <v>2000E</v>
          </cell>
        </row>
        <row r="390">
          <cell r="C390">
            <v>-8.3781803329889756E-2</v>
          </cell>
          <cell r="D390">
            <v>-3.4429495169004939E-2</v>
          </cell>
          <cell r="E390">
            <v>-1.9060268968952444E-2</v>
          </cell>
          <cell r="F390">
            <v>0.11594917518224006</v>
          </cell>
          <cell r="G390">
            <v>0.1377206096198296</v>
          </cell>
          <cell r="H390">
            <v>9.9786411413388024E-2</v>
          </cell>
          <cell r="I390">
            <v>0.14854943598018783</v>
          </cell>
          <cell r="J390">
            <v>0.16336366047745346</v>
          </cell>
          <cell r="K390">
            <v>0.16131295546558705</v>
          </cell>
        </row>
        <row r="392">
          <cell r="C392">
            <v>3.6377381576647432</v>
          </cell>
          <cell r="D392">
            <v>4.1214848637850414</v>
          </cell>
          <cell r="E392">
            <v>2.0779201577131596</v>
          </cell>
          <cell r="F392">
            <v>1.1651139359900538</v>
          </cell>
          <cell r="G392">
            <v>1.3394408261175619</v>
          </cell>
          <cell r="H392">
            <v>1.4918741015953314</v>
          </cell>
          <cell r="I392">
            <v>1.5453633602805938</v>
          </cell>
          <cell r="J392">
            <v>1.6046619917102527</v>
          </cell>
          <cell r="K392">
            <v>1.642600111684505</v>
          </cell>
        </row>
        <row r="393">
          <cell r="C393">
            <v>-0.30477626289110299</v>
          </cell>
          <cell r="D393">
            <v>-0.14190064320681406</v>
          </cell>
          <cell r="E393">
            <v>-3.9605717102020904E-2</v>
          </cell>
          <cell r="F393">
            <v>0.13509399987137996</v>
          </cell>
          <cell r="G393">
            <v>0.1844686071225988</v>
          </cell>
          <cell r="H393">
            <v>0.14886876287877038</v>
          </cell>
          <cell r="I393">
            <v>0.22956285555413</v>
          </cell>
          <cell r="J393">
            <v>0.26214345679482798</v>
          </cell>
          <cell r="K393">
            <v>0.26497267866393087</v>
          </cell>
        </row>
        <row r="395">
          <cell r="C395">
            <v>532.18604651162809</v>
          </cell>
          <cell r="D395">
            <v>1.7437889982008192</v>
          </cell>
          <cell r="E395">
            <v>1.9205649054389182</v>
          </cell>
          <cell r="F395">
            <v>2.8764074042101888</v>
          </cell>
          <cell r="G395">
            <v>2.2820714770308101</v>
          </cell>
          <cell r="H395">
            <v>2.2233884629490563</v>
          </cell>
          <cell r="I395">
            <v>1.358880764446718</v>
          </cell>
          <cell r="J395">
            <v>1.3292603458378218</v>
          </cell>
          <cell r="K395">
            <v>1.3228326616622264</v>
          </cell>
        </row>
        <row r="396">
          <cell r="C396">
            <v>-162.19767441860472</v>
          </cell>
          <cell r="D396">
            <v>-0.24744478046166218</v>
          </cell>
          <cell r="E396">
            <v>-7.6065350320883324E-2</v>
          </cell>
          <cell r="F396">
            <v>0.38858538149440763</v>
          </cell>
          <cell r="G396">
            <v>0.42097054672208528</v>
          </cell>
          <cell r="H396">
            <v>0.33099308987815679</v>
          </cell>
          <cell r="I396">
            <v>0.3119485486439677</v>
          </cell>
          <cell r="J396">
            <v>0.34845690203821517</v>
          </cell>
          <cell r="K396">
            <v>0.35051451378477749</v>
          </cell>
        </row>
        <row r="398">
          <cell r="C398">
            <v>1.0125457022008746</v>
          </cell>
          <cell r="D398">
            <v>1.6104579207920791</v>
          </cell>
          <cell r="E398">
            <v>1.8158287705325991</v>
          </cell>
          <cell r="F398">
            <v>0.64274833386226615</v>
          </cell>
          <cell r="G398">
            <v>0.67733032009484329</v>
          </cell>
          <cell r="H398">
            <v>0.53687320822414231</v>
          </cell>
          <cell r="I398">
            <v>0.63491368468124398</v>
          </cell>
          <cell r="J398">
            <v>0.63499999999999979</v>
          </cell>
          <cell r="K398">
            <v>0.63500000000000001</v>
          </cell>
        </row>
        <row r="399">
          <cell r="C399">
            <v>-164.23255813953494</v>
          </cell>
          <cell r="D399">
            <v>-0.39849940665314093</v>
          </cell>
          <cell r="E399">
            <v>-0.138121651553301</v>
          </cell>
          <cell r="F399">
            <v>0.24976260651876359</v>
          </cell>
          <cell r="G399">
            <v>0.28513611516177123</v>
          </cell>
          <cell r="H399">
            <v>0.17770132206290792</v>
          </cell>
          <cell r="I399">
            <v>0.19806040245050782</v>
          </cell>
          <cell r="J399">
            <v>0.22127013279426655</v>
          </cell>
          <cell r="K399">
            <v>0.22257671625333372</v>
          </cell>
        </row>
        <row r="401">
          <cell r="C401">
            <v>-164.23255813953497</v>
          </cell>
          <cell r="D401">
            <v>-0.43004249129119937</v>
          </cell>
          <cell r="E401">
            <v>5.4351324233761426E-2</v>
          </cell>
          <cell r="F401">
            <v>0.27236739878405231</v>
          </cell>
          <cell r="G401">
            <v>0.28513611516177123</v>
          </cell>
          <cell r="H401">
            <v>0.17770132206290792</v>
          </cell>
          <cell r="I401">
            <v>0.19806040245050779</v>
          </cell>
          <cell r="J401">
            <v>0.22127013279426649</v>
          </cell>
          <cell r="K401">
            <v>0.22257671625333372</v>
          </cell>
        </row>
        <row r="405">
          <cell r="C405" t="str">
            <v xml:space="preserve">    1992A</v>
          </cell>
          <cell r="D405" t="str">
            <v xml:space="preserve">    1993A</v>
          </cell>
          <cell r="E405" t="str">
            <v>1994RE</v>
          </cell>
          <cell r="F405" t="str">
            <v>1995RE</v>
          </cell>
          <cell r="G405" t="str">
            <v>1996R</v>
          </cell>
          <cell r="H405" t="str">
            <v>1997R</v>
          </cell>
          <cell r="I405" t="str">
            <v>1998A</v>
          </cell>
          <cell r="J405" t="str">
            <v>1999E</v>
          </cell>
          <cell r="K405" t="str">
            <v>2000E</v>
          </cell>
        </row>
        <row r="407">
          <cell r="C407">
            <v>-3.99270542801974</v>
          </cell>
          <cell r="D407">
            <v>-2.625345737993463</v>
          </cell>
          <cell r="E407">
            <v>-3.4529914529914656</v>
          </cell>
          <cell r="F407">
            <v>36.467300832342467</v>
          </cell>
          <cell r="G407">
            <v>39.136802973977737</v>
          </cell>
          <cell r="H407">
            <v>22.093826157595501</v>
          </cell>
          <cell r="I407">
            <v>155.0159883720932</v>
          </cell>
          <cell r="J407">
            <v>-25.05785156249998</v>
          </cell>
          <cell r="K407">
            <v>-26.87292207792208</v>
          </cell>
        </row>
        <row r="408">
          <cell r="C408">
            <v>1.4799228597010818</v>
          </cell>
          <cell r="D408">
            <v>1.5598986125933831</v>
          </cell>
          <cell r="E408">
            <v>2.2987182272431013</v>
          </cell>
          <cell r="F408">
            <v>3.6387046732596469</v>
          </cell>
          <cell r="G408">
            <v>3.4696050317653957</v>
          </cell>
          <cell r="H408">
            <v>2.7481030667088211</v>
          </cell>
          <cell r="I408">
            <v>2.9807394249690891</v>
          </cell>
          <cell r="J408">
            <v>3.3694598946991499</v>
          </cell>
          <cell r="K408">
            <v>3.5751619210619623</v>
          </cell>
        </row>
        <row r="409">
          <cell r="C409">
            <v>0.99724791193318196</v>
          </cell>
          <cell r="D409">
            <v>0.14521776119891364</v>
          </cell>
          <cell r="E409">
            <v>0.23698161175230031</v>
          </cell>
          <cell r="F409">
            <v>0.55104944662521671</v>
          </cell>
          <cell r="G409">
            <v>0.43985410706095612</v>
          </cell>
          <cell r="H409">
            <v>0.38685889084412783</v>
          </cell>
          <cell r="I409">
            <v>2.4500048194957106E-2</v>
          </cell>
          <cell r="J409">
            <v>1.9182912318083677E-2</v>
          </cell>
          <cell r="K409">
            <v>1.4977190340919313E-2</v>
          </cell>
        </row>
        <row r="410">
          <cell r="C410">
            <v>1.1246759896316683</v>
          </cell>
          <cell r="D410">
            <v>0.14521776119891364</v>
          </cell>
          <cell r="E410">
            <v>0.28762512819772063</v>
          </cell>
          <cell r="F410">
            <v>0.57145704493990124</v>
          </cell>
          <cell r="G410">
            <v>0.46861772992334061</v>
          </cell>
          <cell r="H410">
            <v>0.41822679264274931</v>
          </cell>
          <cell r="I410">
            <v>2.4500048194957106E-2</v>
          </cell>
          <cell r="J410">
            <v>1.9182912318083677E-2</v>
          </cell>
          <cell r="K410">
            <v>1.4977190340919313E-2</v>
          </cell>
        </row>
        <row r="411">
          <cell r="C411">
            <v>-0.54644282018657575</v>
          </cell>
          <cell r="D411">
            <v>-0.27011413609751878</v>
          </cell>
          <cell r="E411">
            <v>0.19387929074789673</v>
          </cell>
          <cell r="F411">
            <v>0.44193450576106763</v>
          </cell>
          <cell r="G411">
            <v>0.49419841423322508</v>
          </cell>
          <cell r="H411">
            <v>0.40903244954491813</v>
          </cell>
          <cell r="I411">
            <v>1.4375531211634744</v>
          </cell>
          <cell r="J411">
            <v>1.8600885872176813</v>
          </cell>
          <cell r="K411">
            <v>2.4804262303149609</v>
          </cell>
        </row>
        <row r="413">
          <cell r="C413">
            <v>3.9474239845481299E-3</v>
          </cell>
          <cell r="D413">
            <v>0.97488140056306749</v>
          </cell>
          <cell r="E413">
            <v>1.5009945442145942</v>
          </cell>
          <cell r="F413">
            <v>2.0489438043258534</v>
          </cell>
          <cell r="G413">
            <v>3.0999081415586924</v>
          </cell>
          <cell r="H413">
            <v>4.2485407597942215</v>
          </cell>
          <cell r="I413">
            <v>8.1238077249976381</v>
          </cell>
          <cell r="J413">
            <v>8.4932841662662142</v>
          </cell>
          <cell r="K413">
            <v>11.188361441929134</v>
          </cell>
        </row>
        <row r="414">
          <cell r="C414">
            <v>0.15327779905527897</v>
          </cell>
          <cell r="D414">
            <v>0.11521327393496414</v>
          </cell>
          <cell r="E414">
            <v>0.9168843892880425</v>
          </cell>
          <cell r="F414">
            <v>-0.13484551784160193</v>
          </cell>
          <cell r="G414">
            <v>-0.11591897337999768</v>
          </cell>
          <cell r="H414">
            <v>-0.26840101522842591</v>
          </cell>
          <cell r="I414">
            <v>-1.0660475694115417E-2</v>
          </cell>
          <cell r="J414">
            <v>8.1573405030624935E-3</v>
          </cell>
          <cell r="K414">
            <v>1.3655542938866932E-2</v>
          </cell>
        </row>
        <row r="417">
          <cell r="C417">
            <v>10.586454604425438</v>
          </cell>
          <cell r="D417">
            <v>20.129749768303984</v>
          </cell>
          <cell r="E417">
            <v>31.734920898460665</v>
          </cell>
          <cell r="F417">
            <v>43.359177500487569</v>
          </cell>
          <cell r="G417">
            <v>41.504762973810024</v>
          </cell>
          <cell r="H417">
            <v>40.505030827309149</v>
          </cell>
          <cell r="I417">
            <v>43.410385825256952</v>
          </cell>
          <cell r="J417">
            <v>42.384509283819632</v>
          </cell>
          <cell r="K417">
            <v>41.53846153846154</v>
          </cell>
        </row>
        <row r="418">
          <cell r="C418">
            <v>11.368113783244839</v>
          </cell>
          <cell r="D418">
            <v>22.224601323064135</v>
          </cell>
          <cell r="E418">
            <v>31.570977917981075</v>
          </cell>
          <cell r="F418">
            <v>44.04471641944825</v>
          </cell>
          <cell r="G418">
            <v>42.852528942655525</v>
          </cell>
          <cell r="H418">
            <v>44.650685256069359</v>
          </cell>
          <cell r="I418">
            <v>51.081138308369567</v>
          </cell>
          <cell r="J418">
            <v>48.068498673740059</v>
          </cell>
          <cell r="K418">
            <v>45.428793522267213</v>
          </cell>
        </row>
        <row r="419">
          <cell r="C419">
            <v>53.316563997262143</v>
          </cell>
          <cell r="D419">
            <v>21.272785663819132</v>
          </cell>
          <cell r="E419">
            <v>12.860095272993773</v>
          </cell>
          <cell r="F419">
            <v>9.6572090330052109</v>
          </cell>
          <cell r="G419">
            <v>8.7038610699212953</v>
          </cell>
          <cell r="H419">
            <v>8.6975181366933949</v>
          </cell>
          <cell r="I419">
            <v>8.6150144369586155</v>
          </cell>
          <cell r="J419">
            <v>8.8747033697199829</v>
          </cell>
          <cell r="K419">
            <v>8.8764590909090906</v>
          </cell>
        </row>
        <row r="420">
          <cell r="C420">
            <v>1.7992813141683774</v>
          </cell>
          <cell r="D420">
            <v>1.3024164524421595</v>
          </cell>
          <cell r="E420">
            <v>1.383888414460575</v>
          </cell>
          <cell r="F420">
            <v>1.5432929728938798</v>
          </cell>
          <cell r="G420">
            <v>1.1946540807028203</v>
          </cell>
          <cell r="H420">
            <v>1.4559319571988834</v>
          </cell>
          <cell r="I420">
            <v>1.6655693008281003</v>
          </cell>
          <cell r="J420">
            <v>1.403548717948718</v>
          </cell>
          <cell r="K420">
            <v>1.4273142857142858</v>
          </cell>
        </row>
        <row r="421">
          <cell r="C421">
            <v>2.0925930375033062E-2</v>
          </cell>
          <cell r="D421">
            <v>5.9468643805993253E-2</v>
          </cell>
          <cell r="E421">
            <v>0.13907165389815226</v>
          </cell>
          <cell r="F421">
            <v>0.40435020993019483</v>
          </cell>
          <cell r="G421">
            <v>0.5459880810853559</v>
          </cell>
          <cell r="H421">
            <v>0.42883919780549568</v>
          </cell>
          <cell r="I421">
            <v>0.40227462388299717</v>
          </cell>
          <cell r="J421">
            <v>0.41337459350132622</v>
          </cell>
          <cell r="K421">
            <v>0.44484169180161931</v>
          </cell>
        </row>
        <row r="422">
          <cell r="C422">
            <v>7.2754763153294864</v>
          </cell>
          <cell r="D422">
            <v>4.1117815179422035</v>
          </cell>
          <cell r="E422">
            <v>2.8680367067338763</v>
          </cell>
          <cell r="F422">
            <v>1.6239083344537568</v>
          </cell>
          <cell r="G422">
            <v>1.4907347720345092</v>
          </cell>
          <cell r="H422">
            <v>1.6893264331658695</v>
          </cell>
          <cell r="I422">
            <v>1.7011772710525048</v>
          </cell>
          <cell r="J422">
            <v>1.7868465384754442</v>
          </cell>
          <cell r="K422">
            <v>1.8443738685615703</v>
          </cell>
        </row>
        <row r="425">
          <cell r="C425">
            <v>-0.61719979024646054</v>
          </cell>
          <cell r="D425">
            <v>-0.24603322346448245</v>
          </cell>
          <cell r="E425">
            <v>3.9060427338217317E-2</v>
          </cell>
          <cell r="F425">
            <v>0.13197687446779915</v>
          </cell>
          <cell r="G425">
            <v>0.13905923470833331</v>
          </cell>
          <cell r="H425">
            <v>9.0501695146411515E-2</v>
          </cell>
          <cell r="I425">
            <v>0.16044835416306191</v>
          </cell>
          <cell r="J425">
            <v>0.18536017743537772</v>
          </cell>
          <cell r="K425">
            <v>0.18892608882293985</v>
          </cell>
        </row>
        <row r="426">
          <cell r="C426">
            <v>-328.46511627906995</v>
          </cell>
          <cell r="D426">
            <v>-0.85726277233011572</v>
          </cell>
          <cell r="E426">
            <v>7.2733260709851796E-2</v>
          </cell>
          <cell r="F426">
            <v>0.32985841448115205</v>
          </cell>
          <cell r="G426">
            <v>0.3493593724620932</v>
          </cell>
          <cell r="H426">
            <v>0.2034905037764913</v>
          </cell>
          <cell r="I426">
            <v>0.26421824145277245</v>
          </cell>
          <cell r="J426">
            <v>0.24879565680410726</v>
          </cell>
          <cell r="K426">
            <v>0.25044874598937378</v>
          </cell>
        </row>
        <row r="427">
          <cell r="C427">
            <v>6.4273358479686682E-2</v>
          </cell>
          <cell r="D427">
            <v>0.11796789279132443</v>
          </cell>
          <cell r="E427">
            <v>0.16759090154408091</v>
          </cell>
          <cell r="F427">
            <v>0.20217694484410709</v>
          </cell>
          <cell r="G427">
            <v>0.22132393834410777</v>
          </cell>
          <cell r="H427">
            <v>0.20044507859954702</v>
          </cell>
          <cell r="I427">
            <v>0.21958507073947431</v>
          </cell>
          <cell r="J427">
            <v>0.21632838196286461</v>
          </cell>
          <cell r="K427">
            <v>0.20938421052631581</v>
          </cell>
        </row>
        <row r="428">
          <cell r="C428">
            <v>-8.4832904884318813E-2</v>
          </cell>
          <cell r="D428">
            <v>-5.9836161622617796E-2</v>
          </cell>
          <cell r="E428">
            <v>1.3619221555465856E-2</v>
          </cell>
          <cell r="F428">
            <v>8.1271135610122322E-2</v>
          </cell>
          <cell r="G428">
            <v>9.3282344597456143E-2</v>
          </cell>
          <cell r="H428">
            <v>5.35726508326798E-2</v>
          </cell>
          <cell r="I428">
            <v>9.4316069755501608E-2</v>
          </cell>
          <cell r="J428">
            <v>0.1037359244031829</v>
          </cell>
          <cell r="K428">
            <v>0.10243372672064778</v>
          </cell>
        </row>
        <row r="431">
          <cell r="C431">
            <v>1.0536793804170941E-2</v>
          </cell>
          <cell r="D431">
            <v>0.12765778535905636</v>
          </cell>
          <cell r="E431">
            <v>0.12282019323980276</v>
          </cell>
          <cell r="F431">
            <v>0.28913925191527712</v>
          </cell>
          <cell r="G431">
            <v>0.4423989078478201</v>
          </cell>
          <cell r="H431">
            <v>0.4536050124750628</v>
          </cell>
          <cell r="I431">
            <v>0.26815985622697602</v>
          </cell>
          <cell r="J431">
            <v>0.30435203804140976</v>
          </cell>
          <cell r="K431">
            <v>0.31034482758620685</v>
          </cell>
        </row>
        <row r="432">
          <cell r="C432">
            <v>0.18763911321815296</v>
          </cell>
          <cell r="D432">
            <v>-0.40075222443358349</v>
          </cell>
          <cell r="E432">
            <v>-0.46634398045665315</v>
          </cell>
          <cell r="F432" t="str">
            <v xml:space="preserve">     N.M.</v>
          </cell>
          <cell r="G432">
            <v>0.71871757428401217</v>
          </cell>
          <cell r="H432">
            <v>-0.14585934237596243</v>
          </cell>
          <cell r="I432">
            <v>1.1312129433840603</v>
          </cell>
          <cell r="J432">
            <v>0.16799546954384059</v>
          </cell>
          <cell r="K432">
            <v>0.32509729484631644</v>
          </cell>
        </row>
        <row r="433">
          <cell r="C433" t="str">
            <v xml:space="preserve">      N.M.</v>
          </cell>
          <cell r="D433" t="str">
            <v xml:space="preserve">      N.M.</v>
          </cell>
          <cell r="E433" t="str">
            <v xml:space="preserve">      N.M.</v>
          </cell>
          <cell r="F433" t="str">
            <v xml:space="preserve">      N.M.</v>
          </cell>
          <cell r="G433" t="str">
            <v xml:space="preserve">      N.M.</v>
          </cell>
          <cell r="H433" t="str">
            <v xml:space="preserve">      N.M.</v>
          </cell>
          <cell r="I433" t="str">
            <v xml:space="preserve">      N.M.</v>
          </cell>
          <cell r="J433" t="str">
            <v xml:space="preserve">      N.M.</v>
          </cell>
          <cell r="K433" t="str">
            <v xml:space="preserve">      N.M.</v>
          </cell>
        </row>
        <row r="436">
          <cell r="C436">
            <v>-0.40985241324291938</v>
          </cell>
          <cell r="D436">
            <v>0.83786397335339002</v>
          </cell>
          <cell r="E436">
            <v>0.26748009349126511</v>
          </cell>
          <cell r="F436">
            <v>0.34482921417274492</v>
          </cell>
          <cell r="G436">
            <v>0.43080295573653843</v>
          </cell>
          <cell r="H436">
            <v>0.42422394960117787</v>
          </cell>
          <cell r="I436">
            <v>0.25505489224854888</v>
          </cell>
          <cell r="J436">
            <v>0.19276285624985384</v>
          </cell>
          <cell r="K436">
            <v>0.19580047148753532</v>
          </cell>
        </row>
        <row r="437">
          <cell r="C437">
            <v>-1.0757348208538953</v>
          </cell>
          <cell r="D437">
            <v>2.34020618556701</v>
          </cell>
          <cell r="E437">
            <v>15.410866910866901</v>
          </cell>
          <cell r="F437">
            <v>50.372175980975058</v>
          </cell>
          <cell r="G437">
            <v>51.214126394052087</v>
          </cell>
          <cell r="H437">
            <v>31.978878960195019</v>
          </cell>
          <cell r="I437">
            <v>196.60610465116298</v>
          </cell>
          <cell r="J437">
            <v>-28.37035156249998</v>
          </cell>
          <cell r="K437">
            <v>-24.872922077922084</v>
          </cell>
        </row>
        <row r="438">
          <cell r="C438">
            <v>-7.0093737534902205</v>
          </cell>
          <cell r="D438">
            <v>0.4768453851939401</v>
          </cell>
          <cell r="E438">
            <v>0.788812740165591</v>
          </cell>
          <cell r="F438">
            <v>2.4364657838207862</v>
          </cell>
          <cell r="G438">
            <v>1.5574670092765981</v>
          </cell>
          <cell r="H438">
            <v>1.4882131788853299</v>
          </cell>
          <cell r="I438">
            <v>6.3889402284404623E-2</v>
          </cell>
          <cell r="J438">
            <v>4.7595902963178192E-2</v>
          </cell>
          <cell r="K438">
            <v>4.5122871322540802E-2</v>
          </cell>
        </row>
      </sheetData>
      <sheetData sheetId="9"/>
      <sheetData sheetId="10"/>
      <sheetData sheetId="11"/>
      <sheetData sheetId="12"/>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Valuations"/>
      <sheetName val="JV"/>
      <sheetName val="Restatd 5 Year Sales &amp; Earnings"/>
      <sheetName val="Restated Qtr Income"/>
      <sheetName val="Restated Qtr Margin"/>
      <sheetName val="Qrt Sales"/>
      <sheetName val="Qtr Sales2"/>
      <sheetName val="Q preview"/>
      <sheetName val="BS2"/>
      <sheetName val="Cash flow"/>
      <sheetName val="transaction multiple"/>
      <sheetName val="QRT_LINK"/>
      <sheetName val="P&amp;L"/>
      <sheetName val="Quarterly P&amp;L"/>
      <sheetName val="Sales_Op Earnings"/>
      <sheetName val="Blank"/>
      <sheetName val="Balance "/>
      <sheetName val="Stat Sheet"/>
      <sheetName val="IS-COMPS"/>
      <sheetName val="QTR Income Historic"/>
      <sheetName val="QTR Margin Historic"/>
      <sheetName val="Qrt Sales Historic"/>
      <sheetName val="Annual Prod Sales"/>
      <sheetName val="5 Year Sales &amp; Earnings"/>
      <sheetName val="5 Year Sales &amp; Earnings Histori"/>
      <sheetName val="Qtr Income"/>
      <sheetName val="Qtr Margin"/>
      <sheetName val="transaction multiples"/>
      <sheetName val="transaction multiples- med tech"/>
      <sheetName val="MainCode"/>
      <sheetName val="Module1"/>
      <sheetName val="Title Page"/>
      <sheetName val="__FDSCACHE__"/>
      <sheetName val="Drivers"/>
      <sheetName val="ROIC"/>
      <sheetName val="QPreview"/>
      <sheetName val="Sheet1"/>
      <sheetName val="Annual"/>
      <sheetName val="5 Year"/>
      <sheetName val="SCF"/>
      <sheetName val="BS"/>
      <sheetName val="QIncome"/>
      <sheetName val="QMargin"/>
      <sheetName val="QSales"/>
      <sheetName val="Sheet2"/>
      <sheetName val="Client Title Page "/>
      <sheetName val="GlobalVal feed"/>
      <sheetName val="mwareTaxoPres"/>
      <sheetName val="mwareValPrintout"/>
      <sheetName val="mwarePreview"/>
      <sheetName val="RI Valuation"/>
      <sheetName val="Dynamic Convergence"/>
      <sheetName val="mwareDates"/>
      <sheetName val="P&amp;L Charts"/>
      <sheetName val="mwareSettings"/>
      <sheetName val="BMYwork"/>
      <sheetName val="xbrlPreview"/>
      <sheetName val="xbrldates"/>
      <sheetName val="xbrlSettings"/>
      <sheetName val="US Feed"/>
      <sheetName val="QPreview2"/>
      <sheetName val="EPS Sensitivity"/>
      <sheetName val="Plavix"/>
      <sheetName val="Implied ROIC "/>
      <sheetName val="Ex-OTN"/>
      <sheetName val="Plavix NPV"/>
      <sheetName val="Model_Template"/>
      <sheetName val="mwareDates_38450_5303795"/>
      <sheetName val="mwareDates_38450_6159728"/>
      <sheetName val="MWare_Cached"/>
      <sheetName val=""/>
      <sheetName val="Approvable Letters"/>
      <sheetName val="Patents"/>
      <sheetName val="Launches"/>
      <sheetName val="Charts"/>
      <sheetName val="Recent Launches-Peak Sales"/>
      <sheetName val="Approvals"/>
      <sheetName val="Recent Launches"/>
      <sheetName val="MW_RO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BZ4" t="str">
            <v>Bristol-Myers Squibb</v>
          </cell>
          <cell r="DO4" t="str">
            <v>Bristol-Myers Squibb</v>
          </cell>
        </row>
        <row r="5">
          <cell r="BZ5" t="str">
            <v>Quarterly Sales Comparisons 1999-2006E</v>
          </cell>
          <cell r="DO5" t="str">
            <v>Quarterly Sales Comparisons 1999-2006E</v>
          </cell>
        </row>
        <row r="6">
          <cell r="BZ6" t="str">
            <v>($ Millions)</v>
          </cell>
          <cell r="DO6" t="str">
            <v>($ Millions)</v>
          </cell>
        </row>
        <row r="7">
          <cell r="CC7" t="str">
            <v>Central Nervous System (a)</v>
          </cell>
          <cell r="CR7" t="str">
            <v>Glucophage (a)</v>
          </cell>
          <cell r="DR7" t="str">
            <v>All</v>
          </cell>
          <cell r="DZ7" t="str">
            <v>Consumer Medicines</v>
          </cell>
        </row>
        <row r="8">
          <cell r="CI8" t="str">
            <v>Sine-</v>
          </cell>
          <cell r="CS8" t="str">
            <v>Gluco-</v>
          </cell>
          <cell r="DA8" t="str">
            <v>Derma-</v>
          </cell>
          <cell r="DE8" t="str">
            <v>Diagnos.</v>
          </cell>
          <cell r="DI8" t="str">
            <v>New</v>
          </cell>
          <cell r="DR8" t="str">
            <v>Other</v>
          </cell>
          <cell r="DV8" t="str">
            <v>Total</v>
          </cell>
          <cell r="DZ8" t="str">
            <v>Anale-</v>
          </cell>
          <cell r="ED8" t="str">
            <v>Other</v>
          </cell>
          <cell r="EL8" t="str">
            <v>Total</v>
          </cell>
        </row>
        <row r="9">
          <cell r="CA9" t="str">
            <v>Buspar</v>
          </cell>
          <cell r="CC9" t="str">
            <v>Buspar</v>
          </cell>
          <cell r="CD9" t="str">
            <v>Serzone</v>
          </cell>
          <cell r="CF9" t="str">
            <v>Serzone</v>
          </cell>
          <cell r="CG9" t="str">
            <v>Other</v>
          </cell>
          <cell r="CI9" t="str">
            <v>met</v>
          </cell>
          <cell r="CJ9" t="str">
            <v>Other</v>
          </cell>
          <cell r="CL9" t="str">
            <v>Total CNS</v>
          </cell>
          <cell r="CN9" t="str">
            <v>Total</v>
          </cell>
          <cell r="CP9" t="str">
            <v>Regular</v>
          </cell>
          <cell r="CR9" t="str">
            <v>Regular</v>
          </cell>
          <cell r="CS9" t="str">
            <v>Vance</v>
          </cell>
          <cell r="CT9" t="str">
            <v>Total</v>
          </cell>
          <cell r="CV9" t="str">
            <v>XR</v>
          </cell>
          <cell r="CW9" t="str">
            <v>Total</v>
          </cell>
          <cell r="CY9" t="str">
            <v>Dermatological</v>
          </cell>
          <cell r="DA9" t="str">
            <v>tological</v>
          </cell>
          <cell r="DC9" t="str">
            <v>Diagnostics (b)</v>
          </cell>
          <cell r="DE9" t="str">
            <v>tics (b)</v>
          </cell>
          <cell r="DG9" t="str">
            <v>New Product</v>
          </cell>
          <cell r="DI9" t="str">
            <v>Prod.</v>
          </cell>
          <cell r="DL9" t="str">
            <v>All Other Pharma</v>
          </cell>
          <cell r="DP9" t="str">
            <v>Erbitux</v>
          </cell>
          <cell r="DR9" t="str">
            <v>Pharma</v>
          </cell>
          <cell r="DT9" t="str">
            <v>Total Pharma</v>
          </cell>
          <cell r="DV9" t="str">
            <v>Pharma</v>
          </cell>
          <cell r="DX9" t="str">
            <v>Analegiscs</v>
          </cell>
          <cell r="DZ9" t="str">
            <v>giscs</v>
          </cell>
          <cell r="EB9" t="str">
            <v>CM</v>
          </cell>
          <cell r="ED9" t="str">
            <v>CM</v>
          </cell>
          <cell r="EF9" t="str">
            <v>Total C.M.</v>
          </cell>
          <cell r="EH9" t="str">
            <v>Total</v>
          </cell>
          <cell r="EL9" t="str">
            <v>Medicines</v>
          </cell>
        </row>
        <row r="10">
          <cell r="CA10" t="str">
            <v>U.S.</v>
          </cell>
          <cell r="CB10" t="str">
            <v>Intl</v>
          </cell>
          <cell r="CC10" t="str">
            <v>WW</v>
          </cell>
          <cell r="CD10" t="str">
            <v>U.S.</v>
          </cell>
          <cell r="CE10" t="str">
            <v>Intl</v>
          </cell>
          <cell r="CF10" t="str">
            <v>WW</v>
          </cell>
          <cell r="CG10" t="str">
            <v>U.S.</v>
          </cell>
          <cell r="CH10" t="str">
            <v>Intl</v>
          </cell>
          <cell r="CI10" t="str">
            <v>WW</v>
          </cell>
          <cell r="CJ10" t="str">
            <v>WW</v>
          </cell>
          <cell r="CL10" t="str">
            <v>U.S.</v>
          </cell>
          <cell r="CM10" t="str">
            <v>Intl</v>
          </cell>
          <cell r="CN10" t="str">
            <v>WW</v>
          </cell>
          <cell r="CP10" t="str">
            <v>U.S.</v>
          </cell>
          <cell r="CQ10" t="str">
            <v>Intl</v>
          </cell>
          <cell r="CR10" t="str">
            <v>WW</v>
          </cell>
          <cell r="CS10" t="str">
            <v>WW</v>
          </cell>
          <cell r="CT10" t="str">
            <v>U.S.</v>
          </cell>
          <cell r="CU10" t="str">
            <v>Intl</v>
          </cell>
          <cell r="CW10" t="str">
            <v>WW</v>
          </cell>
          <cell r="CY10" t="str">
            <v>U.S.</v>
          </cell>
          <cell r="CZ10" t="str">
            <v>Intl</v>
          </cell>
          <cell r="DA10" t="str">
            <v>WW</v>
          </cell>
          <cell r="DC10" t="str">
            <v>U.S.</v>
          </cell>
          <cell r="DD10" t="str">
            <v>Intl</v>
          </cell>
          <cell r="DE10" t="str">
            <v>WW</v>
          </cell>
          <cell r="DG10" t="str">
            <v>U.S.</v>
          </cell>
          <cell r="DH10" t="str">
            <v>Intl</v>
          </cell>
          <cell r="DI10" t="str">
            <v>WW</v>
          </cell>
          <cell r="DJ10" t="str">
            <v>Intl</v>
          </cell>
          <cell r="DL10" t="str">
            <v>U.S.</v>
          </cell>
          <cell r="DR10" t="str">
            <v>WW</v>
          </cell>
          <cell r="DT10" t="str">
            <v>U.S.</v>
          </cell>
          <cell r="DU10" t="str">
            <v>Intl</v>
          </cell>
          <cell r="DV10" t="str">
            <v>WW</v>
          </cell>
          <cell r="DX10" t="str">
            <v>U.S.</v>
          </cell>
          <cell r="DY10" t="str">
            <v>Intl</v>
          </cell>
          <cell r="DZ10" t="str">
            <v>WW</v>
          </cell>
          <cell r="EB10" t="str">
            <v>U.S.</v>
          </cell>
          <cell r="EC10" t="str">
            <v>Intl</v>
          </cell>
          <cell r="ED10" t="str">
            <v>WW</v>
          </cell>
          <cell r="EF10" t="str">
            <v>U.S.</v>
          </cell>
          <cell r="EG10" t="str">
            <v>Intl</v>
          </cell>
          <cell r="EH10" t="str">
            <v>WW</v>
          </cell>
          <cell r="EJ10" t="str">
            <v>U.S.</v>
          </cell>
          <cell r="EK10" t="str">
            <v>Intl</v>
          </cell>
          <cell r="EL10" t="str">
            <v>WW</v>
          </cell>
        </row>
        <row r="12">
          <cell r="BZ12">
            <v>1998</v>
          </cell>
          <cell r="DO12">
            <v>1998</v>
          </cell>
        </row>
        <row r="13">
          <cell r="BZ13" t="str">
            <v xml:space="preserve"> 1Q</v>
          </cell>
          <cell r="CA13">
            <v>135</v>
          </cell>
          <cell r="CB13">
            <v>10</v>
          </cell>
          <cell r="CC13">
            <v>145</v>
          </cell>
          <cell r="CD13">
            <v>56</v>
          </cell>
          <cell r="CE13">
            <v>8</v>
          </cell>
          <cell r="CF13">
            <v>64</v>
          </cell>
          <cell r="CG13">
            <v>47</v>
          </cell>
          <cell r="CH13">
            <v>21</v>
          </cell>
          <cell r="CJ13">
            <v>68</v>
          </cell>
          <cell r="CL13">
            <v>238</v>
          </cell>
          <cell r="CM13">
            <v>39</v>
          </cell>
          <cell r="CN13">
            <v>277</v>
          </cell>
          <cell r="CP13">
            <v>180</v>
          </cell>
          <cell r="CQ13">
            <v>1</v>
          </cell>
          <cell r="CR13">
            <v>181</v>
          </cell>
          <cell r="CY13">
            <v>65</v>
          </cell>
          <cell r="CZ13">
            <v>26</v>
          </cell>
          <cell r="DA13">
            <v>91</v>
          </cell>
          <cell r="DC13">
            <v>9</v>
          </cell>
          <cell r="DD13">
            <v>0</v>
          </cell>
          <cell r="DE13">
            <v>9</v>
          </cell>
          <cell r="DG13">
            <v>0</v>
          </cell>
          <cell r="DH13">
            <v>0</v>
          </cell>
          <cell r="DI13">
            <v>0</v>
          </cell>
          <cell r="DJ13">
            <v>49</v>
          </cell>
          <cell r="DL13">
            <v>245</v>
          </cell>
          <cell r="DO13" t="str">
            <v xml:space="preserve"> 1Q</v>
          </cell>
          <cell r="DR13">
            <v>294</v>
          </cell>
          <cell r="DT13">
            <v>1702</v>
          </cell>
          <cell r="DU13">
            <v>1011</v>
          </cell>
          <cell r="DV13">
            <v>2713</v>
          </cell>
          <cell r="DX13">
            <v>73</v>
          </cell>
          <cell r="DY13">
            <v>104</v>
          </cell>
          <cell r="DZ13">
            <v>177</v>
          </cell>
          <cell r="EB13">
            <v>55</v>
          </cell>
          <cell r="EC13">
            <v>111</v>
          </cell>
          <cell r="ED13">
            <v>166</v>
          </cell>
          <cell r="EF13">
            <v>128</v>
          </cell>
          <cell r="EG13">
            <v>215</v>
          </cell>
          <cell r="EH13">
            <v>343</v>
          </cell>
          <cell r="EJ13">
            <v>1830</v>
          </cell>
          <cell r="EK13">
            <v>1226</v>
          </cell>
          <cell r="EL13">
            <v>3056</v>
          </cell>
        </row>
        <row r="14">
          <cell r="BZ14" t="str">
            <v xml:space="preserve"> 2Q</v>
          </cell>
          <cell r="CA14">
            <v>73</v>
          </cell>
          <cell r="CB14">
            <v>11</v>
          </cell>
          <cell r="CC14">
            <v>84</v>
          </cell>
          <cell r="CD14">
            <v>62</v>
          </cell>
          <cell r="CE14">
            <v>9</v>
          </cell>
          <cell r="CF14">
            <v>71</v>
          </cell>
          <cell r="CG14">
            <v>67</v>
          </cell>
          <cell r="CH14">
            <v>21</v>
          </cell>
          <cell r="CJ14">
            <v>88</v>
          </cell>
          <cell r="CL14">
            <v>202</v>
          </cell>
          <cell r="CM14">
            <v>41</v>
          </cell>
          <cell r="CN14">
            <v>243</v>
          </cell>
          <cell r="CP14">
            <v>236</v>
          </cell>
          <cell r="CQ14">
            <v>2</v>
          </cell>
          <cell r="CR14">
            <v>238</v>
          </cell>
          <cell r="CY14">
            <v>64</v>
          </cell>
          <cell r="CZ14">
            <v>26</v>
          </cell>
          <cell r="DA14">
            <v>90</v>
          </cell>
          <cell r="DC14">
            <v>9</v>
          </cell>
          <cell r="DD14">
            <v>1</v>
          </cell>
          <cell r="DE14">
            <v>10</v>
          </cell>
          <cell r="DG14">
            <v>0</v>
          </cell>
          <cell r="DH14">
            <v>0</v>
          </cell>
          <cell r="DI14">
            <v>0</v>
          </cell>
          <cell r="DJ14">
            <v>46</v>
          </cell>
          <cell r="DL14">
            <v>281</v>
          </cell>
          <cell r="DO14" t="str">
            <v xml:space="preserve"> 2Q</v>
          </cell>
          <cell r="DR14">
            <v>327</v>
          </cell>
          <cell r="DT14">
            <v>1599</v>
          </cell>
          <cell r="DU14">
            <v>1092</v>
          </cell>
          <cell r="DV14">
            <v>2691</v>
          </cell>
          <cell r="DX14">
            <v>59</v>
          </cell>
          <cell r="DY14">
            <v>112</v>
          </cell>
          <cell r="DZ14">
            <v>171</v>
          </cell>
          <cell r="EB14">
            <v>26</v>
          </cell>
          <cell r="EC14">
            <v>99</v>
          </cell>
          <cell r="ED14">
            <v>125</v>
          </cell>
          <cell r="EF14">
            <v>85</v>
          </cell>
          <cell r="EG14">
            <v>211</v>
          </cell>
          <cell r="EH14">
            <v>296</v>
          </cell>
          <cell r="EJ14">
            <v>1684</v>
          </cell>
          <cell r="EK14">
            <v>1303</v>
          </cell>
          <cell r="EL14">
            <v>2987</v>
          </cell>
        </row>
        <row r="15">
          <cell r="BZ15" t="str">
            <v xml:space="preserve"> 3Q</v>
          </cell>
          <cell r="CA15">
            <v>129</v>
          </cell>
          <cell r="CB15">
            <v>9</v>
          </cell>
          <cell r="CC15">
            <v>138</v>
          </cell>
          <cell r="CD15">
            <v>52</v>
          </cell>
          <cell r="CE15">
            <v>9</v>
          </cell>
          <cell r="CF15">
            <v>61</v>
          </cell>
          <cell r="CG15">
            <v>50</v>
          </cell>
          <cell r="CH15">
            <v>21</v>
          </cell>
          <cell r="CJ15">
            <v>71</v>
          </cell>
          <cell r="CL15">
            <v>231</v>
          </cell>
          <cell r="CM15">
            <v>39</v>
          </cell>
          <cell r="CN15">
            <v>270</v>
          </cell>
          <cell r="CP15">
            <v>220</v>
          </cell>
          <cell r="CQ15">
            <v>2</v>
          </cell>
          <cell r="CR15">
            <v>222</v>
          </cell>
          <cell r="CY15">
            <v>52</v>
          </cell>
          <cell r="CZ15">
            <v>25</v>
          </cell>
          <cell r="DA15">
            <v>77</v>
          </cell>
          <cell r="DC15">
            <v>9</v>
          </cell>
          <cell r="DD15">
            <v>1</v>
          </cell>
          <cell r="DE15">
            <v>10</v>
          </cell>
          <cell r="DG15">
            <v>0</v>
          </cell>
          <cell r="DH15">
            <v>0</v>
          </cell>
          <cell r="DI15">
            <v>0</v>
          </cell>
          <cell r="DJ15">
            <v>33</v>
          </cell>
          <cell r="DL15">
            <v>286</v>
          </cell>
          <cell r="DO15" t="str">
            <v xml:space="preserve"> 3Q</v>
          </cell>
          <cell r="DR15">
            <v>319</v>
          </cell>
          <cell r="DT15">
            <v>1815</v>
          </cell>
          <cell r="DU15">
            <v>997</v>
          </cell>
          <cell r="DV15">
            <v>2812</v>
          </cell>
          <cell r="DX15">
            <v>67</v>
          </cell>
          <cell r="DY15">
            <v>95</v>
          </cell>
          <cell r="DZ15">
            <v>162</v>
          </cell>
          <cell r="EB15">
            <v>36</v>
          </cell>
          <cell r="EC15">
            <v>90</v>
          </cell>
          <cell r="ED15">
            <v>126</v>
          </cell>
          <cell r="EF15">
            <v>103</v>
          </cell>
          <cell r="EG15">
            <v>185</v>
          </cell>
          <cell r="EH15">
            <v>288</v>
          </cell>
          <cell r="EJ15">
            <v>1918</v>
          </cell>
          <cell r="EK15">
            <v>1182</v>
          </cell>
          <cell r="EL15">
            <v>3100</v>
          </cell>
        </row>
        <row r="16">
          <cell r="BZ16" t="str">
            <v xml:space="preserve"> 4Q </v>
          </cell>
          <cell r="CA16">
            <v>152</v>
          </cell>
          <cell r="CB16">
            <v>11</v>
          </cell>
          <cell r="CC16">
            <v>163</v>
          </cell>
          <cell r="CD16">
            <v>51</v>
          </cell>
          <cell r="CE16">
            <v>10</v>
          </cell>
          <cell r="CF16">
            <v>61</v>
          </cell>
          <cell r="CG16">
            <v>65</v>
          </cell>
          <cell r="CH16">
            <v>9</v>
          </cell>
          <cell r="CJ16">
            <v>74</v>
          </cell>
          <cell r="CL16">
            <v>268</v>
          </cell>
          <cell r="CM16">
            <v>30</v>
          </cell>
          <cell r="CN16">
            <v>298</v>
          </cell>
          <cell r="CP16">
            <v>219</v>
          </cell>
          <cell r="CQ16">
            <v>2</v>
          </cell>
          <cell r="CR16">
            <v>221</v>
          </cell>
          <cell r="CY16">
            <v>86</v>
          </cell>
          <cell r="CZ16">
            <v>25</v>
          </cell>
          <cell r="DA16">
            <v>111</v>
          </cell>
          <cell r="DC16">
            <v>10</v>
          </cell>
          <cell r="DD16">
            <v>2</v>
          </cell>
          <cell r="DE16">
            <v>12</v>
          </cell>
          <cell r="DG16">
            <v>0</v>
          </cell>
          <cell r="DH16">
            <v>0</v>
          </cell>
          <cell r="DI16">
            <v>0</v>
          </cell>
          <cell r="DJ16">
            <v>51</v>
          </cell>
          <cell r="DL16">
            <v>288</v>
          </cell>
          <cell r="DO16" t="str">
            <v xml:space="preserve"> 4Q </v>
          </cell>
          <cell r="DR16">
            <v>339</v>
          </cell>
          <cell r="DT16">
            <v>1897</v>
          </cell>
          <cell r="DU16">
            <v>1164</v>
          </cell>
          <cell r="DV16">
            <v>3061</v>
          </cell>
          <cell r="DX16">
            <v>76</v>
          </cell>
          <cell r="DY16">
            <v>163</v>
          </cell>
          <cell r="DZ16">
            <v>239</v>
          </cell>
          <cell r="EB16">
            <v>40</v>
          </cell>
          <cell r="EC16">
            <v>91</v>
          </cell>
          <cell r="ED16">
            <v>131</v>
          </cell>
          <cell r="EF16">
            <v>116</v>
          </cell>
          <cell r="EG16">
            <v>254</v>
          </cell>
          <cell r="EH16">
            <v>370</v>
          </cell>
          <cell r="EJ16">
            <v>2013</v>
          </cell>
          <cell r="EK16">
            <v>1418</v>
          </cell>
          <cell r="EL16">
            <v>3431</v>
          </cell>
        </row>
        <row r="18">
          <cell r="BZ18" t="str">
            <v>Year</v>
          </cell>
          <cell r="CA18">
            <v>489</v>
          </cell>
          <cell r="CB18">
            <v>41</v>
          </cell>
          <cell r="CC18">
            <v>530</v>
          </cell>
          <cell r="CD18">
            <v>221</v>
          </cell>
          <cell r="CE18">
            <v>36</v>
          </cell>
          <cell r="CF18">
            <v>257</v>
          </cell>
          <cell r="CG18">
            <v>229</v>
          </cell>
          <cell r="CH18">
            <v>72</v>
          </cell>
          <cell r="CJ18">
            <v>301</v>
          </cell>
          <cell r="CL18">
            <v>939</v>
          </cell>
          <cell r="CM18">
            <v>149</v>
          </cell>
          <cell r="CN18">
            <v>1088</v>
          </cell>
          <cell r="CP18">
            <v>855</v>
          </cell>
          <cell r="CQ18">
            <v>7</v>
          </cell>
          <cell r="CR18">
            <v>862</v>
          </cell>
          <cell r="CY18">
            <v>267</v>
          </cell>
          <cell r="CZ18">
            <v>102</v>
          </cell>
          <cell r="DA18">
            <v>369</v>
          </cell>
          <cell r="DC18">
            <v>37</v>
          </cell>
          <cell r="DD18">
            <v>4</v>
          </cell>
          <cell r="DE18">
            <v>41</v>
          </cell>
          <cell r="DG18">
            <v>0</v>
          </cell>
          <cell r="DH18">
            <v>0</v>
          </cell>
          <cell r="DI18">
            <v>0</v>
          </cell>
          <cell r="DJ18">
            <v>179</v>
          </cell>
          <cell r="DL18">
            <v>1100</v>
          </cell>
          <cell r="DO18" t="str">
            <v>Year</v>
          </cell>
          <cell r="DR18">
            <v>1279</v>
          </cell>
          <cell r="DT18">
            <v>7013</v>
          </cell>
          <cell r="DU18">
            <v>4264</v>
          </cell>
          <cell r="DV18">
            <v>11277</v>
          </cell>
          <cell r="DX18">
            <v>275</v>
          </cell>
          <cell r="DY18">
            <v>474</v>
          </cell>
          <cell r="DZ18">
            <v>749</v>
          </cell>
          <cell r="EB18">
            <v>157</v>
          </cell>
          <cell r="EC18">
            <v>391</v>
          </cell>
          <cell r="ED18">
            <v>548</v>
          </cell>
          <cell r="EF18">
            <v>432</v>
          </cell>
          <cell r="EG18">
            <v>865</v>
          </cell>
          <cell r="EH18">
            <v>1297</v>
          </cell>
          <cell r="EJ18">
            <v>7445</v>
          </cell>
          <cell r="EK18">
            <v>5129</v>
          </cell>
          <cell r="EL18">
            <v>12574</v>
          </cell>
        </row>
        <row r="20">
          <cell r="BZ20" t="str">
            <v>1999/98</v>
          </cell>
          <cell r="DO20" t="str">
            <v>1999/98</v>
          </cell>
        </row>
        <row r="21">
          <cell r="BZ21" t="str">
            <v xml:space="preserve"> 1Q</v>
          </cell>
          <cell r="CA21">
            <v>-9.6296296296296324E-2</v>
          </cell>
          <cell r="CB21">
            <v>-9.9999999999999978E-2</v>
          </cell>
          <cell r="CC21">
            <v>-9.6551724137931033E-2</v>
          </cell>
          <cell r="CD21">
            <v>-3.5714285714285698E-2</v>
          </cell>
          <cell r="CE21">
            <v>0.125</v>
          </cell>
          <cell r="CF21">
            <v>-1.5625E-2</v>
          </cell>
          <cell r="CG21">
            <v>8.5106382978723305E-2</v>
          </cell>
          <cell r="CH21">
            <v>-0.52380952380952384</v>
          </cell>
          <cell r="CJ21">
            <v>-0.10294117647058823</v>
          </cell>
          <cell r="CL21">
            <v>-4.621848739495793E-2</v>
          </cell>
          <cell r="CM21">
            <v>-0.28205128205128205</v>
          </cell>
          <cell r="CN21">
            <v>-7.9422382671480149E-2</v>
          </cell>
          <cell r="CP21">
            <v>0.55000000000000004</v>
          </cell>
          <cell r="CQ21">
            <v>2</v>
          </cell>
          <cell r="CR21">
            <v>0.55801104972375692</v>
          </cell>
          <cell r="CY21">
            <v>-7.6923076923076872E-2</v>
          </cell>
          <cell r="CZ21">
            <v>-0.11538461538461542</v>
          </cell>
          <cell r="DA21">
            <v>-8.7912087912087919E-2</v>
          </cell>
          <cell r="DC21">
            <v>-0.11111111111111116</v>
          </cell>
          <cell r="DD21" t="str">
            <v>NM</v>
          </cell>
          <cell r="DE21">
            <v>-0.1111111111111111</v>
          </cell>
          <cell r="DG21" t="str">
            <v>NM</v>
          </cell>
          <cell r="DH21" t="str">
            <v>NM</v>
          </cell>
          <cell r="DI21" t="str">
            <v>NM</v>
          </cell>
          <cell r="DJ21">
            <v>0</v>
          </cell>
          <cell r="DL21">
            <v>-0.83265306122448979</v>
          </cell>
          <cell r="DO21" t="str">
            <v xml:space="preserve"> 1Q</v>
          </cell>
          <cell r="DR21">
            <v>-0.69387755102040816</v>
          </cell>
          <cell r="DT21">
            <v>0.19682726204465334</v>
          </cell>
          <cell r="DU21">
            <v>4.4510385756676561E-2</v>
          </cell>
          <cell r="DV21">
            <v>0.14006634721710284</v>
          </cell>
          <cell r="DX21">
            <v>-0.1095890410958904</v>
          </cell>
          <cell r="DY21">
            <v>0.48076923076923078</v>
          </cell>
          <cell r="DZ21">
            <v>0.23728813559322035</v>
          </cell>
          <cell r="EB21">
            <v>-0.29090909090909089</v>
          </cell>
          <cell r="EC21">
            <v>-0.27927927927927926</v>
          </cell>
          <cell r="ED21">
            <v>-0.28313253012048195</v>
          </cell>
          <cell r="EF21">
            <v>-0.1875</v>
          </cell>
          <cell r="EG21">
            <v>8.8372093023255813E-2</v>
          </cell>
          <cell r="EH21">
            <v>-1.4577259475218658E-2</v>
          </cell>
          <cell r="EJ21">
            <v>0.16994535519125684</v>
          </cell>
          <cell r="EK21">
            <v>5.2202283849918436E-2</v>
          </cell>
          <cell r="EL21">
            <v>0.12270942408376963</v>
          </cell>
        </row>
        <row r="22">
          <cell r="BZ22" t="str">
            <v xml:space="preserve"> 2Q</v>
          </cell>
          <cell r="CA22">
            <v>0.68493150684931514</v>
          </cell>
          <cell r="CB22">
            <v>-0.18181818181818177</v>
          </cell>
          <cell r="CC22">
            <v>0.5714285714285714</v>
          </cell>
          <cell r="CD22">
            <v>0.20967741935483875</v>
          </cell>
          <cell r="CE22">
            <v>0</v>
          </cell>
          <cell r="CF22">
            <v>0.18309859154929578</v>
          </cell>
          <cell r="CG22">
            <v>-1.4925373134328401E-2</v>
          </cell>
          <cell r="CH22">
            <v>-0.4285714285714286</v>
          </cell>
          <cell r="CJ22">
            <v>-0.11363636363636363</v>
          </cell>
          <cell r="CL22">
            <v>0.30693069306930698</v>
          </cell>
          <cell r="CM22">
            <v>-0.26829268292682928</v>
          </cell>
          <cell r="CN22">
            <v>0.20987654320987653</v>
          </cell>
          <cell r="CP22">
            <v>0.47033898305084754</v>
          </cell>
          <cell r="CQ22">
            <v>0.5</v>
          </cell>
          <cell r="CR22">
            <v>0.47058823529411764</v>
          </cell>
          <cell r="CY22">
            <v>0.28125</v>
          </cell>
          <cell r="CZ22">
            <v>-0.23076923076923073</v>
          </cell>
          <cell r="DA22">
            <v>0.13333333333333333</v>
          </cell>
          <cell r="DC22">
            <v>0.22222222222222232</v>
          </cell>
          <cell r="DD22">
            <v>1</v>
          </cell>
          <cell r="DE22">
            <v>0.3</v>
          </cell>
          <cell r="DG22" t="str">
            <v>NM</v>
          </cell>
          <cell r="DH22" t="str">
            <v>NM</v>
          </cell>
          <cell r="DI22" t="str">
            <v>NM</v>
          </cell>
          <cell r="DJ22">
            <v>0</v>
          </cell>
          <cell r="DL22">
            <v>-0.83274021352313166</v>
          </cell>
          <cell r="DO22" t="str">
            <v xml:space="preserve"> 2Q</v>
          </cell>
          <cell r="DR22">
            <v>-0.7155963302752294</v>
          </cell>
          <cell r="DT22">
            <v>0.28517823639774859</v>
          </cell>
          <cell r="DU22">
            <v>5.4945054945054949E-3</v>
          </cell>
          <cell r="DV22">
            <v>0.17168338907469341</v>
          </cell>
          <cell r="DX22">
            <v>0</v>
          </cell>
          <cell r="DY22">
            <v>0.16071428571428573</v>
          </cell>
          <cell r="DZ22">
            <v>0.10526315789473684</v>
          </cell>
          <cell r="EB22">
            <v>0.26923076923076922</v>
          </cell>
          <cell r="EC22">
            <v>-0.39393939393939392</v>
          </cell>
          <cell r="ED22">
            <v>-0.25600000000000001</v>
          </cell>
          <cell r="EF22">
            <v>8.2352941176470587E-2</v>
          </cell>
          <cell r="EG22">
            <v>-9.9526066350710901E-2</v>
          </cell>
          <cell r="EH22">
            <v>-4.72972972972973E-2</v>
          </cell>
          <cell r="EJ22">
            <v>0.27494061757719718</v>
          </cell>
          <cell r="EK22">
            <v>-1.1511895625479662E-2</v>
          </cell>
          <cell r="EL22">
            <v>0.14998326079678606</v>
          </cell>
        </row>
        <row r="23">
          <cell r="BZ23" t="str">
            <v xml:space="preserve"> 3Q</v>
          </cell>
          <cell r="CA23">
            <v>0.13178294573643412</v>
          </cell>
          <cell r="CB23">
            <v>0</v>
          </cell>
          <cell r="CC23">
            <v>0.12318840579710146</v>
          </cell>
          <cell r="CD23">
            <v>0.48076923076923084</v>
          </cell>
          <cell r="CE23">
            <v>0</v>
          </cell>
          <cell r="CF23">
            <v>0.4098360655737705</v>
          </cell>
          <cell r="CG23">
            <v>0</v>
          </cell>
          <cell r="CH23">
            <v>-0.47619047619047616</v>
          </cell>
          <cell r="CJ23">
            <v>-0.14084507042253522</v>
          </cell>
          <cell r="CL23">
            <v>0.18181818181818188</v>
          </cell>
          <cell r="CM23">
            <v>-0.25641025641025639</v>
          </cell>
          <cell r="CN23">
            <v>0.11851851851851852</v>
          </cell>
          <cell r="CP23">
            <v>0.56363636363636371</v>
          </cell>
          <cell r="CQ23">
            <v>1.5</v>
          </cell>
          <cell r="CR23">
            <v>0.57207207207207211</v>
          </cell>
          <cell r="CY23">
            <v>0.26923076923076916</v>
          </cell>
          <cell r="CZ23">
            <v>-7.999999999999996E-2</v>
          </cell>
          <cell r="DA23">
            <v>0.15584415584415584</v>
          </cell>
          <cell r="DC23">
            <v>0.33333333333333326</v>
          </cell>
          <cell r="DD23">
            <v>0</v>
          </cell>
          <cell r="DE23">
            <v>0.3</v>
          </cell>
          <cell r="DG23" t="str">
            <v>NM</v>
          </cell>
          <cell r="DH23" t="str">
            <v>NM</v>
          </cell>
          <cell r="DI23" t="str">
            <v>NM</v>
          </cell>
          <cell r="DJ23">
            <v>6.0606060606060608E-2</v>
          </cell>
          <cell r="DL23">
            <v>-0.71678321678321677</v>
          </cell>
          <cell r="DO23" t="str">
            <v xml:space="preserve"> 3Q</v>
          </cell>
          <cell r="DR23">
            <v>-0.63636363636363635</v>
          </cell>
          <cell r="DT23">
            <v>0.21707988980716253</v>
          </cell>
          <cell r="DU23">
            <v>2.2066198595787363E-2</v>
          </cell>
          <cell r="DV23">
            <v>0.14793741109530584</v>
          </cell>
          <cell r="DX23">
            <v>4.4776119402985072E-2</v>
          </cell>
          <cell r="DY23">
            <v>0.41052631578947368</v>
          </cell>
          <cell r="DZ23">
            <v>0.25925925925925924</v>
          </cell>
          <cell r="EB23">
            <v>0.1111111111111111</v>
          </cell>
          <cell r="EC23">
            <v>-0.15555555555555556</v>
          </cell>
          <cell r="ED23">
            <v>-7.9365079365079361E-2</v>
          </cell>
          <cell r="EF23">
            <v>6.7961165048543687E-2</v>
          </cell>
          <cell r="EG23">
            <v>0.13513513513513514</v>
          </cell>
          <cell r="EH23">
            <v>0.1111111111111111</v>
          </cell>
          <cell r="EJ23">
            <v>0.20907194994786235</v>
          </cell>
          <cell r="EK23">
            <v>3.976311336717428E-2</v>
          </cell>
          <cell r="EL23">
            <v>0.14451612903225808</v>
          </cell>
        </row>
        <row r="24">
          <cell r="BZ24" t="str">
            <v xml:space="preserve"> 4Q </v>
          </cell>
          <cell r="CA24">
            <v>0.16447368421052633</v>
          </cell>
          <cell r="CB24">
            <v>-9.0909090909090939E-2</v>
          </cell>
          <cell r="CC24">
            <v>0.14723926380368099</v>
          </cell>
          <cell r="CD24">
            <v>0.74509803921568629</v>
          </cell>
          <cell r="CE24">
            <v>0</v>
          </cell>
          <cell r="CF24">
            <v>0.62295081967213117</v>
          </cell>
          <cell r="CG24">
            <v>-3.0769230769230771E-2</v>
          </cell>
          <cell r="CH24">
            <v>0.33333333333333326</v>
          </cell>
          <cell r="CJ24">
            <v>1.3513513513513514E-2</v>
          </cell>
          <cell r="CL24">
            <v>0.22761194029850751</v>
          </cell>
          <cell r="CM24">
            <v>6.6666666666666652E-2</v>
          </cell>
          <cell r="CN24">
            <v>0.21140939597315436</v>
          </cell>
          <cell r="CP24">
            <v>0.51598173515981727</v>
          </cell>
          <cell r="CQ24">
            <v>1</v>
          </cell>
          <cell r="CR24">
            <v>0.52036199095022628</v>
          </cell>
          <cell r="CY24">
            <v>0</v>
          </cell>
          <cell r="CZ24">
            <v>0</v>
          </cell>
          <cell r="DA24">
            <v>0</v>
          </cell>
          <cell r="DC24">
            <v>0</v>
          </cell>
          <cell r="DD24">
            <v>0</v>
          </cell>
          <cell r="DE24">
            <v>0</v>
          </cell>
          <cell r="DG24" t="str">
            <v>NM</v>
          </cell>
          <cell r="DH24" t="str">
            <v>NM</v>
          </cell>
          <cell r="DI24" t="str">
            <v>NM</v>
          </cell>
          <cell r="DJ24">
            <v>-0.11764705882352941</v>
          </cell>
          <cell r="DL24">
            <v>-0.70486111111111116</v>
          </cell>
          <cell r="DO24" t="str">
            <v xml:space="preserve"> 4Q </v>
          </cell>
          <cell r="DR24">
            <v>-0.74926253687315636</v>
          </cell>
          <cell r="DT24">
            <v>0.22509225092250923</v>
          </cell>
          <cell r="DU24">
            <v>1.804123711340206E-2</v>
          </cell>
          <cell r="DV24">
            <v>0.14635739954263313</v>
          </cell>
          <cell r="DX24">
            <v>0</v>
          </cell>
          <cell r="DY24">
            <v>9.202453987730061E-2</v>
          </cell>
          <cell r="DZ24">
            <v>6.2761506276150625E-2</v>
          </cell>
          <cell r="EB24">
            <v>0.15</v>
          </cell>
          <cell r="EC24">
            <v>-5.4945054945054944E-2</v>
          </cell>
          <cell r="ED24">
            <v>7.6335877862595417E-3</v>
          </cell>
          <cell r="EF24">
            <v>5.1724137931034482E-2</v>
          </cell>
          <cell r="EG24">
            <v>3.937007874015748E-2</v>
          </cell>
          <cell r="EH24">
            <v>4.3243243243243246E-2</v>
          </cell>
          <cell r="EJ24">
            <v>0.21510183805265773</v>
          </cell>
          <cell r="EK24">
            <v>2.1861777150916785E-2</v>
          </cell>
          <cell r="EL24">
            <v>0.13523754007577965</v>
          </cell>
        </row>
        <row r="26">
          <cell r="BZ26" t="str">
            <v>Year</v>
          </cell>
          <cell r="CA26">
            <v>0.16155419222903888</v>
          </cell>
          <cell r="CB26">
            <v>-9.7560975609756073E-2</v>
          </cell>
          <cell r="CC26">
            <v>0.14150943396226415</v>
          </cell>
          <cell r="CD26">
            <v>0.33484162895927594</v>
          </cell>
          <cell r="CE26">
            <v>2.7777777777777679E-2</v>
          </cell>
          <cell r="CF26">
            <v>0.29182879377431908</v>
          </cell>
          <cell r="CG26">
            <v>4.366812227074135E-3</v>
          </cell>
          <cell r="CH26">
            <v>-0.375</v>
          </cell>
          <cell r="CJ26">
            <v>-8.6378737541528236E-2</v>
          </cell>
          <cell r="CL26">
            <v>0.16400425985090528</v>
          </cell>
          <cell r="CM26">
            <v>-0.20134228187919467</v>
          </cell>
          <cell r="CN26">
            <v>0.11397058823529412</v>
          </cell>
          <cell r="CP26">
            <v>0.52280701754385972</v>
          </cell>
          <cell r="CQ26">
            <v>1.1428571428571428</v>
          </cell>
          <cell r="CR26">
            <v>0.52784222737819031</v>
          </cell>
          <cell r="CY26">
            <v>0.101123595505618</v>
          </cell>
          <cell r="CZ26">
            <v>-0.10784313725490191</v>
          </cell>
          <cell r="DA26">
            <v>4.3360433604336043E-2</v>
          </cell>
          <cell r="DC26">
            <v>0.10810810810810811</v>
          </cell>
          <cell r="DD26">
            <v>0.25</v>
          </cell>
          <cell r="DE26">
            <v>0.12195121951219512</v>
          </cell>
          <cell r="DG26" t="str">
            <v>NM</v>
          </cell>
          <cell r="DH26" t="str">
            <v>NM</v>
          </cell>
          <cell r="DI26" t="str">
            <v>NM</v>
          </cell>
          <cell r="DJ26">
            <v>-2.23463687150838E-2</v>
          </cell>
          <cell r="DL26">
            <v>-0.76909090909090905</v>
          </cell>
          <cell r="DO26" t="str">
            <v>Year</v>
          </cell>
          <cell r="DR26">
            <v>-0.69976544175136823</v>
          </cell>
          <cell r="DT26">
            <v>0.22985883359475259</v>
          </cell>
          <cell r="DU26">
            <v>2.2045028142589119E-2</v>
          </cell>
          <cell r="DV26">
            <v>0.15128136915846413</v>
          </cell>
          <cell r="DX26">
            <v>-1.8181818181818181E-2</v>
          </cell>
          <cell r="DY26">
            <v>0.25738396624472576</v>
          </cell>
          <cell r="DZ26">
            <v>0.15620827770360482</v>
          </cell>
          <cell r="EB26">
            <v>6.369426751592357E-3</v>
          </cell>
          <cell r="EC26">
            <v>-0.22762148337595908</v>
          </cell>
          <cell r="ED26">
            <v>-0.16058394160583941</v>
          </cell>
          <cell r="EF26">
            <v>-9.2592592592592587E-3</v>
          </cell>
          <cell r="EG26">
            <v>3.8150289017341042E-2</v>
          </cell>
          <cell r="EH26">
            <v>2.2359290670778721E-2</v>
          </cell>
          <cell r="EJ26">
            <v>0.21598388179986569</v>
          </cell>
          <cell r="EK26">
            <v>2.4761162019886918E-2</v>
          </cell>
          <cell r="EL26">
            <v>0.13798313981231111</v>
          </cell>
        </row>
        <row r="28">
          <cell r="BZ28">
            <v>1999</v>
          </cell>
          <cell r="DO28">
            <v>1999</v>
          </cell>
        </row>
        <row r="29">
          <cell r="BZ29" t="str">
            <v xml:space="preserve"> 1Q</v>
          </cell>
          <cell r="CA29">
            <v>122</v>
          </cell>
          <cell r="CB29">
            <v>9</v>
          </cell>
          <cell r="CC29">
            <v>131</v>
          </cell>
          <cell r="CD29">
            <v>54</v>
          </cell>
          <cell r="CE29">
            <v>9</v>
          </cell>
          <cell r="CF29">
            <v>63</v>
          </cell>
          <cell r="CG29">
            <v>51</v>
          </cell>
          <cell r="CH29">
            <v>10</v>
          </cell>
          <cell r="CJ29">
            <v>61</v>
          </cell>
          <cell r="CL29">
            <v>227</v>
          </cell>
          <cell r="CM29">
            <v>28</v>
          </cell>
          <cell r="CN29">
            <v>255</v>
          </cell>
          <cell r="CP29">
            <v>279</v>
          </cell>
          <cell r="CQ29">
            <v>3</v>
          </cell>
          <cell r="CR29">
            <v>282</v>
          </cell>
          <cell r="CT29">
            <v>279</v>
          </cell>
          <cell r="CU29">
            <v>3</v>
          </cell>
          <cell r="CW29">
            <v>282</v>
          </cell>
          <cell r="CY29">
            <v>60</v>
          </cell>
          <cell r="CZ29">
            <v>23</v>
          </cell>
          <cell r="DA29">
            <v>83</v>
          </cell>
          <cell r="DC29">
            <v>8</v>
          </cell>
          <cell r="DD29">
            <v>0</v>
          </cell>
          <cell r="DE29">
            <v>8</v>
          </cell>
          <cell r="DJ29">
            <v>49</v>
          </cell>
          <cell r="DL29">
            <v>41</v>
          </cell>
          <cell r="DO29" t="str">
            <v xml:space="preserve"> 1Q</v>
          </cell>
          <cell r="DR29">
            <v>90</v>
          </cell>
          <cell r="DT29">
            <v>2037</v>
          </cell>
          <cell r="DU29">
            <v>1056</v>
          </cell>
          <cell r="DV29">
            <v>3093</v>
          </cell>
          <cell r="DX29">
            <v>65</v>
          </cell>
          <cell r="DY29">
            <v>154</v>
          </cell>
          <cell r="DZ29">
            <v>219</v>
          </cell>
          <cell r="EB29">
            <v>39</v>
          </cell>
          <cell r="EC29">
            <v>80</v>
          </cell>
          <cell r="ED29">
            <v>119</v>
          </cell>
          <cell r="EF29">
            <v>104</v>
          </cell>
          <cell r="EG29">
            <v>234</v>
          </cell>
          <cell r="EH29">
            <v>338</v>
          </cell>
          <cell r="EJ29">
            <v>2141</v>
          </cell>
          <cell r="EK29">
            <v>1290</v>
          </cell>
          <cell r="EL29">
            <v>3431</v>
          </cell>
        </row>
        <row r="30">
          <cell r="BZ30" t="str">
            <v xml:space="preserve"> 2Q</v>
          </cell>
          <cell r="CA30">
            <v>123</v>
          </cell>
          <cell r="CB30">
            <v>9</v>
          </cell>
          <cell r="CC30">
            <v>132</v>
          </cell>
          <cell r="CD30">
            <v>75</v>
          </cell>
          <cell r="CE30">
            <v>9</v>
          </cell>
          <cell r="CF30">
            <v>84</v>
          </cell>
          <cell r="CG30">
            <v>66</v>
          </cell>
          <cell r="CH30">
            <v>12</v>
          </cell>
          <cell r="CJ30">
            <v>78</v>
          </cell>
          <cell r="CL30">
            <v>264</v>
          </cell>
          <cell r="CM30">
            <v>30</v>
          </cell>
          <cell r="CN30">
            <v>294</v>
          </cell>
          <cell r="CP30">
            <v>347</v>
          </cell>
          <cell r="CQ30">
            <v>3</v>
          </cell>
          <cell r="CR30">
            <v>350</v>
          </cell>
          <cell r="CT30">
            <v>347</v>
          </cell>
          <cell r="CU30">
            <v>3</v>
          </cell>
          <cell r="CW30">
            <v>350</v>
          </cell>
          <cell r="CY30">
            <v>82</v>
          </cell>
          <cell r="CZ30">
            <v>20</v>
          </cell>
          <cell r="DA30">
            <v>102</v>
          </cell>
          <cell r="DC30">
            <v>11</v>
          </cell>
          <cell r="DD30">
            <v>2</v>
          </cell>
          <cell r="DE30">
            <v>13</v>
          </cell>
          <cell r="DJ30">
            <v>46</v>
          </cell>
          <cell r="DL30">
            <v>47</v>
          </cell>
          <cell r="DO30" t="str">
            <v xml:space="preserve"> 2Q</v>
          </cell>
          <cell r="DR30">
            <v>93</v>
          </cell>
          <cell r="DT30">
            <v>2055</v>
          </cell>
          <cell r="DU30">
            <v>1098</v>
          </cell>
          <cell r="DV30">
            <v>3153</v>
          </cell>
          <cell r="DX30">
            <v>59</v>
          </cell>
          <cell r="DY30">
            <v>130</v>
          </cell>
          <cell r="DZ30">
            <v>189</v>
          </cell>
          <cell r="EB30">
            <v>33</v>
          </cell>
          <cell r="EC30">
            <v>60</v>
          </cell>
          <cell r="ED30">
            <v>93</v>
          </cell>
          <cell r="EF30">
            <v>92</v>
          </cell>
          <cell r="EG30">
            <v>190</v>
          </cell>
          <cell r="EH30">
            <v>282</v>
          </cell>
          <cell r="EJ30">
            <v>2147</v>
          </cell>
          <cell r="EK30">
            <v>1288</v>
          </cell>
          <cell r="EL30">
            <v>3435</v>
          </cell>
        </row>
        <row r="31">
          <cell r="BZ31" t="str">
            <v xml:space="preserve"> 3Q</v>
          </cell>
          <cell r="CA31">
            <v>146</v>
          </cell>
          <cell r="CB31">
            <v>9</v>
          </cell>
          <cell r="CC31">
            <v>155</v>
          </cell>
          <cell r="CD31">
            <v>77</v>
          </cell>
          <cell r="CE31">
            <v>9</v>
          </cell>
          <cell r="CF31">
            <v>86</v>
          </cell>
          <cell r="CG31">
            <v>50</v>
          </cell>
          <cell r="CH31">
            <v>11</v>
          </cell>
          <cell r="CJ31">
            <v>61</v>
          </cell>
          <cell r="CL31">
            <v>273</v>
          </cell>
          <cell r="CM31">
            <v>29</v>
          </cell>
          <cell r="CN31">
            <v>302</v>
          </cell>
          <cell r="CP31">
            <v>344</v>
          </cell>
          <cell r="CQ31">
            <v>5</v>
          </cell>
          <cell r="CR31">
            <v>349</v>
          </cell>
          <cell r="CT31">
            <v>344</v>
          </cell>
          <cell r="CU31">
            <v>5</v>
          </cell>
          <cell r="CW31">
            <v>349</v>
          </cell>
          <cell r="CY31">
            <v>66</v>
          </cell>
          <cell r="CZ31">
            <v>23</v>
          </cell>
          <cell r="DA31">
            <v>89</v>
          </cell>
          <cell r="DC31">
            <v>12</v>
          </cell>
          <cell r="DD31">
            <v>1</v>
          </cell>
          <cell r="DE31">
            <v>13</v>
          </cell>
          <cell r="DJ31">
            <v>35</v>
          </cell>
          <cell r="DL31">
            <v>81</v>
          </cell>
          <cell r="DO31" t="str">
            <v xml:space="preserve"> 3Q</v>
          </cell>
          <cell r="DR31">
            <v>116</v>
          </cell>
          <cell r="DT31">
            <v>2209</v>
          </cell>
          <cell r="DU31">
            <v>1019</v>
          </cell>
          <cell r="DV31">
            <v>3228</v>
          </cell>
          <cell r="DX31">
            <v>70</v>
          </cell>
          <cell r="DY31">
            <v>134</v>
          </cell>
          <cell r="DZ31">
            <v>204</v>
          </cell>
          <cell r="EB31">
            <v>40</v>
          </cell>
          <cell r="EC31">
            <v>76</v>
          </cell>
          <cell r="ED31">
            <v>116</v>
          </cell>
          <cell r="EF31">
            <v>110</v>
          </cell>
          <cell r="EG31">
            <v>210</v>
          </cell>
          <cell r="EH31">
            <v>320</v>
          </cell>
          <cell r="EJ31">
            <v>2319</v>
          </cell>
          <cell r="EK31">
            <v>1229</v>
          </cell>
          <cell r="EL31">
            <v>3548</v>
          </cell>
        </row>
        <row r="32">
          <cell r="BZ32" t="str">
            <v xml:space="preserve"> 4Q </v>
          </cell>
          <cell r="CA32">
            <v>177</v>
          </cell>
          <cell r="CB32">
            <v>10</v>
          </cell>
          <cell r="CC32">
            <v>187</v>
          </cell>
          <cell r="CD32">
            <v>89</v>
          </cell>
          <cell r="CE32">
            <v>10</v>
          </cell>
          <cell r="CF32">
            <v>99</v>
          </cell>
          <cell r="CG32">
            <v>63</v>
          </cell>
          <cell r="CH32">
            <v>12</v>
          </cell>
          <cell r="CJ32">
            <v>75</v>
          </cell>
          <cell r="CL32">
            <v>329</v>
          </cell>
          <cell r="CM32">
            <v>32</v>
          </cell>
          <cell r="CN32">
            <v>361</v>
          </cell>
          <cell r="CP32">
            <v>332</v>
          </cell>
          <cell r="CQ32">
            <v>4</v>
          </cell>
          <cell r="CR32">
            <v>336</v>
          </cell>
          <cell r="CT32">
            <v>332</v>
          </cell>
          <cell r="CU32">
            <v>4</v>
          </cell>
          <cell r="CW32">
            <v>336</v>
          </cell>
          <cell r="CY32">
            <v>86</v>
          </cell>
          <cell r="CZ32">
            <v>25</v>
          </cell>
          <cell r="DA32">
            <v>111</v>
          </cell>
          <cell r="DC32">
            <v>10</v>
          </cell>
          <cell r="DD32">
            <v>2</v>
          </cell>
          <cell r="DE32">
            <v>12</v>
          </cell>
          <cell r="DJ32">
            <v>45</v>
          </cell>
          <cell r="DL32">
            <v>85</v>
          </cell>
          <cell r="DO32" t="str">
            <v xml:space="preserve"> 4Q </v>
          </cell>
          <cell r="DR32">
            <v>85</v>
          </cell>
          <cell r="DT32">
            <v>2324</v>
          </cell>
          <cell r="DU32">
            <v>1185</v>
          </cell>
          <cell r="DV32">
            <v>3509</v>
          </cell>
          <cell r="DX32">
            <v>76</v>
          </cell>
          <cell r="DY32">
            <v>178</v>
          </cell>
          <cell r="DZ32">
            <v>254</v>
          </cell>
          <cell r="EB32">
            <v>46</v>
          </cell>
          <cell r="EC32">
            <v>86</v>
          </cell>
          <cell r="ED32">
            <v>132</v>
          </cell>
          <cell r="EF32">
            <v>122</v>
          </cell>
          <cell r="EG32">
            <v>264</v>
          </cell>
          <cell r="EH32">
            <v>386</v>
          </cell>
          <cell r="EJ32">
            <v>2446</v>
          </cell>
          <cell r="EK32">
            <v>1449</v>
          </cell>
          <cell r="EL32">
            <v>3895</v>
          </cell>
        </row>
        <row r="34">
          <cell r="BZ34" t="str">
            <v>Year</v>
          </cell>
          <cell r="CA34">
            <v>568</v>
          </cell>
          <cell r="CB34">
            <v>37</v>
          </cell>
          <cell r="CC34">
            <v>605</v>
          </cell>
          <cell r="CD34">
            <v>295</v>
          </cell>
          <cell r="CE34">
            <v>37</v>
          </cell>
          <cell r="CF34">
            <v>332</v>
          </cell>
          <cell r="CG34">
            <v>230</v>
          </cell>
          <cell r="CH34">
            <v>45</v>
          </cell>
          <cell r="CJ34">
            <v>275</v>
          </cell>
          <cell r="CL34">
            <v>1093</v>
          </cell>
          <cell r="CM34">
            <v>119</v>
          </cell>
          <cell r="CN34">
            <v>1212</v>
          </cell>
          <cell r="CP34">
            <v>1302</v>
          </cell>
          <cell r="CQ34">
            <v>15</v>
          </cell>
          <cell r="CR34">
            <v>1317</v>
          </cell>
          <cell r="CT34">
            <v>1302</v>
          </cell>
          <cell r="CU34">
            <v>15</v>
          </cell>
          <cell r="CW34">
            <v>1317</v>
          </cell>
          <cell r="CY34">
            <v>294</v>
          </cell>
          <cell r="CZ34">
            <v>91</v>
          </cell>
          <cell r="DA34">
            <v>385</v>
          </cell>
          <cell r="DC34">
            <v>41</v>
          </cell>
          <cell r="DD34">
            <v>5</v>
          </cell>
          <cell r="DE34">
            <v>46</v>
          </cell>
          <cell r="DJ34">
            <v>175</v>
          </cell>
          <cell r="DL34">
            <v>254</v>
          </cell>
          <cell r="DO34" t="str">
            <v>Year</v>
          </cell>
          <cell r="DR34">
            <v>384</v>
          </cell>
          <cell r="DT34">
            <v>8625</v>
          </cell>
          <cell r="DU34">
            <v>4358</v>
          </cell>
          <cell r="DV34">
            <v>12983</v>
          </cell>
          <cell r="DX34">
            <v>270</v>
          </cell>
          <cell r="DY34">
            <v>596</v>
          </cell>
          <cell r="DZ34">
            <v>866</v>
          </cell>
          <cell r="EB34">
            <v>158</v>
          </cell>
          <cell r="EC34">
            <v>302</v>
          </cell>
          <cell r="ED34">
            <v>460</v>
          </cell>
          <cell r="EF34">
            <v>428</v>
          </cell>
          <cell r="EG34">
            <v>898</v>
          </cell>
          <cell r="EH34">
            <v>1326</v>
          </cell>
          <cell r="EJ34">
            <v>9053</v>
          </cell>
          <cell r="EK34">
            <v>5256</v>
          </cell>
          <cell r="EL34">
            <v>14309</v>
          </cell>
        </row>
        <row r="36">
          <cell r="BZ36" t="str">
            <v>2000E/99</v>
          </cell>
          <cell r="DO36" t="str">
            <v>2000E/99</v>
          </cell>
        </row>
        <row r="37">
          <cell r="BZ37" t="str">
            <v>1QA</v>
          </cell>
          <cell r="CA37">
            <v>0.27049180327868849</v>
          </cell>
          <cell r="CB37">
            <v>-0.11111111111111116</v>
          </cell>
          <cell r="CC37">
            <v>0.24427480916030531</v>
          </cell>
          <cell r="CD37">
            <v>0.44444444444444442</v>
          </cell>
          <cell r="CE37">
            <v>0</v>
          </cell>
          <cell r="CF37">
            <v>0.38095238095238093</v>
          </cell>
          <cell r="CG37">
            <v>-0.25490196078431371</v>
          </cell>
          <cell r="CH37">
            <v>-9.9999999999999978E-2</v>
          </cell>
          <cell r="CJ37">
            <v>-0.22950819672131151</v>
          </cell>
          <cell r="CL37">
            <v>0.19383259911894268</v>
          </cell>
          <cell r="CM37">
            <v>-7.1428571428571397E-2</v>
          </cell>
          <cell r="CN37">
            <v>0.16470588235294126</v>
          </cell>
          <cell r="CP37">
            <v>0.51254480286738358</v>
          </cell>
          <cell r="CQ37">
            <v>0.33333333333333326</v>
          </cell>
          <cell r="CR37">
            <v>0.5106382978723405</v>
          </cell>
          <cell r="CW37">
            <v>0.5106382978723405</v>
          </cell>
          <cell r="CY37">
            <v>0</v>
          </cell>
          <cell r="CZ37">
            <v>-0.13043478260869568</v>
          </cell>
          <cell r="DA37">
            <v>-3.6144578313253017E-2</v>
          </cell>
          <cell r="DC37">
            <v>0.125</v>
          </cell>
          <cell r="DE37">
            <v>0.125</v>
          </cell>
          <cell r="DJ37">
            <v>-4.081632653061229E-2</v>
          </cell>
          <cell r="DL37">
            <v>0.43902439024390238</v>
          </cell>
          <cell r="DO37" t="str">
            <v>1QA</v>
          </cell>
          <cell r="DR37">
            <v>0.17777777777777781</v>
          </cell>
          <cell r="DT37">
            <v>0.19931271477663226</v>
          </cell>
          <cell r="DU37">
            <v>-4.4507575757575801E-2</v>
          </cell>
          <cell r="DV37">
            <v>0.11606854186873594</v>
          </cell>
          <cell r="DX37">
            <v>4.6153846153846212E-2</v>
          </cell>
          <cell r="DY37">
            <v>-6.4935064935064402E-3</v>
          </cell>
          <cell r="DZ37">
            <v>9.1324200913243114E-3</v>
          </cell>
          <cell r="EB37">
            <v>-2.5641025641025661E-2</v>
          </cell>
          <cell r="EC37">
            <v>-9.9999999999999978E-2</v>
          </cell>
          <cell r="ED37">
            <v>-7.5630252100840289E-2</v>
          </cell>
          <cell r="EF37">
            <v>1.9230769230769162E-2</v>
          </cell>
          <cell r="EG37">
            <v>-3.8461538461538436E-2</v>
          </cell>
          <cell r="EH37">
            <v>-2.0710059171597628E-2</v>
          </cell>
          <cell r="EJ37">
            <v>0.19056515646893968</v>
          </cell>
          <cell r="EK37">
            <v>-4.3410852713178349E-2</v>
          </cell>
          <cell r="EL37">
            <v>0.10259399591955698</v>
          </cell>
        </row>
        <row r="38">
          <cell r="BZ38" t="str">
            <v>2QA</v>
          </cell>
          <cell r="CA38">
            <v>0.51219512195121952</v>
          </cell>
          <cell r="CB38">
            <v>-0.11111111111111116</v>
          </cell>
          <cell r="CC38">
            <v>0.46969696969696972</v>
          </cell>
          <cell r="CD38">
            <v>0.12000000000000011</v>
          </cell>
          <cell r="CE38">
            <v>0</v>
          </cell>
          <cell r="CF38">
            <v>0.10714285714285721</v>
          </cell>
          <cell r="CG38">
            <v>-0.46969696969696972</v>
          </cell>
          <cell r="CH38">
            <v>-0.66666666666666674</v>
          </cell>
          <cell r="CJ38">
            <v>-0.5</v>
          </cell>
          <cell r="CL38">
            <v>0.15530303030303028</v>
          </cell>
          <cell r="CM38">
            <v>-0.30000000000000004</v>
          </cell>
          <cell r="CN38">
            <v>0.10884353741496589</v>
          </cell>
          <cell r="CP38">
            <v>0.38328530259366</v>
          </cell>
          <cell r="CQ38">
            <v>0.66666666666666674</v>
          </cell>
          <cell r="CR38">
            <v>0.38571428571428568</v>
          </cell>
          <cell r="CW38">
            <v>0.38571428571428568</v>
          </cell>
          <cell r="CY38">
            <v>-0.15853658536585369</v>
          </cell>
          <cell r="CZ38">
            <v>0.14999999999999991</v>
          </cell>
          <cell r="DA38">
            <v>-9.8039215686274495E-2</v>
          </cell>
          <cell r="DC38">
            <v>0</v>
          </cell>
          <cell r="DE38">
            <v>-0.15384615384615385</v>
          </cell>
          <cell r="DJ38">
            <v>-8.6956521739130488E-2</v>
          </cell>
          <cell r="DL38">
            <v>0.44680851063829796</v>
          </cell>
          <cell r="DO38" t="str">
            <v>2QA</v>
          </cell>
          <cell r="DR38">
            <v>0.18279569892473124</v>
          </cell>
          <cell r="DT38">
            <v>0.18345498783454994</v>
          </cell>
          <cell r="DU38">
            <v>-3.0965391621129323E-2</v>
          </cell>
          <cell r="DV38">
            <v>0.10878528385664454</v>
          </cell>
          <cell r="DX38">
            <v>6.7796610169491567E-2</v>
          </cell>
          <cell r="DY38">
            <v>0.15384615384615374</v>
          </cell>
          <cell r="DZ38">
            <v>0.12698412698412698</v>
          </cell>
          <cell r="EB38">
            <v>-6.0606060606060552E-2</v>
          </cell>
          <cell r="EC38">
            <v>8.3333333333333259E-2</v>
          </cell>
          <cell r="ED38">
            <v>3.2258064516129004E-2</v>
          </cell>
          <cell r="EF38">
            <v>2.1739130434782705E-2</v>
          </cell>
          <cell r="EG38">
            <v>0.13157894736842102</v>
          </cell>
          <cell r="EH38">
            <v>9.5744680851063801E-2</v>
          </cell>
          <cell r="EJ38">
            <v>0.17652538425710285</v>
          </cell>
          <cell r="EK38">
            <v>-6.9875776397515521E-3</v>
          </cell>
          <cell r="EL38">
            <v>0.10771470160116459</v>
          </cell>
        </row>
        <row r="39">
          <cell r="BZ39" t="str">
            <v>3QA</v>
          </cell>
          <cell r="CA39">
            <v>0.13698630136986312</v>
          </cell>
          <cell r="CB39">
            <v>0</v>
          </cell>
          <cell r="CC39">
            <v>0.12903225806451624</v>
          </cell>
          <cell r="CD39">
            <v>0.16883116883116878</v>
          </cell>
          <cell r="CE39">
            <v>0</v>
          </cell>
          <cell r="CF39">
            <v>0.15116279069767447</v>
          </cell>
          <cell r="CG39">
            <v>-9.9999999999999978E-2</v>
          </cell>
          <cell r="CH39">
            <v>-0.36363636363636365</v>
          </cell>
          <cell r="CJ39">
            <v>-0.14754098360655743</v>
          </cell>
          <cell r="CL39">
            <v>0.10256410256410264</v>
          </cell>
          <cell r="CM39">
            <v>-0.13793103448275867</v>
          </cell>
          <cell r="CN39">
            <v>7.9470198675496651E-2</v>
          </cell>
          <cell r="CP39">
            <v>0.24709302325581395</v>
          </cell>
          <cell r="CQ39">
            <v>0.19999999999999996</v>
          </cell>
          <cell r="CR39">
            <v>0.24641833810888247</v>
          </cell>
          <cell r="CW39">
            <v>0.40114613180515768</v>
          </cell>
          <cell r="CY39">
            <v>0.10606060606060597</v>
          </cell>
          <cell r="CZ39">
            <v>-8.6956521739130488E-2</v>
          </cell>
          <cell r="DA39">
            <v>5.6179775280898792E-2</v>
          </cell>
          <cell r="DC39">
            <v>-1</v>
          </cell>
          <cell r="DE39" t="str">
            <v>NM</v>
          </cell>
          <cell r="DJ39">
            <v>5.7142857142857162E-2</v>
          </cell>
          <cell r="DL39">
            <v>-9.8765432098765427E-2</v>
          </cell>
          <cell r="DO39" t="str">
            <v>3QA</v>
          </cell>
          <cell r="DR39">
            <v>-5.1724137931034475E-2</v>
          </cell>
          <cell r="DT39">
            <v>0.17564508827523762</v>
          </cell>
          <cell r="DU39">
            <v>1.0794896957801781E-2</v>
          </cell>
          <cell r="DV39">
            <v>0.12360594795539037</v>
          </cell>
          <cell r="DX39">
            <v>-0.11428571428571432</v>
          </cell>
          <cell r="DY39">
            <v>1.4925373134328401E-2</v>
          </cell>
          <cell r="DZ39">
            <v>-2.9411764705882359E-2</v>
          </cell>
          <cell r="EB39">
            <v>-0.19999999999999996</v>
          </cell>
          <cell r="EC39">
            <v>-0.11842105263157898</v>
          </cell>
          <cell r="ED39">
            <v>-0.14655172413793105</v>
          </cell>
          <cell r="EF39">
            <v>-0.1454545454545455</v>
          </cell>
          <cell r="EG39">
            <v>-3.3333333333333326E-2</v>
          </cell>
          <cell r="EH39">
            <v>-7.1875000000000022E-2</v>
          </cell>
          <cell r="EJ39">
            <v>0.16041397153945658</v>
          </cell>
          <cell r="EK39">
            <v>3.2546786004881145E-3</v>
          </cell>
          <cell r="EL39">
            <v>0.1059751972942502</v>
          </cell>
        </row>
        <row r="40">
          <cell r="BZ40" t="str">
            <v>4QA</v>
          </cell>
          <cell r="CA40">
            <v>-3.9548022598870025E-2</v>
          </cell>
          <cell r="CB40">
            <v>-0.30000000000000004</v>
          </cell>
          <cell r="CC40">
            <v>-5.3475935828876997E-2</v>
          </cell>
          <cell r="CD40">
            <v>-0.1797752808988764</v>
          </cell>
          <cell r="CE40">
            <v>-9.9999999999999978E-2</v>
          </cell>
          <cell r="CF40">
            <v>-0.17171717171717171</v>
          </cell>
          <cell r="CG40">
            <v>-0.31746031746031744</v>
          </cell>
          <cell r="CH40">
            <v>-0.5</v>
          </cell>
          <cell r="CJ40">
            <v>-0.34666666666666668</v>
          </cell>
          <cell r="CL40">
            <v>-0.1306990881458967</v>
          </cell>
          <cell r="CM40">
            <v>-0.3125</v>
          </cell>
          <cell r="CN40">
            <v>-0.14681440443213301</v>
          </cell>
          <cell r="CP40">
            <v>0.14457831325301207</v>
          </cell>
          <cell r="CQ40">
            <v>0.5</v>
          </cell>
          <cell r="CR40">
            <v>0.14880952380952372</v>
          </cell>
          <cell r="CW40">
            <v>0.46428571428571419</v>
          </cell>
          <cell r="DA40">
            <v>0.25225225225225234</v>
          </cell>
          <cell r="DE40" t="str">
            <v>NM</v>
          </cell>
          <cell r="DJ40">
            <v>-0.11111111111111116</v>
          </cell>
          <cell r="DL40">
            <v>-0.3294117647058824</v>
          </cell>
          <cell r="DO40" t="str">
            <v>4QA</v>
          </cell>
          <cell r="DR40">
            <v>0.14117647058823524</v>
          </cell>
          <cell r="DT40">
            <v>0.17168674698795172</v>
          </cell>
          <cell r="DU40">
            <v>-0.10042194092827006</v>
          </cell>
          <cell r="DV40">
            <v>7.9908805927614734E-2</v>
          </cell>
          <cell r="DX40">
            <v>-0.19736842105263153</v>
          </cell>
          <cell r="DY40">
            <v>-5.6179775280898903E-2</v>
          </cell>
          <cell r="DZ40">
            <v>-9.8425196850393748E-2</v>
          </cell>
          <cell r="EB40">
            <v>-0.21739130434782605</v>
          </cell>
          <cell r="EC40">
            <v>-0.12790697674418605</v>
          </cell>
          <cell r="ED40">
            <v>-0.15909090909090906</v>
          </cell>
          <cell r="EF40">
            <v>-0.20491803278688525</v>
          </cell>
          <cell r="EG40">
            <v>-7.9545454545454586E-2</v>
          </cell>
          <cell r="EH40">
            <v>-0.11917098445595853</v>
          </cell>
          <cell r="EJ40">
            <v>0.15290269828291092</v>
          </cell>
          <cell r="EK40">
            <v>-9.661835748792269E-2</v>
          </cell>
          <cell r="EL40">
            <v>6.0179717586649417E-2</v>
          </cell>
        </row>
        <row r="42">
          <cell r="BZ42" t="str">
            <v>Year</v>
          </cell>
          <cell r="CA42">
            <v>0.19190140845070422</v>
          </cell>
          <cell r="CB42">
            <v>-0.13513513513513514</v>
          </cell>
          <cell r="CC42">
            <v>0.17190082644628099</v>
          </cell>
          <cell r="CD42">
            <v>0.10169491525423729</v>
          </cell>
          <cell r="CE42">
            <v>-5.4054054054054057E-2</v>
          </cell>
          <cell r="CF42">
            <v>8.7349397590361449E-2</v>
          </cell>
          <cell r="CG42">
            <v>-0.3</v>
          </cell>
          <cell r="CH42">
            <v>-0.42222222222222222</v>
          </cell>
          <cell r="CJ42">
            <v>-0.32</v>
          </cell>
          <cell r="CL42">
            <v>6.4043915827996345E-2</v>
          </cell>
          <cell r="CM42">
            <v>-0.21848739495798319</v>
          </cell>
          <cell r="CN42">
            <v>3.6303630363036306E-2</v>
          </cell>
          <cell r="CP42">
            <v>0.31413210445468509</v>
          </cell>
          <cell r="CQ42">
            <v>0.4</v>
          </cell>
          <cell r="CR42">
            <v>0.31511009870918755</v>
          </cell>
          <cell r="CW42">
            <v>0.43659832953682615</v>
          </cell>
          <cell r="DA42">
            <v>5.1948051948051951E-2</v>
          </cell>
          <cell r="DE42">
            <v>-0.56521739130434778</v>
          </cell>
          <cell r="DJ42">
            <v>-5.1428571428571428E-2</v>
          </cell>
          <cell r="DL42">
            <v>1.1811023622047244E-2</v>
          </cell>
          <cell r="DO42" t="str">
            <v>Year</v>
          </cell>
          <cell r="DR42">
            <v>0.1015625</v>
          </cell>
          <cell r="DT42">
            <v>0.18202898550724639</v>
          </cell>
          <cell r="DU42">
            <v>-4.3368517668655349E-2</v>
          </cell>
          <cell r="DV42">
            <v>0.10640067780944309</v>
          </cell>
          <cell r="DX42">
            <v>-5.9259259259259262E-2</v>
          </cell>
          <cell r="DY42">
            <v>1.8456375838926176E-2</v>
          </cell>
          <cell r="DZ42">
            <v>-5.7736720554272519E-3</v>
          </cell>
          <cell r="EB42">
            <v>-0.13291139240506328</v>
          </cell>
          <cell r="EC42">
            <v>-7.6158940397350994E-2</v>
          </cell>
          <cell r="ED42">
            <v>-9.5652173913043481E-2</v>
          </cell>
          <cell r="EF42">
            <v>-8.6448598130841117E-2</v>
          </cell>
          <cell r="EG42">
            <v>-1.3363028953229399E-2</v>
          </cell>
          <cell r="EH42">
            <v>-3.6953242835595777E-2</v>
          </cell>
          <cell r="EJ42">
            <v>0.16933613166905997</v>
          </cell>
          <cell r="EK42">
            <v>-3.8242009132420089E-2</v>
          </cell>
          <cell r="EL42">
            <v>9.3116220560486379E-2</v>
          </cell>
        </row>
        <row r="43">
          <cell r="CC43" t="str">
            <v xml:space="preserve"> </v>
          </cell>
        </row>
        <row r="44">
          <cell r="BZ44" t="str">
            <v>2000</v>
          </cell>
          <cell r="CC44" t="str">
            <v xml:space="preserve"> </v>
          </cell>
          <cell r="DO44" t="str">
            <v>2000</v>
          </cell>
        </row>
        <row r="45">
          <cell r="BZ45" t="str">
            <v>1QA</v>
          </cell>
          <cell r="CA45">
            <v>155</v>
          </cell>
          <cell r="CB45">
            <v>8</v>
          </cell>
          <cell r="CC45">
            <v>163</v>
          </cell>
          <cell r="CD45">
            <v>78</v>
          </cell>
          <cell r="CE45">
            <v>9</v>
          </cell>
          <cell r="CF45">
            <v>87</v>
          </cell>
          <cell r="CG45">
            <v>38</v>
          </cell>
          <cell r="CH45">
            <v>9</v>
          </cell>
          <cell r="CJ45">
            <v>47</v>
          </cell>
          <cell r="CL45">
            <v>271</v>
          </cell>
          <cell r="CM45">
            <v>26</v>
          </cell>
          <cell r="CN45">
            <v>297</v>
          </cell>
          <cell r="CP45">
            <v>422</v>
          </cell>
          <cell r="CQ45">
            <v>4</v>
          </cell>
          <cell r="CR45">
            <v>426</v>
          </cell>
          <cell r="CS45">
            <v>0</v>
          </cell>
          <cell r="CV45">
            <v>0</v>
          </cell>
          <cell r="CW45">
            <v>426</v>
          </cell>
          <cell r="CY45">
            <v>60</v>
          </cell>
          <cell r="CZ45">
            <v>20</v>
          </cell>
          <cell r="DA45">
            <v>80</v>
          </cell>
          <cell r="DC45">
            <v>9</v>
          </cell>
          <cell r="DD45">
            <v>0</v>
          </cell>
          <cell r="DE45">
            <v>9</v>
          </cell>
          <cell r="DJ45">
            <v>47</v>
          </cell>
          <cell r="DL45">
            <v>59</v>
          </cell>
          <cell r="DO45" t="str">
            <v>1QA</v>
          </cell>
          <cell r="DR45">
            <v>106</v>
          </cell>
          <cell r="DT45">
            <v>2443</v>
          </cell>
          <cell r="DU45">
            <v>1009</v>
          </cell>
          <cell r="DV45">
            <v>3452</v>
          </cell>
          <cell r="DX45">
            <v>68</v>
          </cell>
          <cell r="DY45">
            <v>153</v>
          </cell>
          <cell r="DZ45">
            <v>221</v>
          </cell>
          <cell r="EB45">
            <v>38</v>
          </cell>
          <cell r="EC45">
            <v>72</v>
          </cell>
          <cell r="ED45">
            <v>110</v>
          </cell>
          <cell r="EF45">
            <v>106</v>
          </cell>
          <cell r="EG45">
            <v>225</v>
          </cell>
          <cell r="EH45">
            <v>331</v>
          </cell>
          <cell r="EJ45">
            <v>2549</v>
          </cell>
          <cell r="EK45">
            <v>1234</v>
          </cell>
          <cell r="EL45">
            <v>3783</v>
          </cell>
        </row>
        <row r="46">
          <cell r="BZ46" t="str">
            <v>2QA</v>
          </cell>
          <cell r="CA46">
            <v>186</v>
          </cell>
          <cell r="CB46">
            <v>8</v>
          </cell>
          <cell r="CC46">
            <v>194</v>
          </cell>
          <cell r="CD46">
            <v>84</v>
          </cell>
          <cell r="CE46">
            <v>9</v>
          </cell>
          <cell r="CF46">
            <v>93</v>
          </cell>
          <cell r="CG46">
            <v>35</v>
          </cell>
          <cell r="CH46">
            <v>4</v>
          </cell>
          <cell r="CJ46">
            <v>39</v>
          </cell>
          <cell r="CL46">
            <v>305</v>
          </cell>
          <cell r="CM46">
            <v>21</v>
          </cell>
          <cell r="CN46">
            <v>326</v>
          </cell>
          <cell r="CP46">
            <v>480</v>
          </cell>
          <cell r="CQ46">
            <v>5</v>
          </cell>
          <cell r="CR46">
            <v>485</v>
          </cell>
          <cell r="CS46">
            <v>0</v>
          </cell>
          <cell r="CV46">
            <v>0</v>
          </cell>
          <cell r="CW46">
            <v>485</v>
          </cell>
          <cell r="CY46">
            <v>69</v>
          </cell>
          <cell r="CZ46">
            <v>23</v>
          </cell>
          <cell r="DA46">
            <v>92</v>
          </cell>
          <cell r="DC46">
            <v>11</v>
          </cell>
          <cell r="DD46">
            <v>0</v>
          </cell>
          <cell r="DE46">
            <v>11</v>
          </cell>
          <cell r="DJ46">
            <v>42</v>
          </cell>
          <cell r="DL46">
            <v>68</v>
          </cell>
          <cell r="DO46" t="str">
            <v>2QA</v>
          </cell>
          <cell r="DR46">
            <v>110</v>
          </cell>
          <cell r="DT46">
            <v>2432</v>
          </cell>
          <cell r="DU46">
            <v>1064</v>
          </cell>
          <cell r="DV46">
            <v>3496</v>
          </cell>
          <cell r="DX46">
            <v>63</v>
          </cell>
          <cell r="DY46">
            <v>150</v>
          </cell>
          <cell r="DZ46">
            <v>213</v>
          </cell>
          <cell r="EB46">
            <v>31</v>
          </cell>
          <cell r="EC46">
            <v>65</v>
          </cell>
          <cell r="ED46">
            <v>96</v>
          </cell>
          <cell r="EF46">
            <v>94</v>
          </cell>
          <cell r="EG46">
            <v>215</v>
          </cell>
          <cell r="EH46">
            <v>309</v>
          </cell>
          <cell r="EJ46">
            <v>2526</v>
          </cell>
          <cell r="EK46">
            <v>1279</v>
          </cell>
          <cell r="EL46">
            <v>3805</v>
          </cell>
        </row>
        <row r="47">
          <cell r="BZ47" t="str">
            <v>3QA</v>
          </cell>
          <cell r="CA47">
            <v>166</v>
          </cell>
          <cell r="CB47">
            <v>9</v>
          </cell>
          <cell r="CC47">
            <v>175</v>
          </cell>
          <cell r="CD47">
            <v>90</v>
          </cell>
          <cell r="CE47">
            <v>9</v>
          </cell>
          <cell r="CF47">
            <v>99</v>
          </cell>
          <cell r="CG47">
            <v>45</v>
          </cell>
          <cell r="CH47">
            <v>7</v>
          </cell>
          <cell r="CJ47">
            <v>52</v>
          </cell>
          <cell r="CL47">
            <v>301</v>
          </cell>
          <cell r="CM47">
            <v>25</v>
          </cell>
          <cell r="CN47">
            <v>326</v>
          </cell>
          <cell r="CP47">
            <v>429</v>
          </cell>
          <cell r="CQ47">
            <v>6</v>
          </cell>
          <cell r="CR47">
            <v>435</v>
          </cell>
          <cell r="CS47">
            <v>54</v>
          </cell>
          <cell r="CV47">
            <v>0</v>
          </cell>
          <cell r="CW47">
            <v>489</v>
          </cell>
          <cell r="CY47">
            <v>73</v>
          </cell>
          <cell r="CZ47">
            <v>21</v>
          </cell>
          <cell r="DA47">
            <v>94</v>
          </cell>
          <cell r="DC47">
            <v>0</v>
          </cell>
          <cell r="DD47">
            <v>0</v>
          </cell>
          <cell r="DE47">
            <v>0</v>
          </cell>
          <cell r="DJ47">
            <v>37</v>
          </cell>
          <cell r="DL47">
            <v>73</v>
          </cell>
          <cell r="DO47" t="str">
            <v>3QA</v>
          </cell>
          <cell r="DR47">
            <v>110</v>
          </cell>
          <cell r="DT47">
            <v>2597</v>
          </cell>
          <cell r="DU47">
            <v>1030</v>
          </cell>
          <cell r="DV47">
            <v>3627</v>
          </cell>
          <cell r="DX47">
            <v>62</v>
          </cell>
          <cell r="DY47">
            <v>136</v>
          </cell>
          <cell r="DZ47">
            <v>198</v>
          </cell>
          <cell r="EB47">
            <v>32</v>
          </cell>
          <cell r="EC47">
            <v>67</v>
          </cell>
          <cell r="ED47">
            <v>99</v>
          </cell>
          <cell r="EF47">
            <v>94</v>
          </cell>
          <cell r="EG47">
            <v>203</v>
          </cell>
          <cell r="EH47">
            <v>297</v>
          </cell>
          <cell r="EJ47">
            <v>2691</v>
          </cell>
          <cell r="EK47">
            <v>1233</v>
          </cell>
          <cell r="EL47">
            <v>3924</v>
          </cell>
        </row>
        <row r="48">
          <cell r="BZ48" t="str">
            <v>4QA</v>
          </cell>
          <cell r="CA48">
            <v>170</v>
          </cell>
          <cell r="CB48">
            <v>7</v>
          </cell>
          <cell r="CC48">
            <v>177</v>
          </cell>
          <cell r="CD48">
            <v>73</v>
          </cell>
          <cell r="CE48">
            <v>9</v>
          </cell>
          <cell r="CF48">
            <v>82</v>
          </cell>
          <cell r="CG48">
            <v>43</v>
          </cell>
          <cell r="CH48">
            <v>6</v>
          </cell>
          <cell r="CJ48">
            <v>49</v>
          </cell>
          <cell r="CL48">
            <v>286</v>
          </cell>
          <cell r="CM48">
            <v>22</v>
          </cell>
          <cell r="CN48">
            <v>308</v>
          </cell>
          <cell r="CP48">
            <v>380</v>
          </cell>
          <cell r="CQ48">
            <v>6</v>
          </cell>
          <cell r="CR48">
            <v>386</v>
          </cell>
          <cell r="CS48">
            <v>56</v>
          </cell>
          <cell r="CV48">
            <v>50</v>
          </cell>
          <cell r="CW48">
            <v>492</v>
          </cell>
          <cell r="CY48">
            <v>118</v>
          </cell>
          <cell r="CZ48">
            <v>21</v>
          </cell>
          <cell r="DA48">
            <v>139</v>
          </cell>
          <cell r="DC48">
            <v>0</v>
          </cell>
          <cell r="DD48">
            <v>0</v>
          </cell>
          <cell r="DE48">
            <v>0</v>
          </cell>
          <cell r="DJ48">
            <v>40</v>
          </cell>
          <cell r="DL48">
            <v>57</v>
          </cell>
          <cell r="DO48" t="str">
            <v>4QA</v>
          </cell>
          <cell r="DR48">
            <v>97</v>
          </cell>
          <cell r="DT48">
            <v>2723</v>
          </cell>
          <cell r="DU48">
            <v>1066</v>
          </cell>
          <cell r="DV48">
            <v>3789.4</v>
          </cell>
          <cell r="DX48">
            <v>61</v>
          </cell>
          <cell r="DY48">
            <v>168</v>
          </cell>
          <cell r="DZ48">
            <v>229</v>
          </cell>
          <cell r="EB48">
            <v>36</v>
          </cell>
          <cell r="EC48">
            <v>75</v>
          </cell>
          <cell r="ED48">
            <v>111</v>
          </cell>
          <cell r="EF48">
            <v>97</v>
          </cell>
          <cell r="EG48">
            <v>243</v>
          </cell>
          <cell r="EH48">
            <v>340</v>
          </cell>
          <cell r="EJ48">
            <v>2820</v>
          </cell>
          <cell r="EK48">
            <v>1309</v>
          </cell>
          <cell r="EL48">
            <v>4129.3999999999996</v>
          </cell>
        </row>
        <row r="50">
          <cell r="BZ50" t="str">
            <v>Year</v>
          </cell>
          <cell r="CA50">
            <v>677</v>
          </cell>
          <cell r="CB50">
            <v>32</v>
          </cell>
          <cell r="CC50">
            <v>709</v>
          </cell>
          <cell r="CD50">
            <v>325</v>
          </cell>
          <cell r="CE50">
            <v>35</v>
          </cell>
          <cell r="CF50">
            <v>361</v>
          </cell>
          <cell r="CG50">
            <v>161</v>
          </cell>
          <cell r="CH50">
            <v>26</v>
          </cell>
          <cell r="CJ50">
            <v>187</v>
          </cell>
          <cell r="CK50">
            <v>0</v>
          </cell>
          <cell r="CL50">
            <v>1163</v>
          </cell>
          <cell r="CM50">
            <v>93</v>
          </cell>
          <cell r="CN50">
            <v>1256</v>
          </cell>
          <cell r="CP50">
            <v>1711</v>
          </cell>
          <cell r="CQ50">
            <v>21</v>
          </cell>
          <cell r="CR50">
            <v>1732</v>
          </cell>
          <cell r="CS50">
            <v>110</v>
          </cell>
          <cell r="CV50">
            <v>50</v>
          </cell>
          <cell r="CW50">
            <v>1892</v>
          </cell>
          <cell r="CY50">
            <v>320</v>
          </cell>
          <cell r="CZ50">
            <v>85</v>
          </cell>
          <cell r="DA50">
            <v>405</v>
          </cell>
          <cell r="DC50">
            <v>20</v>
          </cell>
          <cell r="DD50">
            <v>0</v>
          </cell>
          <cell r="DE50">
            <v>20</v>
          </cell>
          <cell r="DJ50">
            <v>166</v>
          </cell>
          <cell r="DL50">
            <v>257</v>
          </cell>
          <cell r="DO50" t="str">
            <v>Year</v>
          </cell>
          <cell r="DR50">
            <v>423</v>
          </cell>
          <cell r="DT50">
            <v>10195</v>
          </cell>
          <cell r="DU50">
            <v>4169</v>
          </cell>
          <cell r="DV50">
            <v>14364.4</v>
          </cell>
          <cell r="DX50">
            <v>254</v>
          </cell>
          <cell r="DY50">
            <v>607</v>
          </cell>
          <cell r="DZ50">
            <v>861</v>
          </cell>
          <cell r="EB50">
            <v>137</v>
          </cell>
          <cell r="EC50">
            <v>279</v>
          </cell>
          <cell r="ED50">
            <v>416</v>
          </cell>
          <cell r="EF50">
            <v>391</v>
          </cell>
          <cell r="EG50">
            <v>886</v>
          </cell>
          <cell r="EH50">
            <v>1277</v>
          </cell>
          <cell r="EJ50">
            <v>10586</v>
          </cell>
          <cell r="EK50">
            <v>5055</v>
          </cell>
          <cell r="EL50">
            <v>15641.4</v>
          </cell>
        </row>
        <row r="52">
          <cell r="BZ52" t="str">
            <v>2001/00</v>
          </cell>
          <cell r="DO52" t="str">
            <v>2001/00</v>
          </cell>
        </row>
        <row r="53">
          <cell r="BZ53" t="str">
            <v>1QA</v>
          </cell>
          <cell r="CC53">
            <v>0.24539877300613488</v>
          </cell>
          <cell r="CF53">
            <v>0.10344827586206895</v>
          </cell>
          <cell r="CJ53">
            <v>-0.34042553191489366</v>
          </cell>
          <cell r="CK53" t="e">
            <v>#DIV/0!</v>
          </cell>
          <cell r="CN53">
            <v>0.11111111111111116</v>
          </cell>
          <cell r="CR53">
            <v>0.21830985915492951</v>
          </cell>
          <cell r="CS53" t="str">
            <v>NM</v>
          </cell>
          <cell r="CW53">
            <v>0.30751173708920199</v>
          </cell>
          <cell r="DA53">
            <v>0.22500000000000009</v>
          </cell>
          <cell r="DJ53">
            <v>-1</v>
          </cell>
          <cell r="DL53">
            <v>-1</v>
          </cell>
          <cell r="DO53" t="str">
            <v>1QA</v>
          </cell>
          <cell r="DR53">
            <v>-0.24528301886792447</v>
          </cell>
          <cell r="DT53">
            <v>-1</v>
          </cell>
          <cell r="DU53">
            <v>-1</v>
          </cell>
          <cell r="DV53">
            <v>7.8505214368482124E-2</v>
          </cell>
          <cell r="DX53">
            <v>-1</v>
          </cell>
          <cell r="DY53">
            <v>-1</v>
          </cell>
          <cell r="DZ53">
            <v>-8.5972850678733059E-2</v>
          </cell>
          <cell r="EA53" t="e">
            <v>#DIV/0!</v>
          </cell>
          <cell r="EB53">
            <v>-1</v>
          </cell>
          <cell r="EC53">
            <v>-1</v>
          </cell>
          <cell r="ED53">
            <v>-0.15454545454545454</v>
          </cell>
          <cell r="EF53">
            <v>-1</v>
          </cell>
          <cell r="EG53">
            <v>-1</v>
          </cell>
          <cell r="EH53">
            <v>-0.10876132930513593</v>
          </cell>
          <cell r="EJ53">
            <v>-1</v>
          </cell>
          <cell r="EK53">
            <v>-1</v>
          </cell>
          <cell r="EL53">
            <v>6.2120010573618822E-2</v>
          </cell>
        </row>
        <row r="54">
          <cell r="BZ54" t="str">
            <v>2QA</v>
          </cell>
          <cell r="CC54">
            <v>-0.54123711340206193</v>
          </cell>
          <cell r="CF54">
            <v>1.0752688172043001E-2</v>
          </cell>
          <cell r="CJ54">
            <v>-0.38461538461538458</v>
          </cell>
          <cell r="CK54" t="e">
            <v>#DIV/0!</v>
          </cell>
          <cell r="CN54">
            <v>-0.36503067484662577</v>
          </cell>
          <cell r="CR54">
            <v>6.5979381443298957E-2</v>
          </cell>
          <cell r="CS54" t="str">
            <v>NM</v>
          </cell>
          <cell r="CW54">
            <v>0.57319587628865976</v>
          </cell>
          <cell r="DA54">
            <v>-8.6956521739130488E-2</v>
          </cell>
          <cell r="DJ54">
            <v>-1</v>
          </cell>
          <cell r="DL54">
            <v>-1</v>
          </cell>
          <cell r="DO54" t="str">
            <v>2QA</v>
          </cell>
          <cell r="DR54">
            <v>-1.8181818181818188E-2</v>
          </cell>
          <cell r="DV54">
            <v>8.4954233409610946E-2</v>
          </cell>
          <cell r="DZ54">
            <v>-2.3474178403755874E-2</v>
          </cell>
          <cell r="EA54" t="e">
            <v>#DIV/0!</v>
          </cell>
          <cell r="EB54">
            <v>-1</v>
          </cell>
          <cell r="EC54">
            <v>-1</v>
          </cell>
          <cell r="ED54">
            <v>-0.10416666666666663</v>
          </cell>
          <cell r="EF54">
            <v>-1</v>
          </cell>
          <cell r="EG54">
            <v>-1</v>
          </cell>
          <cell r="EH54">
            <v>-4.8543689320388328E-2</v>
          </cell>
          <cell r="EJ54">
            <v>-1</v>
          </cell>
          <cell r="EK54">
            <v>-1</v>
          </cell>
          <cell r="EL54">
            <v>7.411300919842323E-2</v>
          </cell>
        </row>
        <row r="55">
          <cell r="BZ55" t="str">
            <v>3QA</v>
          </cell>
          <cell r="CC55">
            <v>-0.84</v>
          </cell>
          <cell r="CF55">
            <v>-2.0202020202020221E-2</v>
          </cell>
          <cell r="CJ55">
            <v>-0.34615384615384615</v>
          </cell>
          <cell r="CK55" t="e">
            <v>#DIV/0!</v>
          </cell>
          <cell r="CN55">
            <v>-0.51226993865030668</v>
          </cell>
          <cell r="CR55">
            <v>0.16091954022988508</v>
          </cell>
          <cell r="CS55">
            <v>0.7592592592592593</v>
          </cell>
          <cell r="CW55">
            <v>0.4355828220858895</v>
          </cell>
          <cell r="DA55">
            <v>-9.5744680851063801E-2</v>
          </cell>
          <cell r="DJ55">
            <v>-1</v>
          </cell>
          <cell r="DL55">
            <v>-1</v>
          </cell>
          <cell r="DO55" t="str">
            <v>3QA</v>
          </cell>
          <cell r="DR55">
            <v>-0.30000000000000004</v>
          </cell>
          <cell r="DV55">
            <v>5.7071960297766733E-2</v>
          </cell>
          <cell r="DZ55">
            <v>-5.0505050505050497E-2</v>
          </cell>
          <cell r="EA55" t="e">
            <v>#DIV/0!</v>
          </cell>
          <cell r="EB55">
            <v>-1</v>
          </cell>
          <cell r="EC55">
            <v>-1</v>
          </cell>
          <cell r="ED55">
            <v>-0.10101010101010099</v>
          </cell>
          <cell r="EF55">
            <v>-1</v>
          </cell>
          <cell r="EG55">
            <v>-1</v>
          </cell>
          <cell r="EH55">
            <v>-6.7340067340067367E-2</v>
          </cell>
          <cell r="EJ55">
            <v>-1</v>
          </cell>
          <cell r="EK55">
            <v>-1</v>
          </cell>
          <cell r="EL55">
            <v>4.7655453618756338E-2</v>
          </cell>
        </row>
        <row r="56">
          <cell r="BZ56" t="str">
            <v>4QA</v>
          </cell>
          <cell r="CC56">
            <v>-0.89830508474576276</v>
          </cell>
          <cell r="CF56">
            <v>0.48780487804878048</v>
          </cell>
          <cell r="CJ56">
            <v>-0.67346938775510201</v>
          </cell>
          <cell r="CN56">
            <v>-0.4935064935064935</v>
          </cell>
          <cell r="CR56">
            <v>0.31606217616580312</v>
          </cell>
          <cell r="CS56">
            <v>0.3392857142857143</v>
          </cell>
          <cell r="CW56">
            <v>0.34146341463414642</v>
          </cell>
          <cell r="DA56">
            <v>-1</v>
          </cell>
          <cell r="DJ56">
            <v>-1</v>
          </cell>
          <cell r="DL56">
            <v>-1</v>
          </cell>
          <cell r="DO56" t="str">
            <v>4QA</v>
          </cell>
          <cell r="DR56">
            <v>0.63917525773195871</v>
          </cell>
          <cell r="DV56">
            <v>3.8950757375837863E-2</v>
          </cell>
          <cell r="DZ56">
            <v>-8.7336244541484712E-3</v>
          </cell>
          <cell r="ED56">
            <v>-6.3063063063063057E-2</v>
          </cell>
          <cell r="EH56">
            <v>-2.6470588235294117E-2</v>
          </cell>
          <cell r="EL56">
            <v>3.3564198188599015E-2</v>
          </cell>
        </row>
        <row r="58">
          <cell r="BZ58" t="str">
            <v>Year</v>
          </cell>
          <cell r="CC58">
            <v>-0.52327221438645988</v>
          </cell>
          <cell r="CF58">
            <v>0.13296398891966765</v>
          </cell>
          <cell r="CJ58">
            <v>-0.3</v>
          </cell>
          <cell r="CN58">
            <v>-0.321656050955414</v>
          </cell>
          <cell r="CR58">
            <v>0.18302540415704383</v>
          </cell>
          <cell r="CS58">
            <v>1.9909090909090907</v>
          </cell>
          <cell r="CW58">
            <v>0.41754756871035942</v>
          </cell>
          <cell r="DA58">
            <v>-0.34074074074074079</v>
          </cell>
          <cell r="DO58" t="str">
            <v>Year</v>
          </cell>
          <cell r="DR58">
            <v>2.3640661938533203E-3</v>
          </cell>
          <cell r="DV58">
            <v>6.4228230904179812E-2</v>
          </cell>
          <cell r="DZ58">
            <v>-4.181184668989546E-2</v>
          </cell>
          <cell r="ED58">
            <v>-0.10576923076923073</v>
          </cell>
          <cell r="EH58">
            <v>-6.2646828504306917E-2</v>
          </cell>
          <cell r="EL58">
            <v>5.3869858196836623E-2</v>
          </cell>
        </row>
        <row r="59">
          <cell r="CC59" t="str">
            <v xml:space="preserve"> </v>
          </cell>
        </row>
        <row r="60">
          <cell r="BZ60" t="str">
            <v>2001</v>
          </cell>
          <cell r="CC60" t="str">
            <v xml:space="preserve"> </v>
          </cell>
          <cell r="DO60" t="str">
            <v>2001</v>
          </cell>
        </row>
        <row r="61">
          <cell r="BZ61" t="str">
            <v>1QA</v>
          </cell>
          <cell r="CC61">
            <v>203</v>
          </cell>
          <cell r="CF61">
            <v>96</v>
          </cell>
          <cell r="CJ61">
            <v>31</v>
          </cell>
          <cell r="CN61">
            <v>330</v>
          </cell>
          <cell r="CR61">
            <v>519</v>
          </cell>
          <cell r="CS61">
            <v>24</v>
          </cell>
          <cell r="CV61">
            <v>14</v>
          </cell>
          <cell r="CW61">
            <v>557</v>
          </cell>
          <cell r="DA61">
            <v>98</v>
          </cell>
          <cell r="DO61" t="str">
            <v>1QA</v>
          </cell>
          <cell r="DR61">
            <v>80</v>
          </cell>
          <cell r="DV61">
            <v>3723</v>
          </cell>
          <cell r="DZ61">
            <v>202</v>
          </cell>
          <cell r="ED61">
            <v>93</v>
          </cell>
          <cell r="EH61">
            <v>295</v>
          </cell>
          <cell r="EJ61">
            <v>0</v>
          </cell>
          <cell r="EK61">
            <v>0</v>
          </cell>
          <cell r="EL61">
            <v>4018</v>
          </cell>
        </row>
        <row r="62">
          <cell r="BZ62" t="str">
            <v>2QA</v>
          </cell>
          <cell r="CC62">
            <v>89</v>
          </cell>
          <cell r="CF62">
            <v>94</v>
          </cell>
          <cell r="CJ62">
            <v>24</v>
          </cell>
          <cell r="CN62">
            <v>207</v>
          </cell>
          <cell r="CR62">
            <v>517</v>
          </cell>
          <cell r="CS62">
            <v>135</v>
          </cell>
          <cell r="CV62">
            <v>111</v>
          </cell>
          <cell r="CW62">
            <v>763</v>
          </cell>
          <cell r="DA62">
            <v>84</v>
          </cell>
          <cell r="DO62" t="str">
            <v>2QA</v>
          </cell>
          <cell r="DR62">
            <v>108</v>
          </cell>
          <cell r="DV62">
            <v>3793</v>
          </cell>
          <cell r="DZ62">
            <v>208</v>
          </cell>
          <cell r="ED62">
            <v>86</v>
          </cell>
          <cell r="EH62">
            <v>294</v>
          </cell>
          <cell r="EJ62">
            <v>0</v>
          </cell>
          <cell r="EK62">
            <v>0</v>
          </cell>
          <cell r="EL62">
            <v>4087</v>
          </cell>
        </row>
        <row r="63">
          <cell r="BZ63" t="str">
            <v>3QA</v>
          </cell>
          <cell r="CC63">
            <v>28</v>
          </cell>
          <cell r="CF63">
            <v>97</v>
          </cell>
          <cell r="CJ63">
            <v>34</v>
          </cell>
          <cell r="CN63">
            <v>159</v>
          </cell>
          <cell r="CR63">
            <v>505</v>
          </cell>
          <cell r="CS63">
            <v>95</v>
          </cell>
          <cell r="CV63">
            <v>102</v>
          </cell>
          <cell r="CW63">
            <v>702</v>
          </cell>
          <cell r="DA63">
            <v>85</v>
          </cell>
          <cell r="DO63" t="str">
            <v>3QA</v>
          </cell>
          <cell r="DR63">
            <v>77</v>
          </cell>
          <cell r="DV63">
            <v>3834</v>
          </cell>
          <cell r="DZ63">
            <v>188</v>
          </cell>
          <cell r="ED63">
            <v>89</v>
          </cell>
          <cell r="EH63">
            <v>277</v>
          </cell>
          <cell r="EJ63">
            <v>0</v>
          </cell>
          <cell r="EK63">
            <v>0</v>
          </cell>
          <cell r="EL63">
            <v>4111</v>
          </cell>
        </row>
        <row r="64">
          <cell r="BZ64" t="str">
            <v>4QA</v>
          </cell>
          <cell r="CC64">
            <v>18</v>
          </cell>
          <cell r="CF64">
            <v>122</v>
          </cell>
          <cell r="CJ64">
            <v>16</v>
          </cell>
          <cell r="CN64">
            <v>156</v>
          </cell>
          <cell r="CR64">
            <v>508</v>
          </cell>
          <cell r="CS64">
            <v>75</v>
          </cell>
          <cell r="CV64">
            <v>77</v>
          </cell>
          <cell r="CW64">
            <v>660</v>
          </cell>
          <cell r="DA64">
            <v>0</v>
          </cell>
          <cell r="DO64" t="str">
            <v>4QA</v>
          </cell>
          <cell r="DR64">
            <v>159</v>
          </cell>
          <cell r="DV64">
            <v>3937</v>
          </cell>
          <cell r="DZ64">
            <v>227</v>
          </cell>
          <cell r="ED64">
            <v>104</v>
          </cell>
          <cell r="EH64">
            <v>331</v>
          </cell>
          <cell r="EJ64">
            <v>0</v>
          </cell>
          <cell r="EK64">
            <v>0</v>
          </cell>
          <cell r="EL64">
            <v>4268</v>
          </cell>
        </row>
        <row r="66">
          <cell r="BZ66" t="str">
            <v>Year</v>
          </cell>
          <cell r="CC66">
            <v>338</v>
          </cell>
          <cell r="CF66">
            <v>409</v>
          </cell>
          <cell r="CJ66">
            <v>105</v>
          </cell>
          <cell r="CN66">
            <v>852</v>
          </cell>
          <cell r="CR66">
            <v>2049</v>
          </cell>
          <cell r="CS66">
            <v>329</v>
          </cell>
          <cell r="CV66">
            <v>304</v>
          </cell>
          <cell r="CW66">
            <v>2682</v>
          </cell>
          <cell r="DA66">
            <v>267</v>
          </cell>
          <cell r="DO66" t="str">
            <v>Year</v>
          </cell>
          <cell r="DR66">
            <v>424</v>
          </cell>
          <cell r="DV66">
            <v>15287</v>
          </cell>
          <cell r="DZ66">
            <v>825</v>
          </cell>
          <cell r="ED66">
            <v>372</v>
          </cell>
          <cell r="EH66">
            <v>1197</v>
          </cell>
          <cell r="EL66">
            <v>16484</v>
          </cell>
        </row>
        <row r="69">
          <cell r="BZ69" t="str">
            <v>2002E/01</v>
          </cell>
          <cell r="DO69" t="str">
            <v>2002E/01</v>
          </cell>
        </row>
        <row r="70">
          <cell r="BZ70" t="str">
            <v>1QE</v>
          </cell>
          <cell r="CC70">
            <v>-0.94</v>
          </cell>
          <cell r="CF70">
            <v>-7.0000000000000007E-2</v>
          </cell>
          <cell r="CJ70">
            <v>-0.1</v>
          </cell>
          <cell r="CN70">
            <v>-0.51709090909090905</v>
          </cell>
          <cell r="CR70">
            <v>-0.47976878612716767</v>
          </cell>
          <cell r="CS70">
            <v>2.3333333333333335</v>
          </cell>
          <cell r="CV70">
            <v>4.7142857142857144</v>
          </cell>
          <cell r="CW70">
            <v>-0.2280071813285458</v>
          </cell>
          <cell r="DI70" t="str">
            <v>NM</v>
          </cell>
          <cell r="DO70" t="str">
            <v>1QE</v>
          </cell>
          <cell r="DR70">
            <v>1.25</v>
          </cell>
          <cell r="DV70">
            <v>-1.6825141015310185E-2</v>
          </cell>
          <cell r="DZ70">
            <v>-0.04</v>
          </cell>
          <cell r="ED70">
            <v>0.03</v>
          </cell>
          <cell r="EH70">
            <v>-7.5288135593220229E-2</v>
          </cell>
          <cell r="EL70">
            <v>-2.1117471378795383E-2</v>
          </cell>
        </row>
        <row r="71">
          <cell r="BZ71" t="str">
            <v>2QE</v>
          </cell>
          <cell r="CC71">
            <v>-0.88</v>
          </cell>
          <cell r="CF71">
            <v>-0.1</v>
          </cell>
          <cell r="CJ71">
            <v>-7.0000000000000007E-2</v>
          </cell>
          <cell r="CN71">
            <v>-0.3545893719806763</v>
          </cell>
          <cell r="CR71">
            <v>-0.8646034816247582</v>
          </cell>
          <cell r="CS71">
            <v>-0.40740740740740744</v>
          </cell>
          <cell r="CV71">
            <v>-0.18918918918918914</v>
          </cell>
          <cell r="CW71">
            <v>-0.68545216251638275</v>
          </cell>
          <cell r="DI71" t="str">
            <v>NM</v>
          </cell>
          <cell r="DO71" t="str">
            <v>2QE</v>
          </cell>
          <cell r="DR71">
            <v>0.64814814814814814</v>
          </cell>
          <cell r="DV71">
            <v>-6.1639862905351839E-2</v>
          </cell>
          <cell r="DZ71">
            <v>-0.04</v>
          </cell>
          <cell r="ED71">
            <v>-0.08</v>
          </cell>
          <cell r="EH71">
            <v>-0.13605442176870752</v>
          </cell>
          <cell r="EL71">
            <v>-6.6992904330804959E-2</v>
          </cell>
        </row>
        <row r="72">
          <cell r="BZ72" t="str">
            <v>3QE</v>
          </cell>
          <cell r="CC72">
            <v>-0.7</v>
          </cell>
          <cell r="CF72">
            <v>-0.1</v>
          </cell>
          <cell r="CJ72">
            <v>-0.25</v>
          </cell>
          <cell r="CN72">
            <v>-4.9056603773585006E-2</v>
          </cell>
          <cell r="CR72">
            <v>-0.9</v>
          </cell>
          <cell r="CS72">
            <v>0</v>
          </cell>
          <cell r="CV72">
            <v>0</v>
          </cell>
          <cell r="CW72">
            <v>-0.64743589743589736</v>
          </cell>
          <cell r="DI72" t="str">
            <v>NM</v>
          </cell>
          <cell r="DO72" t="str">
            <v>3QE</v>
          </cell>
          <cell r="DR72">
            <v>1.2077922077922079</v>
          </cell>
          <cell r="DV72">
            <v>-3.7149191444966201E-2</v>
          </cell>
          <cell r="DZ72">
            <v>-0.08</v>
          </cell>
          <cell r="ED72">
            <v>-0.08</v>
          </cell>
          <cell r="EH72">
            <v>-0.10873646209386278</v>
          </cell>
          <cell r="EL72">
            <v>-4.1972756020433044E-2</v>
          </cell>
        </row>
        <row r="73">
          <cell r="BZ73" t="str">
            <v>4QE</v>
          </cell>
          <cell r="CC73">
            <v>-0.76500000000000101</v>
          </cell>
          <cell r="CF73">
            <v>-0.25770491803278683</v>
          </cell>
          <cell r="CJ73">
            <v>0.56749999999999989</v>
          </cell>
          <cell r="CN73">
            <v>5.044871794871808E-2</v>
          </cell>
          <cell r="CR73">
            <v>-0.92167322834645682</v>
          </cell>
          <cell r="CS73">
            <v>0.20599999999999974</v>
          </cell>
          <cell r="CV73">
            <v>0.12623376623376581</v>
          </cell>
          <cell r="CW73">
            <v>-0.67127272727272747</v>
          </cell>
          <cell r="DI73" t="str">
            <v>NM</v>
          </cell>
          <cell r="DO73" t="str">
            <v>4QE</v>
          </cell>
          <cell r="DR73">
            <v>1.8867924528301883E-2</v>
          </cell>
          <cell r="DV73">
            <v>-6.7785115570231147E-2</v>
          </cell>
          <cell r="DZ73">
            <v>-0.17180616740088106</v>
          </cell>
          <cell r="ED73">
            <v>-0.36951923076923088</v>
          </cell>
          <cell r="EH73">
            <v>-0.23392749244712996</v>
          </cell>
          <cell r="EL73">
            <v>-8.0670103092783441E-2</v>
          </cell>
        </row>
        <row r="75">
          <cell r="BZ75" t="str">
            <v>2002/01E</v>
          </cell>
          <cell r="CC75">
            <v>-0.89500000000000002</v>
          </cell>
          <cell r="CF75">
            <v>-0.14000000000000001</v>
          </cell>
          <cell r="CI75" t="str">
            <v>NM</v>
          </cell>
          <cell r="CJ75">
            <v>-0.04</v>
          </cell>
          <cell r="CN75">
            <v>-0.28634976525821598</v>
          </cell>
          <cell r="CR75">
            <v>-0.79</v>
          </cell>
          <cell r="CS75">
            <v>0.05</v>
          </cell>
          <cell r="CV75">
            <v>0.18</v>
          </cell>
          <cell r="CW75">
            <v>-0.57700969425801651</v>
          </cell>
          <cell r="DI75" t="str">
            <v>NM</v>
          </cell>
          <cell r="DO75" t="str">
            <v>2002/01E</v>
          </cell>
          <cell r="DR75">
            <v>0.62735849056603776</v>
          </cell>
          <cell r="DV75">
            <v>-4.6166023418590947E-2</v>
          </cell>
          <cell r="DZ75">
            <v>-0.05</v>
          </cell>
          <cell r="EA75" t="str">
            <v>%</v>
          </cell>
          <cell r="ED75">
            <v>-0.08</v>
          </cell>
          <cell r="EH75">
            <v>-0.14182121971595654</v>
          </cell>
          <cell r="EL75">
            <v>-5.3112108711477798E-2</v>
          </cell>
        </row>
        <row r="77">
          <cell r="BZ77" t="str">
            <v>2002E</v>
          </cell>
          <cell r="DO77" t="str">
            <v>2002E</v>
          </cell>
        </row>
        <row r="78">
          <cell r="BZ78" t="str">
            <v>1QE</v>
          </cell>
          <cell r="CC78">
            <v>12.18000000000001</v>
          </cell>
          <cell r="CF78">
            <v>89.28</v>
          </cell>
          <cell r="CI78">
            <v>30</v>
          </cell>
          <cell r="CJ78">
            <v>27.900000000000002</v>
          </cell>
          <cell r="CN78">
            <v>159.36000000000001</v>
          </cell>
          <cell r="CR78">
            <v>270</v>
          </cell>
          <cell r="CS78">
            <v>80</v>
          </cell>
          <cell r="CV78">
            <v>80</v>
          </cell>
          <cell r="CW78">
            <v>430</v>
          </cell>
          <cell r="DI78">
            <v>0</v>
          </cell>
          <cell r="DO78" t="str">
            <v>1QE</v>
          </cell>
          <cell r="DP78">
            <v>0</v>
          </cell>
          <cell r="DR78">
            <v>180</v>
          </cell>
          <cell r="DV78">
            <v>3660.36</v>
          </cell>
          <cell r="DZ78">
            <v>177</v>
          </cell>
          <cell r="ED78">
            <v>95.79</v>
          </cell>
          <cell r="EH78">
            <v>272.79000000000002</v>
          </cell>
          <cell r="EL78">
            <v>3933.15</v>
          </cell>
        </row>
        <row r="79">
          <cell r="BZ79" t="str">
            <v>2QA</v>
          </cell>
          <cell r="CC79">
            <v>10.68</v>
          </cell>
          <cell r="CF79">
            <v>84.600000000000009</v>
          </cell>
          <cell r="CI79">
            <v>16</v>
          </cell>
          <cell r="CJ79">
            <v>22.32</v>
          </cell>
          <cell r="CN79">
            <v>133.6</v>
          </cell>
          <cell r="CR79">
            <v>70</v>
          </cell>
          <cell r="CS79">
            <v>80</v>
          </cell>
          <cell r="CV79">
            <v>90</v>
          </cell>
          <cell r="CW79">
            <v>240</v>
          </cell>
          <cell r="DI79">
            <v>0</v>
          </cell>
          <cell r="DO79" t="str">
            <v>2QA</v>
          </cell>
          <cell r="DP79">
            <v>0</v>
          </cell>
          <cell r="DR79">
            <v>178</v>
          </cell>
          <cell r="DV79">
            <v>3559.2000000000003</v>
          </cell>
          <cell r="DZ79">
            <v>155</v>
          </cell>
          <cell r="ED79">
            <v>99</v>
          </cell>
          <cell r="EH79">
            <v>254</v>
          </cell>
          <cell r="EL79">
            <v>3813.2000000000003</v>
          </cell>
        </row>
        <row r="80">
          <cell r="BZ80" t="str">
            <v>3QE</v>
          </cell>
          <cell r="CC80">
            <v>8.4000000000000021</v>
          </cell>
          <cell r="CF80">
            <v>87.3</v>
          </cell>
          <cell r="CI80">
            <v>30</v>
          </cell>
          <cell r="CJ80">
            <v>25.5</v>
          </cell>
          <cell r="CN80">
            <v>151.19999999999999</v>
          </cell>
          <cell r="CR80">
            <v>50.499999999999986</v>
          </cell>
          <cell r="CS80">
            <v>95</v>
          </cell>
          <cell r="CV80">
            <v>102</v>
          </cell>
          <cell r="CW80">
            <v>247.5</v>
          </cell>
          <cell r="DI80">
            <v>0</v>
          </cell>
          <cell r="DO80" t="str">
            <v>3QE</v>
          </cell>
          <cell r="DP80">
            <v>0</v>
          </cell>
          <cell r="DR80">
            <v>170</v>
          </cell>
          <cell r="DV80">
            <v>3691.5699999999997</v>
          </cell>
          <cell r="DZ80">
            <v>165</v>
          </cell>
          <cell r="ED80">
            <v>81.88000000000001</v>
          </cell>
          <cell r="EH80">
            <v>246.88</v>
          </cell>
          <cell r="EL80">
            <v>3938.45</v>
          </cell>
        </row>
        <row r="81">
          <cell r="BZ81" t="str">
            <v>4QE</v>
          </cell>
          <cell r="CC81">
            <v>4.2299999999999827</v>
          </cell>
          <cell r="CF81">
            <v>90.56</v>
          </cell>
          <cell r="CI81">
            <v>44</v>
          </cell>
          <cell r="CJ81">
            <v>25.08</v>
          </cell>
          <cell r="CN81">
            <v>163.87</v>
          </cell>
          <cell r="CR81">
            <v>39.789999999999907</v>
          </cell>
          <cell r="CS81">
            <v>90.449999999999989</v>
          </cell>
          <cell r="CV81">
            <v>86.71999999999997</v>
          </cell>
          <cell r="CW81">
            <v>216.95999999999987</v>
          </cell>
          <cell r="DI81">
            <v>40</v>
          </cell>
          <cell r="DO81" t="str">
            <v>4QE</v>
          </cell>
          <cell r="DP81">
            <v>0</v>
          </cell>
          <cell r="DR81">
            <v>162</v>
          </cell>
          <cell r="DV81">
            <v>3670.13</v>
          </cell>
          <cell r="DZ81">
            <v>188</v>
          </cell>
          <cell r="ED81">
            <v>65.569999999999993</v>
          </cell>
          <cell r="EH81">
            <v>253.57</v>
          </cell>
          <cell r="EL81">
            <v>3923.7000000000003</v>
          </cell>
        </row>
        <row r="83">
          <cell r="BZ83" t="str">
            <v>2002E</v>
          </cell>
          <cell r="CC83">
            <v>35.489999999999995</v>
          </cell>
          <cell r="CF83">
            <v>351.74</v>
          </cell>
          <cell r="CI83">
            <v>120</v>
          </cell>
          <cell r="CJ83">
            <v>100.8</v>
          </cell>
          <cell r="CN83">
            <v>608.03</v>
          </cell>
          <cell r="CR83">
            <v>430.28999999999991</v>
          </cell>
          <cell r="CS83">
            <v>345.45</v>
          </cell>
          <cell r="CV83">
            <v>358.71999999999997</v>
          </cell>
          <cell r="CW83">
            <v>1134.4599999999998</v>
          </cell>
          <cell r="DI83">
            <v>40</v>
          </cell>
          <cell r="DO83" t="str">
            <v>2002E</v>
          </cell>
          <cell r="DP83">
            <v>0</v>
          </cell>
          <cell r="DR83">
            <v>690</v>
          </cell>
          <cell r="DV83">
            <v>14581.26</v>
          </cell>
          <cell r="DZ83">
            <v>685</v>
          </cell>
          <cell r="ED83">
            <v>342.24</v>
          </cell>
          <cell r="EH83">
            <v>1027.24</v>
          </cell>
          <cell r="EL83">
            <v>15608.5</v>
          </cell>
        </row>
        <row r="84">
          <cell r="CQ84">
            <v>593.54999999999995</v>
          </cell>
          <cell r="CZ84">
            <v>765.56</v>
          </cell>
        </row>
        <row r="86">
          <cell r="BZ86" t="str">
            <v>2002E</v>
          </cell>
          <cell r="DO86" t="str">
            <v>2002E</v>
          </cell>
        </row>
        <row r="87">
          <cell r="BZ87" t="str">
            <v>1QA</v>
          </cell>
          <cell r="CC87">
            <v>12</v>
          </cell>
          <cell r="CF87">
            <v>89</v>
          </cell>
          <cell r="CI87">
            <v>30</v>
          </cell>
          <cell r="CJ87">
            <v>21</v>
          </cell>
          <cell r="CN87">
            <v>152</v>
          </cell>
          <cell r="CR87">
            <v>69</v>
          </cell>
          <cell r="CS87">
            <v>33</v>
          </cell>
          <cell r="CV87">
            <v>62</v>
          </cell>
          <cell r="CW87">
            <v>164</v>
          </cell>
          <cell r="DI87">
            <v>0</v>
          </cell>
          <cell r="DO87" t="str">
            <v>1QA</v>
          </cell>
          <cell r="DP87">
            <v>0</v>
          </cell>
          <cell r="DR87">
            <v>157</v>
          </cell>
          <cell r="DV87">
            <v>3325</v>
          </cell>
          <cell r="DZ87">
            <v>177</v>
          </cell>
          <cell r="ED87">
            <v>96</v>
          </cell>
          <cell r="EH87">
            <v>273</v>
          </cell>
          <cell r="EL87">
            <v>3598</v>
          </cell>
        </row>
        <row r="88">
          <cell r="BZ88" t="str">
            <v>2QA</v>
          </cell>
          <cell r="CC88">
            <v>3</v>
          </cell>
          <cell r="CF88">
            <v>19</v>
          </cell>
          <cell r="CI88">
            <v>16</v>
          </cell>
          <cell r="CJ88">
            <v>25</v>
          </cell>
          <cell r="CN88">
            <v>63</v>
          </cell>
          <cell r="CR88">
            <v>13</v>
          </cell>
          <cell r="CS88">
            <v>26</v>
          </cell>
          <cell r="CV88">
            <v>60</v>
          </cell>
          <cell r="CW88">
            <v>99</v>
          </cell>
          <cell r="DI88">
            <v>0</v>
          </cell>
          <cell r="DO88" t="str">
            <v>2QA</v>
          </cell>
          <cell r="DP88">
            <v>0</v>
          </cell>
          <cell r="DR88">
            <v>178</v>
          </cell>
          <cell r="DV88">
            <v>3012</v>
          </cell>
          <cell r="DZ88">
            <v>155</v>
          </cell>
          <cell r="ED88">
            <v>99</v>
          </cell>
          <cell r="EH88">
            <v>254</v>
          </cell>
          <cell r="EL88">
            <v>3266</v>
          </cell>
        </row>
        <row r="89">
          <cell r="BZ89" t="str">
            <v>3QE</v>
          </cell>
          <cell r="CC89">
            <v>8</v>
          </cell>
          <cell r="CF89">
            <v>27.299999999999997</v>
          </cell>
          <cell r="CI89">
            <v>30</v>
          </cell>
          <cell r="CJ89">
            <v>25.5</v>
          </cell>
          <cell r="CN89">
            <v>90.8</v>
          </cell>
          <cell r="CR89">
            <v>10</v>
          </cell>
          <cell r="CS89">
            <v>33</v>
          </cell>
          <cell r="CV89">
            <v>63</v>
          </cell>
          <cell r="CW89">
            <v>106</v>
          </cell>
          <cell r="DI89">
            <v>0</v>
          </cell>
          <cell r="DO89" t="str">
            <v>3QE</v>
          </cell>
          <cell r="DP89">
            <v>0</v>
          </cell>
          <cell r="DR89">
            <v>170</v>
          </cell>
          <cell r="DV89">
            <v>3141.65</v>
          </cell>
          <cell r="DZ89">
            <v>165</v>
          </cell>
          <cell r="ED89">
            <v>81.88000000000001</v>
          </cell>
          <cell r="EH89">
            <v>246.88</v>
          </cell>
          <cell r="EL89">
            <v>3388.53</v>
          </cell>
        </row>
        <row r="90">
          <cell r="BZ90" t="str">
            <v>4QE</v>
          </cell>
          <cell r="CC90">
            <v>12.489999999999995</v>
          </cell>
          <cell r="CF90">
            <v>36.44</v>
          </cell>
          <cell r="CI90">
            <v>44</v>
          </cell>
          <cell r="CJ90">
            <v>29.299999999999997</v>
          </cell>
          <cell r="CN90">
            <v>122.22999999999999</v>
          </cell>
          <cell r="CR90">
            <v>8</v>
          </cell>
          <cell r="CS90">
            <v>68.449999999999989</v>
          </cell>
          <cell r="CV90">
            <v>63.71999999999997</v>
          </cell>
          <cell r="CW90">
            <v>140.16999999999996</v>
          </cell>
          <cell r="DI90">
            <v>40</v>
          </cell>
          <cell r="DO90" t="str">
            <v>4QE</v>
          </cell>
          <cell r="DP90">
            <v>0</v>
          </cell>
          <cell r="DR90">
            <v>152</v>
          </cell>
          <cell r="DV90">
            <v>3361.4200000000005</v>
          </cell>
          <cell r="DZ90">
            <v>188</v>
          </cell>
          <cell r="ED90">
            <v>65.360000000000014</v>
          </cell>
          <cell r="EH90">
            <v>253.36</v>
          </cell>
          <cell r="EL90">
            <v>3614.7800000000007</v>
          </cell>
        </row>
        <row r="92">
          <cell r="BZ92" t="str">
            <v>2002E</v>
          </cell>
          <cell r="CC92">
            <v>35.489999999999995</v>
          </cell>
          <cell r="CF92">
            <v>171.74</v>
          </cell>
          <cell r="CI92">
            <v>120</v>
          </cell>
          <cell r="CJ92">
            <v>100.8</v>
          </cell>
          <cell r="CN92">
            <v>428.03000000000003</v>
          </cell>
          <cell r="CR92">
            <v>100</v>
          </cell>
          <cell r="CS92">
            <v>160.44999999999999</v>
          </cell>
          <cell r="CV92">
            <v>248.71999999999997</v>
          </cell>
          <cell r="CW92">
            <v>509.16999999999996</v>
          </cell>
          <cell r="DI92">
            <v>40</v>
          </cell>
          <cell r="DO92" t="str">
            <v>2002E</v>
          </cell>
          <cell r="DP92">
            <v>0</v>
          </cell>
          <cell r="DQ92">
            <v>0</v>
          </cell>
          <cell r="DR92">
            <v>657</v>
          </cell>
          <cell r="DV92">
            <v>12840.07</v>
          </cell>
          <cell r="DZ92">
            <v>685</v>
          </cell>
          <cell r="EA92">
            <v>0</v>
          </cell>
          <cell r="EB92">
            <v>0</v>
          </cell>
          <cell r="EC92">
            <v>0</v>
          </cell>
          <cell r="ED92">
            <v>342.24</v>
          </cell>
          <cell r="EF92">
            <v>0</v>
          </cell>
          <cell r="EG92">
            <v>0</v>
          </cell>
          <cell r="EH92">
            <v>1027.24</v>
          </cell>
          <cell r="EJ92">
            <v>0</v>
          </cell>
          <cell r="EK92">
            <v>0</v>
          </cell>
          <cell r="EL92">
            <v>13867.31</v>
          </cell>
        </row>
        <row r="94">
          <cell r="BZ94" t="str">
            <v>2003/02E</v>
          </cell>
          <cell r="CC94">
            <v>-0.2</v>
          </cell>
          <cell r="CF94">
            <v>-0.45</v>
          </cell>
          <cell r="CI94">
            <v>0.05</v>
          </cell>
          <cell r="CJ94">
            <v>0</v>
          </cell>
          <cell r="CN94">
            <v>-0.26212686874002916</v>
          </cell>
          <cell r="CR94">
            <v>-0.75</v>
          </cell>
          <cell r="CS94">
            <v>0.15</v>
          </cell>
          <cell r="CV94">
            <v>0.2</v>
          </cell>
          <cell r="CW94">
            <v>-0.17555136364437704</v>
          </cell>
          <cell r="DI94" t="str">
            <v>NM</v>
          </cell>
          <cell r="DO94" t="str">
            <v>2003/02E</v>
          </cell>
          <cell r="DP94" t="str">
            <v>NM</v>
          </cell>
          <cell r="DR94">
            <v>-0.05</v>
          </cell>
          <cell r="DV94">
            <v>2.7218038770311981E-2</v>
          </cell>
          <cell r="DZ94">
            <v>-0.03</v>
          </cell>
          <cell r="ED94">
            <v>-0.03</v>
          </cell>
          <cell r="EH94">
            <v>-3.0000000000000068E-2</v>
          </cell>
          <cell r="EL94">
            <v>2.3452356088028946E-2</v>
          </cell>
        </row>
        <row r="95">
          <cell r="BZ95" t="str">
            <v>2004/03E</v>
          </cell>
          <cell r="CC95">
            <v>0</v>
          </cell>
          <cell r="CF95">
            <v>-0.8</v>
          </cell>
          <cell r="CI95">
            <v>0</v>
          </cell>
          <cell r="CJ95">
            <v>0</v>
          </cell>
          <cell r="CN95">
            <v>-0.34495919973074729</v>
          </cell>
          <cell r="CR95">
            <v>-0.1</v>
          </cell>
          <cell r="CS95">
            <v>-0.4</v>
          </cell>
          <cell r="CV95">
            <v>-0.3</v>
          </cell>
          <cell r="CW95">
            <v>-0.31947201123912655</v>
          </cell>
          <cell r="DI95" t="str">
            <v>NM</v>
          </cell>
          <cell r="DO95" t="str">
            <v>2004/03E</v>
          </cell>
          <cell r="DP95" t="str">
            <v>NM</v>
          </cell>
          <cell r="DR95">
            <v>0</v>
          </cell>
          <cell r="DV95">
            <v>4.7380497474942468E-2</v>
          </cell>
          <cell r="DZ95">
            <v>0</v>
          </cell>
          <cell r="ED95">
            <v>0</v>
          </cell>
          <cell r="EH95">
            <v>0</v>
          </cell>
          <cell r="EL95">
            <v>4.4425109690528417E-2</v>
          </cell>
        </row>
        <row r="96">
          <cell r="BZ96" t="str">
            <v>2005/04E</v>
          </cell>
          <cell r="CC96">
            <v>0</v>
          </cell>
          <cell r="CF96">
            <v>-0.1</v>
          </cell>
          <cell r="CI96">
            <v>0</v>
          </cell>
          <cell r="CJ96">
            <v>0</v>
          </cell>
          <cell r="CN96">
            <v>-1.3165561579864721E-2</v>
          </cell>
          <cell r="CR96">
            <v>-0.1</v>
          </cell>
          <cell r="CS96">
            <v>-0.8</v>
          </cell>
          <cell r="CV96">
            <v>-0.8</v>
          </cell>
          <cell r="CW96">
            <v>-0.69352613285251685</v>
          </cell>
          <cell r="DI96" t="str">
            <v>NM</v>
          </cell>
          <cell r="DO96" t="str">
            <v>2005/04E</v>
          </cell>
          <cell r="DP96" t="e">
            <v>#DIV/0!</v>
          </cell>
          <cell r="DR96">
            <v>0</v>
          </cell>
          <cell r="DV96">
            <v>3.9587809309156209E-2</v>
          </cell>
          <cell r="DZ96">
            <v>0</v>
          </cell>
          <cell r="ED96">
            <v>0</v>
          </cell>
          <cell r="EH96">
            <v>0</v>
          </cell>
          <cell r="EL96">
            <v>3.722352868656547E-2</v>
          </cell>
        </row>
        <row r="97">
          <cell r="BZ97" t="str">
            <v>2006/05E</v>
          </cell>
          <cell r="CC97">
            <v>0</v>
          </cell>
          <cell r="CF97">
            <v>-0.1</v>
          </cell>
          <cell r="CI97">
            <v>0</v>
          </cell>
          <cell r="CJ97">
            <v>0</v>
          </cell>
          <cell r="CN97">
            <v>-1.2007085444694922E-2</v>
          </cell>
          <cell r="CR97">
            <v>-0.1</v>
          </cell>
          <cell r="CS97">
            <v>-0.1</v>
          </cell>
          <cell r="CV97">
            <v>-0.1</v>
          </cell>
          <cell r="CW97">
            <v>-9.9999999999999908E-2</v>
          </cell>
          <cell r="DI97" t="str">
            <v>NM</v>
          </cell>
          <cell r="DO97" t="str">
            <v>2006/05E</v>
          </cell>
          <cell r="DP97">
            <v>0.71428571428571419</v>
          </cell>
          <cell r="DR97">
            <v>0</v>
          </cell>
          <cell r="DV97">
            <v>1.7729598277320124E-2</v>
          </cell>
          <cell r="DZ97">
            <v>0</v>
          </cell>
          <cell r="ED97">
            <v>0</v>
          </cell>
          <cell r="EH97">
            <v>0</v>
          </cell>
          <cell r="EL97">
            <v>1.6708743210584361E-2</v>
          </cell>
        </row>
        <row r="98">
          <cell r="BZ98" t="str">
            <v>2007/06E</v>
          </cell>
          <cell r="CC98">
            <v>0</v>
          </cell>
          <cell r="CF98">
            <v>-0.1</v>
          </cell>
          <cell r="CI98">
            <v>0</v>
          </cell>
          <cell r="CJ98">
            <v>0</v>
          </cell>
          <cell r="CN98">
            <v>-1.0937706881318687E-2</v>
          </cell>
          <cell r="CR98">
            <v>-0.1</v>
          </cell>
          <cell r="CS98">
            <v>-0.1</v>
          </cell>
          <cell r="CV98">
            <v>-0.1</v>
          </cell>
          <cell r="CW98">
            <v>-9.9999999999999964E-2</v>
          </cell>
          <cell r="DI98" t="str">
            <v>NM</v>
          </cell>
          <cell r="DO98" t="str">
            <v>2007/06E</v>
          </cell>
          <cell r="DP98">
            <v>0.66666666666666674</v>
          </cell>
          <cell r="DR98">
            <v>0</v>
          </cell>
          <cell r="DV98">
            <v>3.7927502331943884E-2</v>
          </cell>
          <cell r="DZ98">
            <v>0</v>
          </cell>
          <cell r="ED98">
            <v>0</v>
          </cell>
          <cell r="EH98">
            <v>0</v>
          </cell>
          <cell r="EL98">
            <v>3.5779558706704802E-2</v>
          </cell>
        </row>
        <row r="100">
          <cell r="BZ100" t="str">
            <v>2003E</v>
          </cell>
          <cell r="CC100">
            <v>28.391999999999996</v>
          </cell>
          <cell r="CF100">
            <v>193.45700000000002</v>
          </cell>
          <cell r="CI100">
            <v>126</v>
          </cell>
          <cell r="CJ100">
            <v>100.8</v>
          </cell>
          <cell r="CN100">
            <v>448.64900000000006</v>
          </cell>
          <cell r="CR100">
            <v>107.57249999999998</v>
          </cell>
          <cell r="CS100">
            <v>397.26749999999998</v>
          </cell>
          <cell r="CV100">
            <v>430.46399999999994</v>
          </cell>
          <cell r="CW100">
            <v>935.30399999999986</v>
          </cell>
          <cell r="DI100">
            <v>300</v>
          </cell>
          <cell r="DO100" t="str">
            <v>2003E</v>
          </cell>
          <cell r="DP100">
            <v>0</v>
          </cell>
          <cell r="DR100">
            <v>655.5</v>
          </cell>
          <cell r="DV100">
            <v>14978.1333</v>
          </cell>
          <cell r="DZ100">
            <v>664.44999999999993</v>
          </cell>
          <cell r="ED100">
            <v>331.97280000000001</v>
          </cell>
          <cell r="EH100">
            <v>996.42279999999994</v>
          </cell>
          <cell r="EL100">
            <v>15974.5561</v>
          </cell>
        </row>
        <row r="101">
          <cell r="BZ101" t="str">
            <v>2004E</v>
          </cell>
          <cell r="CC101">
            <v>28.391999999999996</v>
          </cell>
          <cell r="CF101">
            <v>38.691399999999994</v>
          </cell>
          <cell r="CI101">
            <v>126</v>
          </cell>
          <cell r="CJ101">
            <v>100.8</v>
          </cell>
          <cell r="CN101">
            <v>293.88339999999999</v>
          </cell>
          <cell r="CR101">
            <v>96.815249999999978</v>
          </cell>
          <cell r="CS101">
            <v>238.36049999999997</v>
          </cell>
          <cell r="CV101">
            <v>301.32479999999993</v>
          </cell>
          <cell r="CW101">
            <v>636.50054999999986</v>
          </cell>
          <cell r="DI101">
            <v>1025</v>
          </cell>
          <cell r="DO101" t="str">
            <v>2004E</v>
          </cell>
          <cell r="DP101">
            <v>0</v>
          </cell>
          <cell r="DR101">
            <v>655.5</v>
          </cell>
          <cell r="DV101">
            <v>15687.804707000001</v>
          </cell>
          <cell r="DZ101">
            <v>664.44999999999993</v>
          </cell>
          <cell r="ED101">
            <v>331.97280000000001</v>
          </cell>
          <cell r="EH101">
            <v>996.42279999999994</v>
          </cell>
          <cell r="EL101">
            <v>16684.227507</v>
          </cell>
        </row>
        <row r="102">
          <cell r="BZ102" t="str">
            <v>2005E</v>
          </cell>
          <cell r="CC102">
            <v>28.391999999999996</v>
          </cell>
          <cell r="CF102">
            <v>34.822259999999993</v>
          </cell>
          <cell r="CI102">
            <v>126</v>
          </cell>
          <cell r="CJ102">
            <v>100.8</v>
          </cell>
          <cell r="CN102">
            <v>290.01425999999998</v>
          </cell>
          <cell r="CR102">
            <v>87.133724999999984</v>
          </cell>
          <cell r="CS102">
            <v>47.672099999999986</v>
          </cell>
          <cell r="CV102">
            <v>60.264959999999974</v>
          </cell>
          <cell r="CW102">
            <v>195.07078499999994</v>
          </cell>
          <cell r="DI102">
            <v>1675</v>
          </cell>
          <cell r="DO102" t="str">
            <v>2005E</v>
          </cell>
          <cell r="DP102">
            <v>175</v>
          </cell>
          <cell r="DR102">
            <v>655.5</v>
          </cell>
          <cell r="DV102">
            <v>16308.85052822</v>
          </cell>
          <cell r="DZ102">
            <v>664.44999999999993</v>
          </cell>
          <cell r="ED102">
            <v>331.97280000000001</v>
          </cell>
          <cell r="EH102">
            <v>996.42279999999994</v>
          </cell>
          <cell r="EL102">
            <v>17305.273328219999</v>
          </cell>
        </row>
        <row r="103">
          <cell r="BZ103" t="str">
            <v>2006E</v>
          </cell>
          <cell r="CC103">
            <v>28.391999999999996</v>
          </cell>
          <cell r="CF103">
            <v>31.340033999999996</v>
          </cell>
          <cell r="CI103">
            <v>126</v>
          </cell>
          <cell r="CJ103">
            <v>100.8</v>
          </cell>
          <cell r="CN103">
            <v>286.53203400000001</v>
          </cell>
          <cell r="CR103">
            <v>78.420352499999993</v>
          </cell>
          <cell r="CS103">
            <v>42.904889999999988</v>
          </cell>
          <cell r="CV103">
            <v>54.238463999999979</v>
          </cell>
          <cell r="CW103">
            <v>175.56370649999997</v>
          </cell>
          <cell r="DI103">
            <v>2325</v>
          </cell>
          <cell r="DO103" t="str">
            <v>2006E</v>
          </cell>
          <cell r="DP103">
            <v>300</v>
          </cell>
          <cell r="DR103">
            <v>655.5</v>
          </cell>
          <cell r="DV103">
            <v>16597.999896450201</v>
          </cell>
          <cell r="DZ103">
            <v>664.44999999999993</v>
          </cell>
          <cell r="ED103">
            <v>331.97280000000001</v>
          </cell>
          <cell r="EH103">
            <v>996.42279999999994</v>
          </cell>
          <cell r="EL103">
            <v>17594.422696450201</v>
          </cell>
        </row>
        <row r="104">
          <cell r="BZ104" t="str">
            <v>2007E</v>
          </cell>
          <cell r="CC104">
            <v>28.391999999999996</v>
          </cell>
          <cell r="CF104">
            <v>28.206030599999998</v>
          </cell>
          <cell r="CI104">
            <v>126</v>
          </cell>
          <cell r="CJ104">
            <v>100.8</v>
          </cell>
          <cell r="CN104">
            <v>283.39803059999997</v>
          </cell>
          <cell r="CR104">
            <v>70.578317249999998</v>
          </cell>
          <cell r="CS104">
            <v>38.614400999999987</v>
          </cell>
          <cell r="CV104">
            <v>48.814617599999984</v>
          </cell>
          <cell r="CW104">
            <v>158.00733584999998</v>
          </cell>
          <cell r="DI104">
            <v>2900</v>
          </cell>
          <cell r="DO104" t="str">
            <v>2007E</v>
          </cell>
          <cell r="DP104">
            <v>500</v>
          </cell>
          <cell r="DR104">
            <v>655.5</v>
          </cell>
          <cell r="DV104">
            <v>17227.52057622842</v>
          </cell>
          <cell r="DZ104">
            <v>664.44999999999993</v>
          </cell>
          <cell r="ED104">
            <v>331.97280000000001</v>
          </cell>
          <cell r="EH104">
            <v>996.42279999999994</v>
          </cell>
          <cell r="EL104">
            <v>18223.943376228421</v>
          </cell>
        </row>
        <row r="105">
          <cell r="BZ105" t="str">
            <v>(a) Future patent expirations include the following:</v>
          </cell>
        </row>
        <row r="106">
          <cell r="BZ106" t="str">
            <v xml:space="preserve">      Stadol (8/01); Duricef (2002); Monopril (12/4/02); Cefzil (5/05); and Serzone (2003).  </v>
          </cell>
        </row>
        <row r="107">
          <cell r="BZ107" t="str">
            <v xml:space="preserve">(b) Diagnostics was sold to Bracco in 3Q94.  Under an agreement with Bracco, Isovue sales will continue to </v>
          </cell>
        </row>
        <row r="108">
          <cell r="BZ108" t="str">
            <v xml:space="preserve">      be recorded as sales on BMY's income statement from 3Q94 forward. </v>
          </cell>
        </row>
        <row r="109">
          <cell r="BZ109" t="str">
            <v xml:space="preserve">(c) Analgesics include sales of UPSA, a French pharmaceutical firm acquired in 3Q94 with annual sales </v>
          </cell>
        </row>
        <row r="110">
          <cell r="BZ110" t="str">
            <v xml:space="preserve">      approximating $350 million.  Some 36% of UPSA sales are abroad, and it has an Rx presence.  About </v>
          </cell>
        </row>
        <row r="111">
          <cell r="BZ111" t="str">
            <v xml:space="preserve">      80-90% of UPSA's sales appear in Non-Prescription Healthcare beginning 4Q94. </v>
          </cell>
        </row>
        <row r="113">
          <cell r="BZ113" t="str">
            <v>E = Morgan Stanley  Research Estimates          NM = Not Meaningful        A = Actual</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5 yr Sales and Earnings"/>
      <sheetName val="PFE Qtr Income"/>
      <sheetName val="PFE Qtr Margin"/>
      <sheetName val="PFE Qtr Sales"/>
      <sheetName val="Product History"/>
      <sheetName val="BalanceSheet"/>
      <sheetName val="Cashflow"/>
      <sheetName val="ROIC"/>
      <sheetName val="Global Feed"/>
      <sheetName val="Summary"/>
      <sheetName val="PFE Q-Preview"/>
      <sheetName val="PFE Qtr Incomesolo"/>
      <sheetName val="PFE Qtr Marginsolo"/>
      <sheetName val="PFE Qrt Salessolo"/>
      <sheetName val="PFE 2 Qtr Salessolo"/>
      <sheetName val="PHAPharmaSales"/>
      <sheetName val="Combined products"/>
      <sheetName val="PFE-PHA mergerold"/>
      <sheetName val="P&amp;L Charts"/>
      <sheetName val="mStart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2">
          <cell r="A2" t="str">
            <v>Pfizer</v>
          </cell>
        </row>
        <row r="3">
          <cell r="A3" t="str">
            <v>Quarterly/Annual Sales Analysis 2000-2006E</v>
          </cell>
        </row>
        <row r="4">
          <cell r="A4" t="str">
            <v>($ Millions)</v>
          </cell>
        </row>
        <row r="6">
          <cell r="G6" t="str">
            <v>PFE</v>
          </cell>
          <cell r="N6" t="str">
            <v>Tetra</v>
          </cell>
        </row>
        <row r="7">
          <cell r="B7" t="str">
            <v>Capsugel</v>
          </cell>
          <cell r="F7" t="str">
            <v>Animal Health</v>
          </cell>
          <cell r="J7" t="str">
            <v>Shaving Products</v>
          </cell>
          <cell r="N7" t="str">
            <v>Pet Lines</v>
          </cell>
          <cell r="S7" t="str">
            <v>Consumer Health</v>
          </cell>
        </row>
        <row r="8">
          <cell r="B8" t="str">
            <v>U.S.</v>
          </cell>
          <cell r="C8" t="str">
            <v>Intl</v>
          </cell>
          <cell r="D8" t="str">
            <v>W/W</v>
          </cell>
          <cell r="F8" t="str">
            <v>U.S.</v>
          </cell>
          <cell r="G8" t="str">
            <v>Intl</v>
          </cell>
          <cell r="H8" t="str">
            <v xml:space="preserve">Total  </v>
          </cell>
          <cell r="J8" t="str">
            <v>U.S.</v>
          </cell>
          <cell r="K8" t="str">
            <v>Intl</v>
          </cell>
          <cell r="L8" t="str">
            <v>W/W</v>
          </cell>
          <cell r="N8" t="str">
            <v>U.S.</v>
          </cell>
          <cell r="O8" t="str">
            <v>Intl</v>
          </cell>
          <cell r="P8" t="str">
            <v>W/W</v>
          </cell>
          <cell r="R8" t="str">
            <v>U.S.</v>
          </cell>
          <cell r="S8" t="str">
            <v>Intl</v>
          </cell>
          <cell r="T8" t="str">
            <v>W/W</v>
          </cell>
        </row>
        <row r="10">
          <cell r="A10" t="str">
            <v>1998</v>
          </cell>
          <cell r="E10" t="e">
            <v>#NULL!</v>
          </cell>
          <cell r="M10" t="e">
            <v>#NULL!</v>
          </cell>
        </row>
        <row r="11">
          <cell r="A11" t="str">
            <v xml:space="preserve"> 1Q</v>
          </cell>
          <cell r="B11">
            <v>42</v>
          </cell>
          <cell r="C11">
            <v>52</v>
          </cell>
          <cell r="D11">
            <v>94</v>
          </cell>
          <cell r="F11">
            <v>114</v>
          </cell>
          <cell r="G11">
            <v>173</v>
          </cell>
          <cell r="H11">
            <v>287</v>
          </cell>
          <cell r="J11">
            <v>51</v>
          </cell>
          <cell r="K11">
            <v>116</v>
          </cell>
          <cell r="L11">
            <v>167</v>
          </cell>
          <cell r="N11">
            <v>20</v>
          </cell>
          <cell r="O11">
            <v>29</v>
          </cell>
          <cell r="P11">
            <v>49</v>
          </cell>
          <cell r="R11">
            <v>368</v>
          </cell>
          <cell r="S11">
            <v>201</v>
          </cell>
          <cell r="T11">
            <v>569</v>
          </cell>
        </row>
        <row r="12">
          <cell r="A12" t="str">
            <v xml:space="preserve"> 2Q</v>
          </cell>
          <cell r="B12">
            <v>41</v>
          </cell>
          <cell r="C12">
            <v>51</v>
          </cell>
          <cell r="D12">
            <v>92</v>
          </cell>
          <cell r="F12">
            <v>132</v>
          </cell>
          <cell r="G12">
            <v>186</v>
          </cell>
          <cell r="H12">
            <v>318</v>
          </cell>
          <cell r="J12">
            <v>63</v>
          </cell>
          <cell r="K12">
            <v>133</v>
          </cell>
          <cell r="L12">
            <v>196</v>
          </cell>
          <cell r="N12">
            <v>20</v>
          </cell>
          <cell r="O12">
            <v>29</v>
          </cell>
          <cell r="P12">
            <v>49</v>
          </cell>
          <cell r="R12">
            <v>354</v>
          </cell>
          <cell r="S12">
            <v>217</v>
          </cell>
          <cell r="T12">
            <v>571</v>
          </cell>
        </row>
        <row r="13">
          <cell r="A13" t="str">
            <v xml:space="preserve"> 3Q</v>
          </cell>
          <cell r="B13">
            <v>39</v>
          </cell>
          <cell r="C13">
            <v>46</v>
          </cell>
          <cell r="D13">
            <v>85</v>
          </cell>
          <cell r="F13">
            <v>154</v>
          </cell>
          <cell r="G13">
            <v>163</v>
          </cell>
          <cell r="H13">
            <v>317</v>
          </cell>
          <cell r="J13">
            <v>60</v>
          </cell>
          <cell r="K13">
            <v>133</v>
          </cell>
          <cell r="L13">
            <v>193</v>
          </cell>
          <cell r="N13">
            <v>20</v>
          </cell>
          <cell r="O13">
            <v>26</v>
          </cell>
          <cell r="P13">
            <v>46</v>
          </cell>
          <cell r="R13">
            <v>362</v>
          </cell>
          <cell r="S13">
            <v>211</v>
          </cell>
          <cell r="T13">
            <v>573</v>
          </cell>
        </row>
        <row r="14">
          <cell r="A14" t="str">
            <v xml:space="preserve"> 4Q</v>
          </cell>
          <cell r="B14">
            <v>41</v>
          </cell>
          <cell r="C14">
            <v>54</v>
          </cell>
          <cell r="D14">
            <v>95</v>
          </cell>
          <cell r="F14">
            <v>156</v>
          </cell>
          <cell r="G14">
            <v>226</v>
          </cell>
          <cell r="H14">
            <v>382</v>
          </cell>
          <cell r="J14">
            <v>53</v>
          </cell>
          <cell r="K14">
            <v>136</v>
          </cell>
          <cell r="L14">
            <v>189</v>
          </cell>
          <cell r="N14">
            <v>19</v>
          </cell>
          <cell r="O14">
            <v>30</v>
          </cell>
          <cell r="P14">
            <v>49</v>
          </cell>
          <cell r="R14">
            <v>353</v>
          </cell>
          <cell r="S14">
            <v>235</v>
          </cell>
          <cell r="T14">
            <v>588</v>
          </cell>
        </row>
        <row r="16">
          <cell r="A16" t="str">
            <v>Year</v>
          </cell>
          <cell r="B16">
            <v>163</v>
          </cell>
          <cell r="C16">
            <v>203</v>
          </cell>
          <cell r="D16">
            <v>366</v>
          </cell>
          <cell r="F16">
            <v>556</v>
          </cell>
          <cell r="G16">
            <v>748</v>
          </cell>
          <cell r="H16">
            <v>1304</v>
          </cell>
          <cell r="J16">
            <v>227</v>
          </cell>
          <cell r="K16">
            <v>518</v>
          </cell>
          <cell r="L16">
            <v>745</v>
          </cell>
          <cell r="N16">
            <v>79</v>
          </cell>
          <cell r="O16">
            <v>114</v>
          </cell>
          <cell r="P16">
            <v>193</v>
          </cell>
          <cell r="R16">
            <v>1437</v>
          </cell>
          <cell r="S16">
            <v>864</v>
          </cell>
          <cell r="T16">
            <v>2301</v>
          </cell>
        </row>
        <row r="18">
          <cell r="A18" t="str">
            <v>1999/98</v>
          </cell>
        </row>
        <row r="19">
          <cell r="A19" t="str">
            <v xml:space="preserve"> 1QA</v>
          </cell>
          <cell r="B19">
            <v>-7.1428571428571397E-2</v>
          </cell>
          <cell r="C19">
            <v>3.8461538461538547E-2</v>
          </cell>
          <cell r="D19">
            <v>-1.0638297872340385E-2</v>
          </cell>
          <cell r="F19">
            <v>2.6315789473684292E-2</v>
          </cell>
          <cell r="G19">
            <v>-4.0462427745664775E-2</v>
          </cell>
          <cell r="H19">
            <v>-1.3937282229965153E-2</v>
          </cell>
          <cell r="J19">
            <v>0.11764705882352944</v>
          </cell>
          <cell r="K19">
            <v>0.10344827586206895</v>
          </cell>
          <cell r="L19">
            <v>0.10778443113772451</v>
          </cell>
          <cell r="N19">
            <v>-1.5000000000000013E-2</v>
          </cell>
          <cell r="O19">
            <v>3.4482758620689724E-2</v>
          </cell>
          <cell r="P19">
            <v>1.4285714285714235E-2</v>
          </cell>
          <cell r="R19">
            <v>0.16576086956521729</v>
          </cell>
          <cell r="S19">
            <v>7.9601990049751326E-2</v>
          </cell>
          <cell r="T19">
            <v>0.13532513181019334</v>
          </cell>
        </row>
        <row r="20">
          <cell r="A20" t="str">
            <v xml:space="preserve"> 2QA</v>
          </cell>
          <cell r="B20">
            <v>2.4390243902439046E-2</v>
          </cell>
          <cell r="C20">
            <v>0.13725490196078427</v>
          </cell>
          <cell r="D20">
            <v>8.6956521739130377E-2</v>
          </cell>
          <cell r="F20">
            <v>2.2727272727272707E-2</v>
          </cell>
          <cell r="G20">
            <v>-9.6774193548387122E-2</v>
          </cell>
          <cell r="H20">
            <v>-4.7169811320754707E-2</v>
          </cell>
          <cell r="J20">
            <v>1.5873015873015817E-2</v>
          </cell>
          <cell r="K20">
            <v>-2.2556390977443663E-2</v>
          </cell>
          <cell r="L20">
            <v>-1.0204081632653073E-2</v>
          </cell>
          <cell r="N20">
            <v>5.0000000000000044E-2</v>
          </cell>
          <cell r="O20">
            <v>0</v>
          </cell>
          <cell r="P20">
            <v>2.0408163265306145E-2</v>
          </cell>
          <cell r="R20">
            <v>0.14971751412429368</v>
          </cell>
          <cell r="S20">
            <v>6.4516129032258007E-2</v>
          </cell>
          <cell r="T20">
            <v>0.11733800350262702</v>
          </cell>
        </row>
        <row r="21">
          <cell r="A21" t="str">
            <v xml:space="preserve"> 3QA</v>
          </cell>
          <cell r="B21">
            <v>0.10256410256410264</v>
          </cell>
          <cell r="C21">
            <v>0.17391304347826098</v>
          </cell>
          <cell r="D21">
            <v>0.14117647058823524</v>
          </cell>
          <cell r="F21">
            <v>0.16233766233766245</v>
          </cell>
          <cell r="G21">
            <v>-5.5214723926380382E-2</v>
          </cell>
          <cell r="H21">
            <v>5.0473186119873725E-2</v>
          </cell>
          <cell r="J21">
            <v>0.28333333333333344</v>
          </cell>
          <cell r="K21">
            <v>1.5037593984962516E-2</v>
          </cell>
          <cell r="L21">
            <v>9.8445595854922185E-2</v>
          </cell>
          <cell r="N21">
            <v>0.10000000000000009</v>
          </cell>
          <cell r="O21">
            <v>0.15384615384615374</v>
          </cell>
          <cell r="P21">
            <v>0.13043478260869557</v>
          </cell>
          <cell r="R21">
            <v>0.21823204419889497</v>
          </cell>
          <cell r="S21">
            <v>-0.12322274881516593</v>
          </cell>
          <cell r="T21">
            <v>9.2495636998254804E-2</v>
          </cell>
        </row>
        <row r="22">
          <cell r="A22" t="str">
            <v xml:space="preserve"> 4QA</v>
          </cell>
          <cell r="B22">
            <v>4.8780487804878092E-2</v>
          </cell>
          <cell r="C22">
            <v>7.4074074074074181E-2</v>
          </cell>
          <cell r="D22">
            <v>6.315789473684208E-2</v>
          </cell>
          <cell r="F22">
            <v>0.30769230769230771</v>
          </cell>
          <cell r="G22">
            <v>-7.0796460176991149E-2</v>
          </cell>
          <cell r="H22">
            <v>8.3769633507853491E-2</v>
          </cell>
          <cell r="J22">
            <v>0.16981132075471694</v>
          </cell>
          <cell r="K22">
            <v>2.2058823529411686E-2</v>
          </cell>
          <cell r="L22">
            <v>6.3492063492063489E-2</v>
          </cell>
          <cell r="N22">
            <v>0.10526315789473695</v>
          </cell>
          <cell r="O22">
            <v>0</v>
          </cell>
          <cell r="P22">
            <v>4.081632653061229E-2</v>
          </cell>
          <cell r="R22">
            <v>0.22662889518413598</v>
          </cell>
          <cell r="S22">
            <v>-0.11063829787234047</v>
          </cell>
          <cell r="T22">
            <v>9.1836734693877542E-2</v>
          </cell>
        </row>
        <row r="24">
          <cell r="A24" t="str">
            <v>Year</v>
          </cell>
          <cell r="B24">
            <v>3.0674846625766916E-2</v>
          </cell>
          <cell r="C24">
            <v>9.8522167487684831E-2</v>
          </cell>
          <cell r="D24">
            <v>6.8306010928961713E-2</v>
          </cell>
          <cell r="F24">
            <v>0.1420863309352518</v>
          </cell>
          <cell r="G24">
            <v>-6.6844919786096302E-2</v>
          </cell>
          <cell r="H24">
            <v>2.223926380368102E-2</v>
          </cell>
          <cell r="J24">
            <v>0.14537444933920707</v>
          </cell>
          <cell r="K24">
            <v>2.7027027027026973E-2</v>
          </cell>
          <cell r="L24">
            <v>6.3087248322147627E-2</v>
          </cell>
          <cell r="N24">
            <v>7.2151898734177156E-2</v>
          </cell>
          <cell r="O24">
            <v>3.5087719298245723E-2</v>
          </cell>
          <cell r="P24">
            <v>5.0259067357512954E-2</v>
          </cell>
          <cell r="R24">
            <v>0.18928322894919969</v>
          </cell>
          <cell r="S24">
            <v>-2.546296296296291E-2</v>
          </cell>
          <cell r="T24">
            <v>0.10864841373315959</v>
          </cell>
        </row>
        <row r="26">
          <cell r="A26" t="str">
            <v>1999</v>
          </cell>
          <cell r="E26" t="e">
            <v>#NULL!</v>
          </cell>
          <cell r="M26" t="e">
            <v>#NULL!</v>
          </cell>
        </row>
        <row r="27">
          <cell r="A27" t="str">
            <v xml:space="preserve"> 1Q</v>
          </cell>
          <cell r="B27">
            <v>39</v>
          </cell>
          <cell r="C27">
            <v>54</v>
          </cell>
          <cell r="D27">
            <v>93</v>
          </cell>
          <cell r="F27">
            <v>117</v>
          </cell>
          <cell r="G27">
            <v>166</v>
          </cell>
          <cell r="H27">
            <v>283</v>
          </cell>
          <cell r="J27">
            <v>57</v>
          </cell>
          <cell r="K27">
            <v>128</v>
          </cell>
          <cell r="L27">
            <v>185</v>
          </cell>
          <cell r="N27">
            <v>19.7</v>
          </cell>
          <cell r="O27">
            <v>30</v>
          </cell>
          <cell r="P27">
            <v>49.7</v>
          </cell>
          <cell r="R27">
            <v>429</v>
          </cell>
          <cell r="S27">
            <v>217</v>
          </cell>
          <cell r="T27">
            <v>646</v>
          </cell>
        </row>
        <row r="28">
          <cell r="A28" t="str">
            <v xml:space="preserve"> 2Q</v>
          </cell>
          <cell r="B28">
            <v>42</v>
          </cell>
          <cell r="C28">
            <v>58</v>
          </cell>
          <cell r="D28">
            <v>100</v>
          </cell>
          <cell r="F28">
            <v>135</v>
          </cell>
          <cell r="G28">
            <v>168</v>
          </cell>
          <cell r="H28">
            <v>303</v>
          </cell>
          <cell r="J28">
            <v>64</v>
          </cell>
          <cell r="K28">
            <v>130</v>
          </cell>
          <cell r="L28">
            <v>194</v>
          </cell>
          <cell r="N28">
            <v>21</v>
          </cell>
          <cell r="O28">
            <v>29</v>
          </cell>
          <cell r="P28">
            <v>50</v>
          </cell>
          <cell r="R28">
            <v>407</v>
          </cell>
          <cell r="S28">
            <v>231</v>
          </cell>
          <cell r="T28">
            <v>638</v>
          </cell>
        </row>
        <row r="29">
          <cell r="A29" t="str">
            <v xml:space="preserve"> 3Q</v>
          </cell>
          <cell r="B29">
            <v>43</v>
          </cell>
          <cell r="C29">
            <v>54</v>
          </cell>
          <cell r="D29">
            <v>97</v>
          </cell>
          <cell r="F29">
            <v>179</v>
          </cell>
          <cell r="G29">
            <v>154</v>
          </cell>
          <cell r="H29">
            <v>333</v>
          </cell>
          <cell r="J29">
            <v>77</v>
          </cell>
          <cell r="K29">
            <v>135</v>
          </cell>
          <cell r="L29">
            <v>212</v>
          </cell>
          <cell r="N29">
            <v>22</v>
          </cell>
          <cell r="O29">
            <v>30</v>
          </cell>
          <cell r="P29">
            <v>52</v>
          </cell>
          <cell r="R29">
            <v>441</v>
          </cell>
          <cell r="S29">
            <v>185</v>
          </cell>
          <cell r="T29">
            <v>626</v>
          </cell>
        </row>
        <row r="30">
          <cell r="A30" t="str">
            <v xml:space="preserve"> 4Q</v>
          </cell>
          <cell r="B30">
            <v>43</v>
          </cell>
          <cell r="C30">
            <v>58</v>
          </cell>
          <cell r="D30">
            <v>101</v>
          </cell>
          <cell r="F30">
            <v>204</v>
          </cell>
          <cell r="G30">
            <v>210</v>
          </cell>
          <cell r="H30">
            <v>414</v>
          </cell>
          <cell r="J30">
            <v>62</v>
          </cell>
          <cell r="K30">
            <v>139</v>
          </cell>
          <cell r="L30">
            <v>201</v>
          </cell>
          <cell r="N30">
            <v>21</v>
          </cell>
          <cell r="O30">
            <v>30</v>
          </cell>
          <cell r="P30">
            <v>51</v>
          </cell>
          <cell r="R30">
            <v>433</v>
          </cell>
          <cell r="S30">
            <v>209</v>
          </cell>
          <cell r="T30">
            <v>642</v>
          </cell>
        </row>
        <row r="32">
          <cell r="A32" t="str">
            <v>Year</v>
          </cell>
          <cell r="B32">
            <v>168</v>
          </cell>
          <cell r="C32">
            <v>223</v>
          </cell>
          <cell r="D32">
            <v>391</v>
          </cell>
          <cell r="F32">
            <v>635</v>
          </cell>
          <cell r="G32">
            <v>698</v>
          </cell>
          <cell r="H32">
            <v>1333</v>
          </cell>
          <cell r="J32">
            <v>260</v>
          </cell>
          <cell r="K32">
            <v>532</v>
          </cell>
          <cell r="L32">
            <v>792</v>
          </cell>
          <cell r="N32">
            <v>84.7</v>
          </cell>
          <cell r="O32">
            <v>118</v>
          </cell>
          <cell r="P32">
            <v>202.7</v>
          </cell>
          <cell r="R32">
            <v>1709</v>
          </cell>
          <cell r="S32">
            <v>842</v>
          </cell>
          <cell r="T32">
            <v>2551</v>
          </cell>
        </row>
        <row r="34">
          <cell r="A34" t="str">
            <v>2000/99</v>
          </cell>
        </row>
        <row r="35">
          <cell r="A35" t="str">
            <v xml:space="preserve"> 1QA</v>
          </cell>
          <cell r="B35">
            <v>7.6923076923076872E-2</v>
          </cell>
          <cell r="C35">
            <v>8.5185185185185253E-2</v>
          </cell>
          <cell r="D35">
            <v>8.172043010752672E-2</v>
          </cell>
          <cell r="F35">
            <v>-5.9829059829059839E-2</v>
          </cell>
          <cell r="G35">
            <v>-7.2289156626506035E-2</v>
          </cell>
          <cell r="H35">
            <v>-6.7137809187279185E-2</v>
          </cell>
          <cell r="J35">
            <v>1.7543859649122862E-2</v>
          </cell>
          <cell r="K35">
            <v>-1.5625E-2</v>
          </cell>
          <cell r="L35">
            <v>-5.4054054054053502E-3</v>
          </cell>
          <cell r="N35">
            <v>-3.5532994923857864E-2</v>
          </cell>
          <cell r="O35">
            <v>0</v>
          </cell>
          <cell r="P35">
            <v>-1.4084507042253613E-2</v>
          </cell>
          <cell r="R35">
            <v>-1.3986013986013957E-2</v>
          </cell>
          <cell r="S35">
            <v>-0.16129032258064513</v>
          </cell>
          <cell r="T35">
            <v>-6.3467492260061875E-2</v>
          </cell>
        </row>
        <row r="36">
          <cell r="A36" t="str">
            <v xml:space="preserve"> 2QA</v>
          </cell>
          <cell r="B36">
            <v>4.7619047619047672E-2</v>
          </cell>
          <cell r="C36">
            <v>3.4482758620689724E-2</v>
          </cell>
          <cell r="D36">
            <v>4.0000000000000036E-2</v>
          </cell>
          <cell r="F36">
            <v>-0.19999999999999996</v>
          </cell>
          <cell r="G36">
            <v>6.5476190476190466E-2</v>
          </cell>
          <cell r="H36">
            <v>-5.2805280528052778E-2</v>
          </cell>
          <cell r="J36">
            <v>0.15625</v>
          </cell>
          <cell r="K36">
            <v>-3.8461538461538436E-2</v>
          </cell>
          <cell r="L36">
            <v>2.5773195876288568E-2</v>
          </cell>
          <cell r="N36">
            <v>0</v>
          </cell>
          <cell r="O36">
            <v>0</v>
          </cell>
          <cell r="P36">
            <v>0</v>
          </cell>
          <cell r="R36">
            <v>1.4742014742014753E-2</v>
          </cell>
          <cell r="S36">
            <v>-0.19913419913419916</v>
          </cell>
          <cell r="T36">
            <v>-6.2695924764890276E-2</v>
          </cell>
        </row>
        <row r="37">
          <cell r="A37" t="str">
            <v xml:space="preserve"> 3QA</v>
          </cell>
          <cell r="B37">
            <v>2.3255813953488413E-2</v>
          </cell>
          <cell r="C37">
            <v>0</v>
          </cell>
          <cell r="D37">
            <v>1.0309278350515427E-2</v>
          </cell>
          <cell r="F37">
            <v>-0.63128491620111737</v>
          </cell>
          <cell r="G37">
            <v>-7.7922077922077948E-2</v>
          </cell>
          <cell r="H37">
            <v>-0.37537537537537535</v>
          </cell>
          <cell r="J37">
            <v>-2.5974025974025983E-2</v>
          </cell>
          <cell r="K37">
            <v>-8.1481481481481488E-2</v>
          </cell>
          <cell r="L37">
            <v>-6.1320754716981174E-2</v>
          </cell>
          <cell r="N37">
            <v>-9.0909090909090939E-2</v>
          </cell>
          <cell r="O37">
            <v>-0.1333333333333333</v>
          </cell>
          <cell r="P37">
            <v>-0.11538461538461542</v>
          </cell>
          <cell r="R37">
            <v>-9.7505668934240397E-2</v>
          </cell>
          <cell r="S37">
            <v>-7.567567567567568E-2</v>
          </cell>
          <cell r="T37">
            <v>-9.1054313099041551E-2</v>
          </cell>
        </row>
        <row r="38">
          <cell r="A38" t="str">
            <v xml:space="preserve"> 4QA</v>
          </cell>
          <cell r="B38">
            <v>0</v>
          </cell>
          <cell r="C38">
            <v>3.4482758620689724E-2</v>
          </cell>
          <cell r="D38">
            <v>1.980198019801982E-2</v>
          </cell>
          <cell r="F38">
            <v>-0.50980392156862742</v>
          </cell>
          <cell r="G38">
            <v>-8.5714285714285743E-2</v>
          </cell>
          <cell r="H38">
            <v>-0.29468599033816423</v>
          </cell>
          <cell r="J38">
            <v>-1.6129032258064502E-2</v>
          </cell>
          <cell r="K38">
            <v>-7.9136690647481966E-2</v>
          </cell>
          <cell r="L38">
            <v>-5.9701492537313383E-2</v>
          </cell>
          <cell r="N38">
            <v>0</v>
          </cell>
          <cell r="O38">
            <v>-0.16666666666666663</v>
          </cell>
          <cell r="P38">
            <v>-9.8039215686274495E-2</v>
          </cell>
          <cell r="R38">
            <v>-9.9307159353348773E-2</v>
          </cell>
          <cell r="S38">
            <v>-9.0909090909090939E-2</v>
          </cell>
          <cell r="T38">
            <v>-9.6573208722741444E-2</v>
          </cell>
        </row>
        <row r="40">
          <cell r="A40" t="str">
            <v>Year</v>
          </cell>
          <cell r="B40">
            <v>2.9761904761904656E-2</v>
          </cell>
          <cell r="C40">
            <v>4.3049327354260036E-2</v>
          </cell>
          <cell r="D40">
            <v>3.7340153452685376E-2</v>
          </cell>
          <cell r="F40">
            <v>-0.39527559055118111</v>
          </cell>
          <cell r="G40">
            <v>-4.4412607449856756E-2</v>
          </cell>
          <cell r="H40">
            <v>-0.21155288822205554</v>
          </cell>
          <cell r="J40">
            <v>3.076923076923066E-2</v>
          </cell>
          <cell r="K40">
            <v>-5.4511278195488733E-2</v>
          </cell>
          <cell r="L40">
            <v>-2.6515151515151492E-2</v>
          </cell>
          <cell r="N40">
            <v>-4.3683589138134638E-2</v>
          </cell>
          <cell r="O40">
            <v>-6.7796610169491567E-2</v>
          </cell>
          <cell r="P40">
            <v>-5.7720769610261402E-2</v>
          </cell>
          <cell r="R40">
            <v>-4.9736688121708617E-2</v>
          </cell>
          <cell r="S40">
            <v>-0.13539192399049882</v>
          </cell>
          <cell r="T40">
            <v>-7.800862406899256E-2</v>
          </cell>
        </row>
        <row r="42">
          <cell r="A42">
            <v>2000</v>
          </cell>
        </row>
        <row r="43">
          <cell r="A43" t="str">
            <v xml:space="preserve"> 1QA</v>
          </cell>
          <cell r="B43">
            <v>42</v>
          </cell>
          <cell r="C43">
            <v>58.6</v>
          </cell>
          <cell r="D43">
            <v>100.6</v>
          </cell>
          <cell r="F43">
            <v>110</v>
          </cell>
          <cell r="G43">
            <v>154</v>
          </cell>
          <cell r="H43">
            <v>264</v>
          </cell>
          <cell r="J43">
            <v>58</v>
          </cell>
          <cell r="K43">
            <v>126</v>
          </cell>
          <cell r="L43">
            <v>184</v>
          </cell>
          <cell r="N43">
            <v>19</v>
          </cell>
          <cell r="O43">
            <v>30</v>
          </cell>
          <cell r="P43">
            <v>49</v>
          </cell>
          <cell r="R43">
            <v>423</v>
          </cell>
          <cell r="S43">
            <v>182</v>
          </cell>
          <cell r="T43">
            <v>605</v>
          </cell>
        </row>
        <row r="44">
          <cell r="A44" t="str">
            <v xml:space="preserve"> 2QA</v>
          </cell>
          <cell r="B44">
            <v>44</v>
          </cell>
          <cell r="C44">
            <v>60</v>
          </cell>
          <cell r="D44">
            <v>104</v>
          </cell>
          <cell r="F44">
            <v>108</v>
          </cell>
          <cell r="G44">
            <v>179</v>
          </cell>
          <cell r="H44">
            <v>287</v>
          </cell>
          <cell r="J44">
            <v>74</v>
          </cell>
          <cell r="K44">
            <v>125</v>
          </cell>
          <cell r="L44">
            <v>199</v>
          </cell>
          <cell r="N44">
            <v>21</v>
          </cell>
          <cell r="O44">
            <v>29</v>
          </cell>
          <cell r="P44">
            <v>50</v>
          </cell>
          <cell r="R44">
            <v>413</v>
          </cell>
          <cell r="S44">
            <v>185</v>
          </cell>
          <cell r="T44">
            <v>598</v>
          </cell>
        </row>
        <row r="45">
          <cell r="A45" t="str">
            <v xml:space="preserve"> 3QA</v>
          </cell>
          <cell r="B45">
            <v>44</v>
          </cell>
          <cell r="C45">
            <v>54</v>
          </cell>
          <cell r="D45">
            <v>98</v>
          </cell>
          <cell r="F45">
            <v>66</v>
          </cell>
          <cell r="G45">
            <v>142</v>
          </cell>
          <cell r="H45">
            <v>208</v>
          </cell>
          <cell r="J45">
            <v>75</v>
          </cell>
          <cell r="K45">
            <v>124</v>
          </cell>
          <cell r="L45">
            <v>199</v>
          </cell>
          <cell r="N45">
            <v>20</v>
          </cell>
          <cell r="O45">
            <v>26</v>
          </cell>
          <cell r="P45">
            <v>46</v>
          </cell>
          <cell r="R45">
            <v>398</v>
          </cell>
          <cell r="S45">
            <v>171</v>
          </cell>
          <cell r="T45">
            <v>569</v>
          </cell>
        </row>
        <row r="46">
          <cell r="A46" t="str">
            <v xml:space="preserve"> 4QA</v>
          </cell>
          <cell r="B46">
            <v>43</v>
          </cell>
          <cell r="C46">
            <v>60</v>
          </cell>
          <cell r="D46">
            <v>103</v>
          </cell>
          <cell r="F46">
            <v>100</v>
          </cell>
          <cell r="G46">
            <v>192</v>
          </cell>
          <cell r="H46">
            <v>292</v>
          </cell>
          <cell r="J46">
            <v>61</v>
          </cell>
          <cell r="K46">
            <v>128</v>
          </cell>
          <cell r="L46">
            <v>189</v>
          </cell>
          <cell r="N46">
            <v>21</v>
          </cell>
          <cell r="O46">
            <v>25</v>
          </cell>
          <cell r="P46">
            <v>46</v>
          </cell>
          <cell r="R46">
            <v>390</v>
          </cell>
          <cell r="S46">
            <v>190</v>
          </cell>
          <cell r="T46">
            <v>580</v>
          </cell>
        </row>
        <row r="48">
          <cell r="A48" t="str">
            <v>Year</v>
          </cell>
          <cell r="B48">
            <v>173</v>
          </cell>
          <cell r="C48">
            <v>232.6</v>
          </cell>
          <cell r="D48">
            <v>405.6</v>
          </cell>
          <cell r="F48">
            <v>384</v>
          </cell>
          <cell r="G48">
            <v>667</v>
          </cell>
          <cell r="H48">
            <v>1051</v>
          </cell>
          <cell r="J48">
            <v>268</v>
          </cell>
          <cell r="K48">
            <v>503</v>
          </cell>
          <cell r="L48">
            <v>771</v>
          </cell>
          <cell r="N48">
            <v>81</v>
          </cell>
          <cell r="O48">
            <v>110</v>
          </cell>
          <cell r="P48">
            <v>191</v>
          </cell>
          <cell r="R48">
            <v>1624</v>
          </cell>
          <cell r="S48">
            <v>728</v>
          </cell>
          <cell r="T48">
            <v>2352</v>
          </cell>
        </row>
        <row r="51">
          <cell r="A51" t="str">
            <v>2001A/00</v>
          </cell>
        </row>
        <row r="52">
          <cell r="A52" t="str">
            <v xml:space="preserve"> 1QE</v>
          </cell>
          <cell r="B52">
            <v>2.3809523809523725E-2</v>
          </cell>
          <cell r="C52">
            <v>-1.0238907849829393E-2</v>
          </cell>
          <cell r="D52">
            <v>3.9761431411531323E-3</v>
          </cell>
          <cell r="E52" t="e">
            <v>#DIV/0!</v>
          </cell>
          <cell r="F52">
            <v>-7.2727272727272751E-2</v>
          </cell>
          <cell r="G52">
            <v>-0.24025974025974028</v>
          </cell>
          <cell r="H52">
            <v>-0.17045454545454541</v>
          </cell>
          <cell r="I52" t="e">
            <v>#DIV/0!</v>
          </cell>
          <cell r="J52">
            <v>-5.1724137931034475E-2</v>
          </cell>
          <cell r="K52">
            <v>-0.23015873015873012</v>
          </cell>
          <cell r="L52">
            <v>-0.17391304347826086</v>
          </cell>
          <cell r="M52" t="e">
            <v>#DIV/0!</v>
          </cell>
          <cell r="N52">
            <v>-0.10526315789473684</v>
          </cell>
          <cell r="O52">
            <v>-0.19999999999999996</v>
          </cell>
          <cell r="P52">
            <v>-0.16326530612244894</v>
          </cell>
          <cell r="Q52" t="e">
            <v>#DIV/0!</v>
          </cell>
          <cell r="R52">
            <v>-2.6004728132387744E-2</v>
          </cell>
          <cell r="S52">
            <v>-0.1428571428571429</v>
          </cell>
          <cell r="T52">
            <v>-6.115702479338847E-2</v>
          </cell>
        </row>
        <row r="53">
          <cell r="A53" t="str">
            <v xml:space="preserve"> 2QA</v>
          </cell>
          <cell r="B53">
            <v>6.8181818181818121E-2</v>
          </cell>
          <cell r="C53">
            <v>-1.6666666666666718E-2</v>
          </cell>
          <cell r="D53">
            <v>1.9230769230769162E-2</v>
          </cell>
          <cell r="F53">
            <v>-1.851851851851849E-2</v>
          </cell>
          <cell r="G53">
            <v>-0.21229050279329609</v>
          </cell>
          <cell r="H53">
            <v>-0.13937282229965153</v>
          </cell>
          <cell r="J53">
            <v>-0.18918918918918914</v>
          </cell>
          <cell r="K53">
            <v>-0.20799999999999996</v>
          </cell>
          <cell r="L53">
            <v>-0.20100502512562812</v>
          </cell>
          <cell r="N53">
            <v>0</v>
          </cell>
          <cell r="O53">
            <v>-1.7241379310344862E-2</v>
          </cell>
          <cell r="P53">
            <v>-1.0000000000000009E-2</v>
          </cell>
          <cell r="R53">
            <v>1.6949152542372836E-2</v>
          </cell>
          <cell r="S53">
            <v>-0.10270270270270265</v>
          </cell>
          <cell r="T53">
            <v>-2.006688963210701E-2</v>
          </cell>
        </row>
        <row r="54">
          <cell r="A54" t="str">
            <v xml:space="preserve"> 3QA</v>
          </cell>
          <cell r="B54">
            <v>4.5454545454545414E-2</v>
          </cell>
          <cell r="C54">
            <v>-3.703703703703709E-2</v>
          </cell>
          <cell r="D54">
            <v>0</v>
          </cell>
          <cell r="F54">
            <v>0.8484848484848484</v>
          </cell>
          <cell r="G54">
            <v>-7.0422535211267623E-2</v>
          </cell>
          <cell r="H54">
            <v>0.22115384615384615</v>
          </cell>
          <cell r="J54">
            <v>-0.17333333333333334</v>
          </cell>
          <cell r="K54">
            <v>-0.19354838709677424</v>
          </cell>
          <cell r="L54">
            <v>-0.18592964824120603</v>
          </cell>
          <cell r="N54">
            <v>5.0000000000000044E-2</v>
          </cell>
          <cell r="O54">
            <v>-7.6923076923076872E-2</v>
          </cell>
          <cell r="P54">
            <v>-2.1739130434782608E-2</v>
          </cell>
          <cell r="R54">
            <v>8.5427135678391997E-2</v>
          </cell>
          <cell r="S54">
            <v>-0.15204678362573099</v>
          </cell>
          <cell r="T54">
            <v>1.4059753954305799E-2</v>
          </cell>
        </row>
        <row r="55">
          <cell r="A55" t="str">
            <v xml:space="preserve"> 4QA</v>
          </cell>
          <cell r="B55">
            <v>-6.9767441860465115E-2</v>
          </cell>
          <cell r="C55">
            <v>6.6666666666666666E-2</v>
          </cell>
          <cell r="D55">
            <v>9.7087378640776691E-3</v>
          </cell>
          <cell r="F55">
            <v>0.18</v>
          </cell>
          <cell r="G55">
            <v>-4.6875E-2</v>
          </cell>
          <cell r="H55">
            <v>3.0821917808219176E-2</v>
          </cell>
          <cell r="J55">
            <v>-0.11475409836065574</v>
          </cell>
          <cell r="K55">
            <v>-0.1796875</v>
          </cell>
          <cell r="L55">
            <v>-0.15873015873015872</v>
          </cell>
          <cell r="N55">
            <v>-9.5238095238095233E-2</v>
          </cell>
          <cell r="O55">
            <v>0.04</v>
          </cell>
          <cell r="P55">
            <v>-2.1739130434782608E-2</v>
          </cell>
          <cell r="R55">
            <v>0.13589743589743589</v>
          </cell>
          <cell r="S55">
            <v>-5.2631578947368418E-2</v>
          </cell>
          <cell r="T55">
            <v>7.4137931034482754E-2</v>
          </cell>
        </row>
        <row r="56">
          <cell r="B56" t="str">
            <v xml:space="preserve"> </v>
          </cell>
        </row>
        <row r="57">
          <cell r="A57" t="str">
            <v>Year E</v>
          </cell>
          <cell r="B57">
            <v>1.7341040462427681E-2</v>
          </cell>
          <cell r="C57">
            <v>1.7196904557179593E-3</v>
          </cell>
          <cell r="D57">
            <v>8.3826429980276007E-3</v>
          </cell>
          <cell r="F57">
            <v>0.16666666666666674</v>
          </cell>
          <cell r="G57">
            <v>-0.14092953523238383</v>
          </cell>
          <cell r="H57">
            <v>-2.8544243577545148E-2</v>
          </cell>
          <cell r="J57">
            <v>-0.13805970149253732</v>
          </cell>
          <cell r="K57">
            <v>-0.20278330019880719</v>
          </cell>
          <cell r="L57">
            <v>-0.18028534370946825</v>
          </cell>
          <cell r="N57">
            <v>-3.703703703703709E-2</v>
          </cell>
          <cell r="O57">
            <v>-6.8181818181818232E-2</v>
          </cell>
          <cell r="P57">
            <v>-5.4973821989528826E-2</v>
          </cell>
          <cell r="R57">
            <v>5.1108374384236432E-2</v>
          </cell>
          <cell r="S57">
            <v>-0.11126373626373631</v>
          </cell>
          <cell r="T57">
            <v>8.5034013605445047E-4</v>
          </cell>
        </row>
        <row r="59">
          <cell r="A59">
            <v>2001</v>
          </cell>
        </row>
        <row r="60">
          <cell r="A60" t="str">
            <v xml:space="preserve"> 1QA</v>
          </cell>
          <cell r="B60">
            <v>43</v>
          </cell>
          <cell r="C60">
            <v>58</v>
          </cell>
          <cell r="D60">
            <v>101</v>
          </cell>
          <cell r="F60">
            <v>102</v>
          </cell>
          <cell r="G60">
            <v>117</v>
          </cell>
          <cell r="H60">
            <v>219</v>
          </cell>
          <cell r="J60">
            <v>55</v>
          </cell>
          <cell r="K60">
            <v>97</v>
          </cell>
          <cell r="L60">
            <v>152</v>
          </cell>
          <cell r="N60">
            <v>17</v>
          </cell>
          <cell r="O60">
            <v>24</v>
          </cell>
          <cell r="P60">
            <v>41</v>
          </cell>
          <cell r="R60">
            <v>412</v>
          </cell>
          <cell r="S60">
            <v>156</v>
          </cell>
          <cell r="T60">
            <v>568</v>
          </cell>
        </row>
        <row r="61">
          <cell r="A61" t="str">
            <v xml:space="preserve"> 2QA</v>
          </cell>
          <cell r="B61">
            <v>47</v>
          </cell>
          <cell r="C61">
            <v>59</v>
          </cell>
          <cell r="D61">
            <v>106</v>
          </cell>
          <cell r="F61">
            <v>106</v>
          </cell>
          <cell r="G61">
            <v>141</v>
          </cell>
          <cell r="H61">
            <v>247</v>
          </cell>
          <cell r="J61">
            <v>60</v>
          </cell>
          <cell r="K61">
            <v>99</v>
          </cell>
          <cell r="L61">
            <v>159</v>
          </cell>
          <cell r="N61">
            <v>21</v>
          </cell>
          <cell r="O61">
            <v>28.5</v>
          </cell>
          <cell r="P61">
            <v>49.5</v>
          </cell>
          <cell r="R61">
            <v>420</v>
          </cell>
          <cell r="S61">
            <v>166</v>
          </cell>
          <cell r="T61">
            <v>586</v>
          </cell>
        </row>
        <row r="62">
          <cell r="A62" t="str">
            <v xml:space="preserve"> 3QA</v>
          </cell>
          <cell r="B62">
            <v>46</v>
          </cell>
          <cell r="C62">
            <v>52</v>
          </cell>
          <cell r="D62">
            <v>98</v>
          </cell>
          <cell r="F62">
            <v>122</v>
          </cell>
          <cell r="G62">
            <v>132</v>
          </cell>
          <cell r="H62">
            <v>254</v>
          </cell>
          <cell r="J62">
            <v>62</v>
          </cell>
          <cell r="K62">
            <v>100</v>
          </cell>
          <cell r="L62">
            <v>162</v>
          </cell>
          <cell r="N62">
            <v>21</v>
          </cell>
          <cell r="O62">
            <v>24</v>
          </cell>
          <cell r="P62">
            <v>45</v>
          </cell>
          <cell r="R62">
            <v>432</v>
          </cell>
          <cell r="S62">
            <v>145</v>
          </cell>
          <cell r="T62">
            <v>577</v>
          </cell>
        </row>
        <row r="63">
          <cell r="A63" t="str">
            <v xml:space="preserve"> 4QA</v>
          </cell>
          <cell r="B63">
            <v>40</v>
          </cell>
          <cell r="C63">
            <v>64</v>
          </cell>
          <cell r="D63">
            <v>104</v>
          </cell>
          <cell r="F63">
            <v>118</v>
          </cell>
          <cell r="G63">
            <v>183</v>
          </cell>
          <cell r="H63">
            <v>301</v>
          </cell>
          <cell r="J63">
            <v>54</v>
          </cell>
          <cell r="K63">
            <v>105</v>
          </cell>
          <cell r="L63">
            <v>159</v>
          </cell>
          <cell r="N63">
            <v>19</v>
          </cell>
          <cell r="O63">
            <v>26</v>
          </cell>
          <cell r="P63">
            <v>45</v>
          </cell>
          <cell r="R63">
            <v>443</v>
          </cell>
          <cell r="S63">
            <v>180</v>
          </cell>
          <cell r="T63">
            <v>623</v>
          </cell>
        </row>
        <row r="65">
          <cell r="A65" t="str">
            <v xml:space="preserve">Year  </v>
          </cell>
          <cell r="B65">
            <v>176</v>
          </cell>
          <cell r="C65">
            <v>233</v>
          </cell>
          <cell r="D65">
            <v>409</v>
          </cell>
          <cell r="F65">
            <v>448</v>
          </cell>
          <cell r="G65">
            <v>573</v>
          </cell>
          <cell r="H65">
            <v>1021</v>
          </cell>
          <cell r="J65">
            <v>231</v>
          </cell>
          <cell r="K65">
            <v>401</v>
          </cell>
          <cell r="L65">
            <v>632</v>
          </cell>
          <cell r="N65">
            <v>78</v>
          </cell>
          <cell r="O65">
            <v>102.5</v>
          </cell>
          <cell r="P65">
            <v>180.5</v>
          </cell>
          <cell r="R65">
            <v>1707</v>
          </cell>
          <cell r="S65">
            <v>647</v>
          </cell>
          <cell r="T65">
            <v>2354</v>
          </cell>
        </row>
        <row r="67">
          <cell r="A67" t="str">
            <v>2002E/01</v>
          </cell>
        </row>
        <row r="68">
          <cell r="A68" t="str">
            <v xml:space="preserve"> 1QA</v>
          </cell>
          <cell r="B68">
            <v>2.3255813953488413E-2</v>
          </cell>
          <cell r="C68">
            <v>-4.8275862068965503E-2</v>
          </cell>
          <cell r="D68">
            <v>-1.7821782178217838E-2</v>
          </cell>
          <cell r="F68">
            <v>0.15882352941176481</v>
          </cell>
          <cell r="G68">
            <v>3.4188034188034289E-2</v>
          </cell>
          <cell r="H68">
            <v>9.2237442922374457E-2</v>
          </cell>
          <cell r="J68">
            <v>1.8181818181818077E-2</v>
          </cell>
          <cell r="K68">
            <v>-0.10309278350515461</v>
          </cell>
          <cell r="L68">
            <v>-5.9210526315789491E-2</v>
          </cell>
          <cell r="N68">
            <v>0.29411764705882359</v>
          </cell>
          <cell r="O68">
            <v>-8.333333333333337E-2</v>
          </cell>
          <cell r="P68">
            <v>7.3170731707317138E-2</v>
          </cell>
          <cell r="R68">
            <v>0.14077669902912615</v>
          </cell>
          <cell r="S68">
            <v>8.3333333333333259E-2</v>
          </cell>
          <cell r="T68">
            <v>0.125</v>
          </cell>
        </row>
        <row r="69">
          <cell r="A69" t="str">
            <v xml:space="preserve"> 2QA</v>
          </cell>
          <cell r="B69">
            <v>-4.2553191489361653E-2</v>
          </cell>
          <cell r="C69">
            <v>8.4745762711864403E-2</v>
          </cell>
          <cell r="D69">
            <v>2.8301886792452935E-2</v>
          </cell>
          <cell r="F69">
            <v>0.15094339622641506</v>
          </cell>
          <cell r="G69">
            <v>7.8014184397163122E-2</v>
          </cell>
          <cell r="H69">
            <v>0.10931174089068829</v>
          </cell>
          <cell r="J69">
            <v>5.0000000000000044E-2</v>
          </cell>
          <cell r="K69">
            <v>0</v>
          </cell>
          <cell r="L69">
            <v>1.8867924528301883E-2</v>
          </cell>
          <cell r="N69">
            <v>4.7619047619047672E-2</v>
          </cell>
          <cell r="O69">
            <v>-1.7543859649122862E-2</v>
          </cell>
          <cell r="P69">
            <v>1.0101010101010166E-2</v>
          </cell>
          <cell r="R69">
            <v>0.10000000000000009</v>
          </cell>
          <cell r="S69">
            <v>0.10843373493975905</v>
          </cell>
          <cell r="T69">
            <v>0.10238907849829348</v>
          </cell>
        </row>
        <row r="70">
          <cell r="A70" t="str">
            <v xml:space="preserve"> 3QA</v>
          </cell>
          <cell r="B70">
            <v>-2.1739130434782594E-2</v>
          </cell>
          <cell r="C70">
            <v>0.23461538461538467</v>
          </cell>
          <cell r="D70">
            <v>0.11428571428571432</v>
          </cell>
          <cell r="F70">
            <v>8.1967213114754189E-2</v>
          </cell>
          <cell r="G70">
            <v>0.1212121212121211</v>
          </cell>
          <cell r="H70">
            <v>0.10236220472440949</v>
          </cell>
          <cell r="J70">
            <v>-8.064516129032262E-2</v>
          </cell>
          <cell r="K70">
            <v>7.0000000000000062E-2</v>
          </cell>
          <cell r="L70">
            <v>1.2345679012345734E-2</v>
          </cell>
          <cell r="N70">
            <v>0</v>
          </cell>
          <cell r="O70">
            <v>0.125</v>
          </cell>
          <cell r="P70">
            <v>6.6666666666666652E-2</v>
          </cell>
          <cell r="R70">
            <v>2.3148148148148806E-3</v>
          </cell>
          <cell r="S70">
            <v>0.21379310344827585</v>
          </cell>
          <cell r="T70">
            <v>5.5459272097053702E-2</v>
          </cell>
        </row>
        <row r="71">
          <cell r="A71" t="str">
            <v xml:space="preserve"> 4QA</v>
          </cell>
          <cell r="B71">
            <v>0.10999999999999988</v>
          </cell>
          <cell r="C71">
            <v>0.15625</v>
          </cell>
          <cell r="D71">
            <v>0.13846153846153841</v>
          </cell>
          <cell r="F71">
            <v>0.11016949152542366</v>
          </cell>
          <cell r="G71">
            <v>6.0109289617486406E-2</v>
          </cell>
          <cell r="H71">
            <v>7.9734219269103068E-2</v>
          </cell>
          <cell r="J71">
            <v>-1</v>
          </cell>
          <cell r="K71">
            <v>-1</v>
          </cell>
          <cell r="L71">
            <v>-1</v>
          </cell>
          <cell r="N71">
            <v>-1</v>
          </cell>
          <cell r="O71">
            <v>-1</v>
          </cell>
          <cell r="P71">
            <v>-1</v>
          </cell>
          <cell r="R71">
            <v>-6.0948081264108334E-2</v>
          </cell>
          <cell r="S71">
            <v>0.22777777777777786</v>
          </cell>
          <cell r="T71">
            <v>2.2471910112359605E-2</v>
          </cell>
        </row>
        <row r="73">
          <cell r="A73" t="str">
            <v xml:space="preserve">2002E/01E </v>
          </cell>
          <cell r="B73">
            <v>1.3636363636363669E-2</v>
          </cell>
          <cell r="C73">
            <v>0.10472103004291844</v>
          </cell>
          <cell r="D73">
            <v>6.5525672371637977E-2</v>
          </cell>
          <cell r="F73">
            <v>0.12321428571428572</v>
          </cell>
          <cell r="G73">
            <v>7.3298429319371694E-2</v>
          </cell>
          <cell r="H73">
            <v>9.5200783545543635E-2</v>
          </cell>
          <cell r="J73">
            <v>-0.23809523809523814</v>
          </cell>
          <cell r="K73">
            <v>-0.26932668329177056</v>
          </cell>
          <cell r="L73">
            <v>-0.25791139240506333</v>
          </cell>
          <cell r="N73">
            <v>-0.16666666666666663</v>
          </cell>
          <cell r="O73">
            <v>-0.24878048780487805</v>
          </cell>
          <cell r="P73">
            <v>-0.21329639889196672</v>
          </cell>
          <cell r="R73">
            <v>4.3350908025776125E-2</v>
          </cell>
          <cell r="S73">
            <v>0.15919629057187024</v>
          </cell>
          <cell r="T73">
            <v>7.5191163976210618E-2</v>
          </cell>
        </row>
        <row r="75">
          <cell r="A75" t="str">
            <v>2002E</v>
          </cell>
        </row>
        <row r="76">
          <cell r="A76" t="str">
            <v xml:space="preserve"> 1QA</v>
          </cell>
          <cell r="B76">
            <v>44</v>
          </cell>
          <cell r="C76">
            <v>55.2</v>
          </cell>
          <cell r="D76">
            <v>99.2</v>
          </cell>
          <cell r="F76">
            <v>118.2</v>
          </cell>
          <cell r="G76">
            <v>121</v>
          </cell>
          <cell r="H76">
            <v>239.2</v>
          </cell>
          <cell r="J76">
            <v>56</v>
          </cell>
          <cell r="K76">
            <v>87</v>
          </cell>
          <cell r="L76">
            <v>143</v>
          </cell>
          <cell r="N76">
            <v>22</v>
          </cell>
          <cell r="O76">
            <v>22</v>
          </cell>
          <cell r="P76">
            <v>44</v>
          </cell>
          <cell r="R76">
            <v>470</v>
          </cell>
          <cell r="S76">
            <v>169</v>
          </cell>
          <cell r="T76">
            <v>639</v>
          </cell>
        </row>
        <row r="77">
          <cell r="A77" t="str">
            <v xml:space="preserve"> 2QA</v>
          </cell>
          <cell r="B77">
            <v>45</v>
          </cell>
          <cell r="C77">
            <v>64</v>
          </cell>
          <cell r="D77">
            <v>109</v>
          </cell>
          <cell r="F77">
            <v>122</v>
          </cell>
          <cell r="G77">
            <v>152</v>
          </cell>
          <cell r="H77">
            <v>274</v>
          </cell>
          <cell r="J77">
            <v>63</v>
          </cell>
          <cell r="K77">
            <v>99</v>
          </cell>
          <cell r="L77">
            <v>162</v>
          </cell>
          <cell r="N77">
            <v>22</v>
          </cell>
          <cell r="O77">
            <v>28</v>
          </cell>
          <cell r="P77">
            <v>50</v>
          </cell>
          <cell r="R77">
            <v>462</v>
          </cell>
          <cell r="S77">
            <v>184</v>
          </cell>
          <cell r="T77">
            <v>646</v>
          </cell>
        </row>
        <row r="78">
          <cell r="A78" t="str">
            <v xml:space="preserve"> 3QA</v>
          </cell>
          <cell r="B78">
            <v>45</v>
          </cell>
          <cell r="C78">
            <v>64.2</v>
          </cell>
          <cell r="D78">
            <v>109.2</v>
          </cell>
          <cell r="F78">
            <v>132</v>
          </cell>
          <cell r="G78">
            <v>148</v>
          </cell>
          <cell r="H78">
            <v>280</v>
          </cell>
          <cell r="J78">
            <v>57</v>
          </cell>
          <cell r="K78">
            <v>107</v>
          </cell>
          <cell r="L78">
            <v>164</v>
          </cell>
          <cell r="N78">
            <v>21</v>
          </cell>
          <cell r="O78">
            <v>27</v>
          </cell>
          <cell r="P78">
            <v>48</v>
          </cell>
          <cell r="R78">
            <v>433</v>
          </cell>
          <cell r="S78">
            <v>176</v>
          </cell>
          <cell r="T78">
            <v>609</v>
          </cell>
        </row>
        <row r="79">
          <cell r="A79" t="str">
            <v xml:space="preserve"> 4QA</v>
          </cell>
          <cell r="B79">
            <v>44.4</v>
          </cell>
          <cell r="C79">
            <v>74</v>
          </cell>
          <cell r="D79">
            <v>118.4</v>
          </cell>
          <cell r="F79">
            <v>131</v>
          </cell>
          <cell r="G79">
            <v>194</v>
          </cell>
          <cell r="H79">
            <v>325</v>
          </cell>
          <cell r="J79">
            <v>0</v>
          </cell>
          <cell r="K79">
            <v>0</v>
          </cell>
          <cell r="L79">
            <v>0</v>
          </cell>
          <cell r="N79">
            <v>0</v>
          </cell>
          <cell r="O79">
            <v>0</v>
          </cell>
          <cell r="P79">
            <v>0</v>
          </cell>
          <cell r="R79">
            <v>416</v>
          </cell>
          <cell r="S79">
            <v>221</v>
          </cell>
          <cell r="T79">
            <v>637</v>
          </cell>
        </row>
        <row r="81">
          <cell r="A81" t="str">
            <v>2002E</v>
          </cell>
          <cell r="B81">
            <v>178.4</v>
          </cell>
          <cell r="C81">
            <v>257.39999999999998</v>
          </cell>
          <cell r="D81">
            <v>435.79999999999995</v>
          </cell>
          <cell r="F81">
            <v>503.2</v>
          </cell>
          <cell r="G81">
            <v>615</v>
          </cell>
          <cell r="H81">
            <v>1118.2</v>
          </cell>
          <cell r="J81">
            <v>176</v>
          </cell>
          <cell r="K81">
            <v>293</v>
          </cell>
          <cell r="L81">
            <v>469</v>
          </cell>
          <cell r="N81">
            <v>65</v>
          </cell>
          <cell r="O81">
            <v>77</v>
          </cell>
          <cell r="P81">
            <v>142</v>
          </cell>
          <cell r="R81">
            <v>1781</v>
          </cell>
          <cell r="S81">
            <v>750</v>
          </cell>
          <cell r="T81">
            <v>2531</v>
          </cell>
        </row>
        <row r="83">
          <cell r="A83" t="str">
            <v>2003E/02</v>
          </cell>
        </row>
        <row r="84">
          <cell r="A84" t="str">
            <v xml:space="preserve"> 1QA</v>
          </cell>
          <cell r="B84">
            <v>0.02</v>
          </cell>
          <cell r="C84">
            <v>0.11</v>
          </cell>
          <cell r="D84">
            <v>0.12903225806451601</v>
          </cell>
          <cell r="F84">
            <v>0.05</v>
          </cell>
          <cell r="G84">
            <v>0.08</v>
          </cell>
          <cell r="H84">
            <v>0.12458193979933108</v>
          </cell>
          <cell r="J84" t="str">
            <v>NA</v>
          </cell>
          <cell r="K84" t="str">
            <v>NA</v>
          </cell>
          <cell r="L84" t="str">
            <v>NA</v>
          </cell>
          <cell r="N84" t="str">
            <v>NA</v>
          </cell>
          <cell r="O84" t="str">
            <v>NA</v>
          </cell>
          <cell r="P84" t="str">
            <v>NA</v>
          </cell>
          <cell r="R84">
            <v>0.02</v>
          </cell>
          <cell r="S84">
            <v>0.02</v>
          </cell>
          <cell r="T84">
            <v>-6.7292644757433462E-2</v>
          </cell>
        </row>
        <row r="85">
          <cell r="A85" t="str">
            <v xml:space="preserve"> 2QA</v>
          </cell>
          <cell r="B85">
            <v>0.02</v>
          </cell>
          <cell r="C85">
            <v>0.11</v>
          </cell>
          <cell r="D85">
            <v>7.2844036697247594E-2</v>
          </cell>
          <cell r="F85">
            <v>0.05</v>
          </cell>
          <cell r="G85">
            <v>0.08</v>
          </cell>
          <cell r="H85">
            <v>6.6642335766423422E-2</v>
          </cell>
          <cell r="J85" t="str">
            <v>NA</v>
          </cell>
          <cell r="K85" t="str">
            <v>NA</v>
          </cell>
          <cell r="L85" t="str">
            <v>NA</v>
          </cell>
          <cell r="N85" t="str">
            <v>NA</v>
          </cell>
          <cell r="O85" t="str">
            <v>NA</v>
          </cell>
          <cell r="P85" t="str">
            <v>NA</v>
          </cell>
          <cell r="R85">
            <v>0.02</v>
          </cell>
          <cell r="S85">
            <v>0.02</v>
          </cell>
          <cell r="T85">
            <v>2.0000000000000018E-2</v>
          </cell>
        </row>
        <row r="86">
          <cell r="A86" t="str">
            <v xml:space="preserve"> 3QA</v>
          </cell>
          <cell r="B86">
            <v>0.02</v>
          </cell>
          <cell r="C86">
            <v>0.11</v>
          </cell>
          <cell r="D86">
            <v>7.291208791208792E-2</v>
          </cell>
          <cell r="F86">
            <v>0.05</v>
          </cell>
          <cell r="G86">
            <v>0.08</v>
          </cell>
          <cell r="H86">
            <v>6.5857142857142836E-2</v>
          </cell>
          <cell r="J86" t="str">
            <v>NA</v>
          </cell>
          <cell r="K86" t="str">
            <v>NA</v>
          </cell>
          <cell r="L86" t="str">
            <v>NA</v>
          </cell>
          <cell r="N86" t="str">
            <v>NA</v>
          </cell>
          <cell r="O86" t="str">
            <v>NA</v>
          </cell>
          <cell r="P86" t="str">
            <v>NA</v>
          </cell>
          <cell r="R86">
            <v>0.02</v>
          </cell>
          <cell r="S86">
            <v>0.02</v>
          </cell>
          <cell r="T86">
            <v>2.0000000000000018E-2</v>
          </cell>
        </row>
        <row r="87">
          <cell r="A87" t="str">
            <v xml:space="preserve"> 4QA</v>
          </cell>
          <cell r="B87">
            <v>3.9819819819820079E-2</v>
          </cell>
          <cell r="C87">
            <v>1.9081081081080864E-2</v>
          </cell>
          <cell r="D87">
            <v>2.6858108108107848E-2</v>
          </cell>
          <cell r="F87">
            <v>1.2671755725190526E-2</v>
          </cell>
          <cell r="G87">
            <v>-0.15824742268041259</v>
          </cell>
          <cell r="H87">
            <v>-8.9353846153846339E-2</v>
          </cell>
          <cell r="J87" t="str">
            <v>NA</v>
          </cell>
          <cell r="K87" t="str">
            <v>NA</v>
          </cell>
          <cell r="L87" t="str">
            <v>NA</v>
          </cell>
          <cell r="N87" t="str">
            <v>NA</v>
          </cell>
          <cell r="O87" t="str">
            <v>NA</v>
          </cell>
          <cell r="P87" t="str">
            <v>NA</v>
          </cell>
          <cell r="R87">
            <v>0.26374999999999948</v>
          </cell>
          <cell r="S87">
            <v>-0.18642533936651606</v>
          </cell>
          <cell r="T87">
            <v>0.10756671899529002</v>
          </cell>
        </row>
        <row r="89">
          <cell r="A89" t="str">
            <v xml:space="preserve">2003E/02E </v>
          </cell>
          <cell r="B89">
            <v>0.02</v>
          </cell>
          <cell r="C89">
            <v>0.11</v>
          </cell>
          <cell r="D89">
            <v>7.3157411656723514E-2</v>
          </cell>
          <cell r="F89">
            <v>0.05</v>
          </cell>
          <cell r="G89">
            <v>0.02</v>
          </cell>
          <cell r="H89">
            <v>3.3500268288320312E-2</v>
          </cell>
          <cell r="J89" t="str">
            <v>NA</v>
          </cell>
          <cell r="K89" t="str">
            <v>NA</v>
          </cell>
          <cell r="L89" t="str">
            <v>NA</v>
          </cell>
          <cell r="N89" t="str">
            <v>NA</v>
          </cell>
          <cell r="O89" t="str">
            <v>NA</v>
          </cell>
          <cell r="P89" t="str">
            <v>NA</v>
          </cell>
          <cell r="R89">
            <v>0.02</v>
          </cell>
          <cell r="S89">
            <v>0.02</v>
          </cell>
          <cell r="T89">
            <v>2.0000000000000018E-2</v>
          </cell>
        </row>
        <row r="91">
          <cell r="A91" t="str">
            <v>2003E</v>
          </cell>
        </row>
        <row r="92">
          <cell r="A92" t="str">
            <v xml:space="preserve"> 1QE</v>
          </cell>
          <cell r="B92">
            <v>44</v>
          </cell>
          <cell r="C92">
            <v>68</v>
          </cell>
          <cell r="D92">
            <v>112</v>
          </cell>
          <cell r="F92">
            <v>129</v>
          </cell>
          <cell r="G92">
            <v>140</v>
          </cell>
          <cell r="H92">
            <v>269</v>
          </cell>
          <cell r="J92">
            <v>0</v>
          </cell>
          <cell r="K92">
            <v>0</v>
          </cell>
          <cell r="L92">
            <v>0</v>
          </cell>
          <cell r="N92">
            <v>0</v>
          </cell>
          <cell r="O92">
            <v>0</v>
          </cell>
          <cell r="P92">
            <v>0</v>
          </cell>
          <cell r="R92">
            <v>378</v>
          </cell>
          <cell r="S92">
            <v>218</v>
          </cell>
          <cell r="T92">
            <v>596</v>
          </cell>
        </row>
        <row r="93">
          <cell r="A93" t="str">
            <v xml:space="preserve"> 2QE</v>
          </cell>
          <cell r="B93">
            <v>45.9</v>
          </cell>
          <cell r="C93">
            <v>71.040000000000006</v>
          </cell>
          <cell r="D93">
            <v>116.94</v>
          </cell>
          <cell r="F93">
            <v>128.1</v>
          </cell>
          <cell r="G93">
            <v>164.16000000000003</v>
          </cell>
          <cell r="H93">
            <v>292.26</v>
          </cell>
          <cell r="J93">
            <v>0</v>
          </cell>
          <cell r="K93">
            <v>0</v>
          </cell>
          <cell r="L93">
            <v>0</v>
          </cell>
          <cell r="N93">
            <v>0</v>
          </cell>
          <cell r="O93">
            <v>0</v>
          </cell>
          <cell r="P93">
            <v>0</v>
          </cell>
          <cell r="R93">
            <v>471.24</v>
          </cell>
          <cell r="S93">
            <v>187.68</v>
          </cell>
          <cell r="T93">
            <v>658.92000000000007</v>
          </cell>
        </row>
        <row r="94">
          <cell r="A94" t="str">
            <v xml:space="preserve"> 3QE</v>
          </cell>
          <cell r="B94">
            <v>45.9</v>
          </cell>
          <cell r="C94">
            <v>71.262000000000015</v>
          </cell>
          <cell r="D94">
            <v>117.16200000000001</v>
          </cell>
          <cell r="F94">
            <v>138.6</v>
          </cell>
          <cell r="G94">
            <v>159.84</v>
          </cell>
          <cell r="H94">
            <v>298.44</v>
          </cell>
          <cell r="J94">
            <v>0</v>
          </cell>
          <cell r="K94">
            <v>0</v>
          </cell>
          <cell r="L94">
            <v>0</v>
          </cell>
          <cell r="N94">
            <v>0</v>
          </cell>
          <cell r="O94">
            <v>0</v>
          </cell>
          <cell r="P94">
            <v>0</v>
          </cell>
          <cell r="R94">
            <v>441.66</v>
          </cell>
          <cell r="S94">
            <v>179.52</v>
          </cell>
          <cell r="T94">
            <v>621.18000000000006</v>
          </cell>
        </row>
        <row r="95">
          <cell r="A95" t="str">
            <v xml:space="preserve"> 4QE</v>
          </cell>
          <cell r="B95">
            <v>46.168000000000006</v>
          </cell>
          <cell r="C95">
            <v>75.411999999999978</v>
          </cell>
          <cell r="D95">
            <v>121.57999999999998</v>
          </cell>
          <cell r="F95">
            <v>132.65999999999997</v>
          </cell>
          <cell r="G95">
            <v>163.29999999999995</v>
          </cell>
          <cell r="H95">
            <v>295.95999999999992</v>
          </cell>
          <cell r="J95">
            <v>0</v>
          </cell>
          <cell r="K95">
            <v>0</v>
          </cell>
          <cell r="L95">
            <v>0</v>
          </cell>
          <cell r="N95">
            <v>0</v>
          </cell>
          <cell r="O95">
            <v>0</v>
          </cell>
          <cell r="P95">
            <v>0</v>
          </cell>
          <cell r="R95">
            <v>525.7199999999998</v>
          </cell>
          <cell r="S95">
            <v>179.79999999999995</v>
          </cell>
          <cell r="T95">
            <v>705.51999999999975</v>
          </cell>
        </row>
        <row r="97">
          <cell r="A97" t="str">
            <v>2003E</v>
          </cell>
          <cell r="B97">
            <v>181.96800000000002</v>
          </cell>
          <cell r="C97">
            <v>285.714</v>
          </cell>
          <cell r="D97">
            <v>467.68200000000002</v>
          </cell>
          <cell r="F97">
            <v>528.36</v>
          </cell>
          <cell r="G97">
            <v>627.29999999999995</v>
          </cell>
          <cell r="H97">
            <v>1155.6599999999999</v>
          </cell>
          <cell r="J97">
            <v>0</v>
          </cell>
          <cell r="K97">
            <v>0</v>
          </cell>
          <cell r="L97">
            <v>0</v>
          </cell>
          <cell r="N97">
            <v>0</v>
          </cell>
          <cell r="O97">
            <v>0</v>
          </cell>
          <cell r="P97">
            <v>0</v>
          </cell>
          <cell r="R97">
            <v>1816.62</v>
          </cell>
          <cell r="S97">
            <v>765</v>
          </cell>
          <cell r="T97">
            <v>2581.62</v>
          </cell>
        </row>
        <row r="99">
          <cell r="A99" t="str">
            <v xml:space="preserve">2004E/03E </v>
          </cell>
          <cell r="B99">
            <v>0.02</v>
          </cell>
          <cell r="C99">
            <v>0.02</v>
          </cell>
          <cell r="D99">
            <v>2.0000000000000018E-2</v>
          </cell>
          <cell r="F99">
            <v>0.03</v>
          </cell>
          <cell r="G99">
            <v>0</v>
          </cell>
          <cell r="H99">
            <v>1.371579876434259E-2</v>
          </cell>
          <cell r="J99" t="str">
            <v>NA</v>
          </cell>
          <cell r="K99" t="str">
            <v>NA</v>
          </cell>
          <cell r="L99" t="str">
            <v>NA</v>
          </cell>
          <cell r="N99" t="str">
            <v>NA</v>
          </cell>
          <cell r="O99" t="str">
            <v>NA</v>
          </cell>
          <cell r="P99" t="str">
            <v>NA</v>
          </cell>
          <cell r="R99">
            <v>0.02</v>
          </cell>
          <cell r="S99">
            <v>0</v>
          </cell>
          <cell r="T99">
            <v>1.407348873962877E-2</v>
          </cell>
        </row>
        <row r="100">
          <cell r="A100" t="str">
            <v xml:space="preserve">2005E/04E </v>
          </cell>
          <cell r="B100">
            <v>0.02</v>
          </cell>
          <cell r="C100">
            <v>0.02</v>
          </cell>
          <cell r="D100">
            <v>2.0000000000000018E-2</v>
          </cell>
          <cell r="F100">
            <v>0.03</v>
          </cell>
          <cell r="G100">
            <v>0</v>
          </cell>
          <cell r="H100">
            <v>1.3936127605481907E-2</v>
          </cell>
          <cell r="J100" t="str">
            <v>NA</v>
          </cell>
          <cell r="K100" t="str">
            <v>NA</v>
          </cell>
          <cell r="L100" t="str">
            <v>NA</v>
          </cell>
          <cell r="N100" t="str">
            <v>NA</v>
          </cell>
          <cell r="O100" t="str">
            <v>NA</v>
          </cell>
          <cell r="P100" t="str">
            <v>NA</v>
          </cell>
          <cell r="R100">
            <v>0.02</v>
          </cell>
          <cell r="S100">
            <v>0</v>
          </cell>
          <cell r="T100">
            <v>1.4155737896533127E-2</v>
          </cell>
        </row>
        <row r="101">
          <cell r="A101" t="str">
            <v>2006E/05E</v>
          </cell>
          <cell r="B101">
            <v>0.02</v>
          </cell>
          <cell r="C101">
            <v>0.02</v>
          </cell>
          <cell r="D101">
            <v>2.0000000000000018E-2</v>
          </cell>
          <cell r="F101">
            <v>0.03</v>
          </cell>
          <cell r="G101">
            <v>0</v>
          </cell>
          <cell r="H101">
            <v>1.4156918806656149E-2</v>
          </cell>
          <cell r="J101" t="str">
            <v>NA</v>
          </cell>
          <cell r="K101" t="str">
            <v>NA</v>
          </cell>
          <cell r="L101" t="str">
            <v>NA</v>
          </cell>
          <cell r="N101" t="str">
            <v>NA</v>
          </cell>
          <cell r="O101" t="str">
            <v>NA</v>
          </cell>
          <cell r="P101" t="str">
            <v>NA</v>
          </cell>
          <cell r="R101">
            <v>0.02</v>
          </cell>
          <cell r="S101">
            <v>0</v>
          </cell>
          <cell r="T101">
            <v>1.4237312983518269E-2</v>
          </cell>
        </row>
        <row r="103">
          <cell r="A103" t="str">
            <v>2004E</v>
          </cell>
          <cell r="B103">
            <v>185.60736000000003</v>
          </cell>
          <cell r="C103">
            <v>291.42827999999997</v>
          </cell>
          <cell r="D103">
            <v>477.03564</v>
          </cell>
          <cell r="F103">
            <v>544.21080000000006</v>
          </cell>
          <cell r="G103">
            <v>627.29999999999995</v>
          </cell>
          <cell r="H103">
            <v>1171.5108</v>
          </cell>
          <cell r="J103">
            <v>0</v>
          </cell>
          <cell r="K103">
            <v>0</v>
          </cell>
          <cell r="L103">
            <v>0</v>
          </cell>
          <cell r="N103">
            <v>0</v>
          </cell>
          <cell r="O103">
            <v>0</v>
          </cell>
          <cell r="P103">
            <v>0</v>
          </cell>
          <cell r="R103">
            <v>1852.9523999999999</v>
          </cell>
          <cell r="S103">
            <v>765</v>
          </cell>
          <cell r="T103">
            <v>2617.9524000000001</v>
          </cell>
        </row>
        <row r="104">
          <cell r="A104" t="str">
            <v>2005E</v>
          </cell>
          <cell r="B104">
            <v>189.31950720000003</v>
          </cell>
          <cell r="C104">
            <v>297.25684559999996</v>
          </cell>
          <cell r="D104">
            <v>486.5763528</v>
          </cell>
          <cell r="F104">
            <v>560.53712400000006</v>
          </cell>
          <cell r="G104">
            <v>627.29999999999995</v>
          </cell>
          <cell r="H104">
            <v>1187.8371240000001</v>
          </cell>
          <cell r="J104">
            <v>0</v>
          </cell>
          <cell r="K104">
            <v>0</v>
          </cell>
          <cell r="L104">
            <v>0</v>
          </cell>
          <cell r="N104">
            <v>0</v>
          </cell>
          <cell r="O104">
            <v>0</v>
          </cell>
          <cell r="P104">
            <v>0</v>
          </cell>
          <cell r="R104">
            <v>1890.011448</v>
          </cell>
          <cell r="S104">
            <v>765</v>
          </cell>
          <cell r="T104">
            <v>2655.0114480000002</v>
          </cell>
        </row>
        <row r="105">
          <cell r="A105" t="str">
            <v>2006E</v>
          </cell>
          <cell r="B105">
            <v>193.10589734400003</v>
          </cell>
          <cell r="C105">
            <v>303.20198251199997</v>
          </cell>
          <cell r="D105">
            <v>496.307879856</v>
          </cell>
          <cell r="F105">
            <v>577.35323772000004</v>
          </cell>
          <cell r="G105">
            <v>627.29999999999995</v>
          </cell>
          <cell r="H105">
            <v>1204.6532377200001</v>
          </cell>
          <cell r="J105">
            <v>0</v>
          </cell>
          <cell r="K105">
            <v>0</v>
          </cell>
          <cell r="L105">
            <v>0</v>
          </cell>
          <cell r="N105">
            <v>0</v>
          </cell>
          <cell r="O105">
            <v>0</v>
          </cell>
          <cell r="P105">
            <v>0</v>
          </cell>
          <cell r="R105">
            <v>1927.8116769599999</v>
          </cell>
          <cell r="S105">
            <v>765</v>
          </cell>
          <cell r="T105">
            <v>2692.8116769600001</v>
          </cell>
        </row>
        <row r="107">
          <cell r="A107" t="str">
            <v>E = Morgan Stanley Dean Witter Research Estimates             NM = Not Meaningful             A = Actual</v>
          </cell>
        </row>
      </sheetData>
      <sheetData sheetId="22" refreshError="1"/>
      <sheetData sheetId="23" refreshError="1"/>
      <sheetData sheetId="24" refreshError="1"/>
      <sheetData sheetId="25" refreshError="1"/>
      <sheetData sheetId="26"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PID2"/>
      <sheetName val="Annual"/>
      <sheetName val="Quarterly"/>
      <sheetName val="Model2Wizard"/>
      <sheetName val="Valuation"/>
      <sheetName val="BS"/>
      <sheetName val="CF"/>
      <sheetName val="Revenues"/>
      <sheetName val="MS Model"/>
    </sheetNames>
    <sheetDataSet>
      <sheetData sheetId="0" refreshError="1">
        <row r="1">
          <cell r="C1" t="str">
            <v>TICKER</v>
          </cell>
          <cell r="D1" t="str">
            <v>Ticker</v>
          </cell>
          <cell r="E1" t="str">
            <v>$D$11</v>
          </cell>
          <cell r="F1" t="str">
            <v>T5</v>
          </cell>
          <cell r="G1" t="e">
            <v>#NULL!</v>
          </cell>
        </row>
        <row r="2">
          <cell r="C2" t="str">
            <v>DATEOFSUBMISSION</v>
          </cell>
          <cell r="D2" t="str">
            <v>Date of Submission</v>
          </cell>
          <cell r="E2" t="str">
            <v>$J$11</v>
          </cell>
          <cell r="F2" t="str">
            <v>D</v>
          </cell>
          <cell r="G2" t="e">
            <v>#NULL!</v>
          </cell>
        </row>
        <row r="3">
          <cell r="C3" t="str">
            <v>CURRENTRATING</v>
          </cell>
          <cell r="D3" t="str">
            <v>Current Rating</v>
          </cell>
          <cell r="E3" t="str">
            <v>$D$14</v>
          </cell>
          <cell r="F3" t="str">
            <v>T20</v>
          </cell>
          <cell r="G3" t="e">
            <v>#NULL!</v>
          </cell>
        </row>
        <row r="4">
          <cell r="C4" t="str">
            <v>SHARESOUTSTANDING</v>
          </cell>
          <cell r="D4" t="str">
            <v>Shares Outstanding (MM)</v>
          </cell>
          <cell r="E4" t="str">
            <v>$D$19</v>
          </cell>
          <cell r="F4" t="str">
            <v>N</v>
          </cell>
          <cell r="G4" t="e">
            <v>#NULL!</v>
          </cell>
        </row>
        <row r="5">
          <cell r="C5" t="str">
            <v>MARKETCAP</v>
          </cell>
          <cell r="D5" t="str">
            <v>Market Capitalization (MM)</v>
          </cell>
          <cell r="E5" t="str">
            <v>$D$20</v>
          </cell>
          <cell r="F5" t="str">
            <v>N</v>
          </cell>
          <cell r="G5" t="e">
            <v>#NULL!</v>
          </cell>
        </row>
        <row r="6">
          <cell r="C6" t="str">
            <v>AVERAGETRADINGVOLUME</v>
          </cell>
          <cell r="D6" t="str">
            <v>Average Trading Volume (000)</v>
          </cell>
          <cell r="E6" t="str">
            <v>$D$21</v>
          </cell>
          <cell r="F6" t="str">
            <v>N</v>
          </cell>
          <cell r="G6" t="e">
            <v>#NULL!</v>
          </cell>
        </row>
        <row r="7">
          <cell r="C7" t="str">
            <v>BOOKVALUEPERSHARE</v>
          </cell>
          <cell r="D7" t="str">
            <v>Book Value/Share</v>
          </cell>
          <cell r="E7" t="str">
            <v>$D$22</v>
          </cell>
          <cell r="F7" t="str">
            <v>N</v>
          </cell>
          <cell r="G7" t="e">
            <v>#NULL!</v>
          </cell>
        </row>
        <row r="8">
          <cell r="C8" t="str">
            <v>ROAE</v>
          </cell>
          <cell r="D8" t="str">
            <v>current year's estimated ROE/ROAE</v>
          </cell>
          <cell r="F8" t="str">
            <v>N</v>
          </cell>
        </row>
        <row r="9">
          <cell r="C9" t="str">
            <v>ROIC</v>
          </cell>
          <cell r="D9" t="str">
            <v>current year's estimated ROIC</v>
          </cell>
          <cell r="F9" t="str">
            <v>N</v>
          </cell>
        </row>
        <row r="10">
          <cell r="C10" t="str">
            <v>NETCASHPERSHARE</v>
          </cell>
          <cell r="D10" t="str">
            <v>Net Cash/Share</v>
          </cell>
          <cell r="E10" t="str">
            <v>$D$25</v>
          </cell>
          <cell r="F10" t="str">
            <v>N</v>
          </cell>
          <cell r="G10" t="e">
            <v>#NULL!</v>
          </cell>
        </row>
        <row r="11">
          <cell r="C11" t="str">
            <v>SECULARGROWTHRATE</v>
          </cell>
          <cell r="D11" t="str">
            <v>Secular Growth Rate</v>
          </cell>
          <cell r="F11" t="str">
            <v>T</v>
          </cell>
        </row>
        <row r="12">
          <cell r="C12" t="str">
            <v>EARNINGS</v>
          </cell>
          <cell r="D12" t="str">
            <v>Earnings/FFO/EBITDA region including year headings</v>
          </cell>
          <cell r="E12" t="str">
            <v>$F$15:$J$21</v>
          </cell>
          <cell r="G12" t="e">
            <v>#NULL!</v>
          </cell>
        </row>
        <row r="13">
          <cell r="C13" t="str">
            <v>REVENUES</v>
          </cell>
          <cell r="D13" t="str">
            <v>Revenues region including year headings</v>
          </cell>
          <cell r="E13" t="str">
            <v>$F$22:$J$28</v>
          </cell>
          <cell r="G13" t="e">
            <v>#NULL!</v>
          </cell>
        </row>
        <row r="15">
          <cell r="C15" t="str">
            <v>Y1E</v>
          </cell>
          <cell r="D15" t="str">
            <v>Earnings Year 1</v>
          </cell>
          <cell r="E15" t="str">
            <v>$G$15</v>
          </cell>
          <cell r="F15" t="str">
            <v>Y</v>
          </cell>
          <cell r="G15" t="e">
            <v>#NULL!</v>
          </cell>
        </row>
        <row r="16">
          <cell r="C16" t="str">
            <v>Y2E</v>
          </cell>
          <cell r="D16" t="str">
            <v>Earnings Year 2</v>
          </cell>
          <cell r="E16" t="str">
            <v>$H$15</v>
          </cell>
          <cell r="F16" t="str">
            <v>Y</v>
          </cell>
          <cell r="G16" t="e">
            <v>#NULL!</v>
          </cell>
        </row>
        <row r="17">
          <cell r="C17" t="str">
            <v>Y3E</v>
          </cell>
          <cell r="D17" t="str">
            <v>Earnings Year 3</v>
          </cell>
          <cell r="E17" t="str">
            <v>$J$15</v>
          </cell>
          <cell r="F17" t="str">
            <v>Y</v>
          </cell>
          <cell r="G17" t="e">
            <v>#NULL!</v>
          </cell>
        </row>
        <row r="18">
          <cell r="C18" t="str">
            <v>Y4E</v>
          </cell>
          <cell r="D18" t="str">
            <v>Earnings Year 4</v>
          </cell>
          <cell r="F18" t="str">
            <v>Y</v>
          </cell>
        </row>
        <row r="19">
          <cell r="C19" t="str">
            <v>Y1Q1E</v>
          </cell>
          <cell r="D19" t="str">
            <v>Year 1 Quarter 1 Earnings</v>
          </cell>
          <cell r="E19" t="str">
            <v>$G$16</v>
          </cell>
          <cell r="F19" t="str">
            <v>N</v>
          </cell>
          <cell r="G19" t="e">
            <v>#NULL!</v>
          </cell>
        </row>
        <row r="20">
          <cell r="C20" t="str">
            <v>Y1Q2E</v>
          </cell>
          <cell r="D20" t="str">
            <v>Year 1 Quarter 2 Earnings</v>
          </cell>
          <cell r="E20" t="str">
            <v>$G$17</v>
          </cell>
          <cell r="F20" t="str">
            <v>N</v>
          </cell>
          <cell r="G20" t="e">
            <v>#NULL!</v>
          </cell>
        </row>
        <row r="21">
          <cell r="C21" t="str">
            <v>Y1Q3E</v>
          </cell>
          <cell r="D21" t="str">
            <v>Year 1 Quarter 3 Earnings</v>
          </cell>
          <cell r="E21" t="str">
            <v>$G$18</v>
          </cell>
          <cell r="F21" t="str">
            <v>N</v>
          </cell>
          <cell r="G21" t="e">
            <v>#NULL!</v>
          </cell>
        </row>
        <row r="22">
          <cell r="C22" t="str">
            <v>Y1Q4E</v>
          </cell>
          <cell r="D22" t="str">
            <v>Year 1 Quarter 4 Earnings</v>
          </cell>
          <cell r="E22" t="str">
            <v>$G$19</v>
          </cell>
          <cell r="F22" t="str">
            <v>N</v>
          </cell>
          <cell r="G22" t="e">
            <v>#NULL!</v>
          </cell>
        </row>
        <row r="23">
          <cell r="C23" t="str">
            <v>Y1YearE</v>
          </cell>
          <cell r="D23" t="str">
            <v>Year 1 Earnings</v>
          </cell>
          <cell r="E23" t="str">
            <v>$G$20</v>
          </cell>
          <cell r="F23" t="str">
            <v>N</v>
          </cell>
          <cell r="G23" t="e">
            <v>#NULL!</v>
          </cell>
        </row>
        <row r="24">
          <cell r="C24" t="str">
            <v>Y1PEE</v>
          </cell>
          <cell r="D24" t="str">
            <v>Year 1 P/E</v>
          </cell>
          <cell r="E24" t="str">
            <v>$G$21</v>
          </cell>
          <cell r="F24" t="str">
            <v>N</v>
          </cell>
          <cell r="G24" t="e">
            <v>#NULL!</v>
          </cell>
        </row>
        <row r="25">
          <cell r="C25" t="str">
            <v>Y1CYE</v>
          </cell>
          <cell r="D25" t="str">
            <v>Year 1 CY</v>
          </cell>
          <cell r="F25" t="str">
            <v>N</v>
          </cell>
        </row>
        <row r="26">
          <cell r="C26" t="str">
            <v>Y1CYPEE</v>
          </cell>
          <cell r="D26" t="str">
            <v>Year 1 CY P/E</v>
          </cell>
          <cell r="F26" t="str">
            <v>N</v>
          </cell>
        </row>
        <row r="27">
          <cell r="C27" t="str">
            <v>Y2Q1E</v>
          </cell>
          <cell r="D27" t="str">
            <v>Year 2 Quarter 1 Earnings</v>
          </cell>
          <cell r="E27" t="str">
            <v>$H$16</v>
          </cell>
          <cell r="F27" t="str">
            <v>N</v>
          </cell>
          <cell r="G27" t="e">
            <v>#NULL!</v>
          </cell>
        </row>
        <row r="28">
          <cell r="C28" t="str">
            <v>Y2Q2E</v>
          </cell>
          <cell r="D28" t="str">
            <v>Year 2 Quarter 2 Earnings</v>
          </cell>
          <cell r="E28" t="str">
            <v>$H$17</v>
          </cell>
          <cell r="F28" t="str">
            <v>N</v>
          </cell>
          <cell r="G28" t="e">
            <v>#NULL!</v>
          </cell>
        </row>
        <row r="29">
          <cell r="C29" t="str">
            <v>Y2Q3E</v>
          </cell>
          <cell r="D29" t="str">
            <v>Year 2 Quarter 3 Earnings</v>
          </cell>
          <cell r="E29" t="str">
            <v>$H$18</v>
          </cell>
          <cell r="F29" t="str">
            <v>N</v>
          </cell>
          <cell r="G29" t="e">
            <v>#NULL!</v>
          </cell>
        </row>
        <row r="30">
          <cell r="C30" t="str">
            <v>Y2Q4E</v>
          </cell>
          <cell r="D30" t="str">
            <v>Year 2 Quarter 4 Earnings</v>
          </cell>
          <cell r="E30" t="str">
            <v>$H$19</v>
          </cell>
          <cell r="F30" t="str">
            <v>N</v>
          </cell>
          <cell r="G30" t="e">
            <v>#NULL!</v>
          </cell>
        </row>
        <row r="31">
          <cell r="C31" t="str">
            <v>Y2YearE</v>
          </cell>
          <cell r="D31" t="str">
            <v>Year 2 Earnings</v>
          </cell>
          <cell r="E31" t="str">
            <v>$H$20</v>
          </cell>
          <cell r="F31" t="str">
            <v>N</v>
          </cell>
          <cell r="G31" t="e">
            <v>#NULL!</v>
          </cell>
        </row>
        <row r="32">
          <cell r="C32" t="str">
            <v>Y2PEE</v>
          </cell>
          <cell r="D32" t="str">
            <v>Year 2 P/E</v>
          </cell>
          <cell r="E32" t="str">
            <v>$H$21</v>
          </cell>
          <cell r="F32" t="str">
            <v>N</v>
          </cell>
          <cell r="G32" t="e">
            <v>#NULL!</v>
          </cell>
        </row>
        <row r="33">
          <cell r="C33" t="str">
            <v>Y2CYE</v>
          </cell>
          <cell r="D33" t="str">
            <v>Year 2 CY</v>
          </cell>
          <cell r="F33" t="str">
            <v>N</v>
          </cell>
        </row>
        <row r="34">
          <cell r="C34" t="str">
            <v>Y2CYPEE</v>
          </cell>
          <cell r="D34" t="str">
            <v>Year 2 CY P/E</v>
          </cell>
          <cell r="F34" t="str">
            <v>N</v>
          </cell>
        </row>
        <row r="35">
          <cell r="C35" t="str">
            <v>Y3Q1E</v>
          </cell>
          <cell r="D35" t="str">
            <v>Year 3 Quarter 1 Earnings</v>
          </cell>
          <cell r="E35" t="str">
            <v>$J$16</v>
          </cell>
          <cell r="F35" t="str">
            <v>N</v>
          </cell>
          <cell r="G35" t="e">
            <v>#NULL!</v>
          </cell>
        </row>
        <row r="36">
          <cell r="C36" t="str">
            <v>Y3Q2E</v>
          </cell>
          <cell r="D36" t="str">
            <v>Year 3 Quarter 2 Earnings</v>
          </cell>
          <cell r="E36" t="str">
            <v>$J$17</v>
          </cell>
          <cell r="F36" t="str">
            <v>N</v>
          </cell>
          <cell r="G36" t="e">
            <v>#NULL!</v>
          </cell>
        </row>
        <row r="37">
          <cell r="C37" t="str">
            <v>Y3Q3E</v>
          </cell>
          <cell r="D37" t="str">
            <v>Year 3 Quarter 3 Earnings</v>
          </cell>
          <cell r="E37" t="str">
            <v>$J$18</v>
          </cell>
          <cell r="F37" t="str">
            <v>N</v>
          </cell>
          <cell r="G37" t="e">
            <v>#NULL!</v>
          </cell>
        </row>
        <row r="38">
          <cell r="C38" t="str">
            <v>Y3Q4E</v>
          </cell>
          <cell r="D38" t="str">
            <v>Year 3 Quarter 4 Earnings</v>
          </cell>
          <cell r="E38" t="str">
            <v>$J$19</v>
          </cell>
          <cell r="F38" t="str">
            <v>N</v>
          </cell>
          <cell r="G38" t="e">
            <v>#NULL!</v>
          </cell>
        </row>
        <row r="39">
          <cell r="C39" t="str">
            <v>Y3YearE</v>
          </cell>
          <cell r="D39" t="str">
            <v>Year 3 Earnings</v>
          </cell>
          <cell r="E39" t="str">
            <v>$J$20</v>
          </cell>
          <cell r="F39" t="str">
            <v>N</v>
          </cell>
          <cell r="G39" t="e">
            <v>#NULL!</v>
          </cell>
        </row>
        <row r="40">
          <cell r="C40" t="str">
            <v>Y3PEE</v>
          </cell>
          <cell r="D40" t="str">
            <v>Year 3 P/E</v>
          </cell>
          <cell r="E40" t="str">
            <v>$J$21</v>
          </cell>
          <cell r="F40" t="str">
            <v>N</v>
          </cell>
          <cell r="G40" t="e">
            <v>#NULL!</v>
          </cell>
        </row>
        <row r="41">
          <cell r="C41" t="str">
            <v>Y3CYE</v>
          </cell>
          <cell r="D41" t="str">
            <v>Year 3 CY</v>
          </cell>
          <cell r="F41" t="str">
            <v>N</v>
          </cell>
        </row>
        <row r="42">
          <cell r="C42" t="str">
            <v>Y3CYPEE</v>
          </cell>
          <cell r="D42" t="str">
            <v>Year 3 CY P/E</v>
          </cell>
          <cell r="F42" t="str">
            <v>N</v>
          </cell>
        </row>
        <row r="43">
          <cell r="C43" t="str">
            <v>Y4Q1E</v>
          </cell>
          <cell r="D43" t="str">
            <v>Year 4 Quarter 1 Earnings</v>
          </cell>
          <cell r="F43" t="str">
            <v>N</v>
          </cell>
        </row>
        <row r="44">
          <cell r="C44" t="str">
            <v>Y4Q2E</v>
          </cell>
          <cell r="D44" t="str">
            <v>Year 4 Quarter 2 Earnings</v>
          </cell>
          <cell r="F44" t="str">
            <v>N</v>
          </cell>
        </row>
        <row r="45">
          <cell r="C45" t="str">
            <v>Y4Q3E</v>
          </cell>
          <cell r="D45" t="str">
            <v>Year 4 Quarter 3 Earnings</v>
          </cell>
          <cell r="F45" t="str">
            <v>N</v>
          </cell>
        </row>
        <row r="46">
          <cell r="C46" t="str">
            <v>Y4Q4E</v>
          </cell>
          <cell r="D46" t="str">
            <v>Year 4 Quarter 4 Earnings</v>
          </cell>
          <cell r="F46" t="str">
            <v>N</v>
          </cell>
        </row>
        <row r="47">
          <cell r="C47" t="str">
            <v>Y4YearE</v>
          </cell>
          <cell r="D47" t="str">
            <v>Year 4 Earnings</v>
          </cell>
          <cell r="F47" t="str">
            <v>N</v>
          </cell>
        </row>
        <row r="48">
          <cell r="C48" t="str">
            <v>Y4PEE</v>
          </cell>
          <cell r="D48" t="str">
            <v>Year 4 P/E</v>
          </cell>
          <cell r="F48" t="str">
            <v>N</v>
          </cell>
        </row>
        <row r="49">
          <cell r="C49" t="str">
            <v>Y4CYE</v>
          </cell>
          <cell r="D49" t="str">
            <v>Year 4 CY</v>
          </cell>
          <cell r="F49" t="str">
            <v>N</v>
          </cell>
        </row>
        <row r="50">
          <cell r="C50" t="str">
            <v>Y4CYPEE</v>
          </cell>
          <cell r="D50" t="str">
            <v>Year 4 CY P/E</v>
          </cell>
          <cell r="F50" t="str">
            <v>N</v>
          </cell>
        </row>
        <row r="51">
          <cell r="C51" t="str">
            <v>Y1R</v>
          </cell>
          <cell r="D51" t="str">
            <v>Revenues Year 1</v>
          </cell>
          <cell r="E51" t="str">
            <v>$G$22</v>
          </cell>
          <cell r="F51" t="str">
            <v>Y</v>
          </cell>
          <cell r="G51" t="e">
            <v>#NULL!</v>
          </cell>
        </row>
        <row r="52">
          <cell r="C52" t="str">
            <v>Y2R</v>
          </cell>
          <cell r="D52" t="str">
            <v>Revenues Year 2</v>
          </cell>
          <cell r="E52" t="str">
            <v>$H$22</v>
          </cell>
          <cell r="F52" t="str">
            <v>Y</v>
          </cell>
          <cell r="G52" t="e">
            <v>#NULL!</v>
          </cell>
        </row>
        <row r="53">
          <cell r="C53" t="str">
            <v>Y3R</v>
          </cell>
          <cell r="D53" t="str">
            <v>Revenues Year 3</v>
          </cell>
          <cell r="E53" t="str">
            <v>$J$22</v>
          </cell>
          <cell r="F53" t="str">
            <v>Y</v>
          </cell>
          <cell r="G53" t="e">
            <v>#NULL!</v>
          </cell>
        </row>
        <row r="54">
          <cell r="C54" t="str">
            <v>Y4R</v>
          </cell>
          <cell r="D54" t="str">
            <v>Revenues Year 4</v>
          </cell>
          <cell r="F54" t="str">
            <v>Y</v>
          </cell>
        </row>
        <row r="55">
          <cell r="C55" t="str">
            <v>Y1Q1R</v>
          </cell>
          <cell r="D55" t="str">
            <v>Year 1 Quarter 1 Revenue</v>
          </cell>
          <cell r="E55" t="str">
            <v>$G$23</v>
          </cell>
          <cell r="F55" t="str">
            <v>N</v>
          </cell>
          <cell r="G55" t="e">
            <v>#NULL!</v>
          </cell>
        </row>
        <row r="56">
          <cell r="C56" t="str">
            <v>Y1Q2R</v>
          </cell>
          <cell r="D56" t="str">
            <v>Year 1 Quarter 2 Revenue</v>
          </cell>
          <cell r="E56" t="str">
            <v>$G$24</v>
          </cell>
          <cell r="F56" t="str">
            <v>N</v>
          </cell>
          <cell r="G56" t="e">
            <v>#NULL!</v>
          </cell>
        </row>
        <row r="57">
          <cell r="C57" t="str">
            <v>Y1Q3R</v>
          </cell>
          <cell r="D57" t="str">
            <v>Year 1 Quarter 3 Revenue</v>
          </cell>
          <cell r="E57" t="str">
            <v>$G$25</v>
          </cell>
          <cell r="F57" t="str">
            <v>N</v>
          </cell>
          <cell r="G57" t="e">
            <v>#NULL!</v>
          </cell>
        </row>
        <row r="58">
          <cell r="C58" t="str">
            <v>Y1Q4R</v>
          </cell>
          <cell r="D58" t="str">
            <v>Year 1 Quarter 4 Revenue</v>
          </cell>
          <cell r="E58" t="str">
            <v>$G$26</v>
          </cell>
          <cell r="F58" t="str">
            <v>N</v>
          </cell>
          <cell r="G58" t="e">
            <v>#NULL!</v>
          </cell>
        </row>
        <row r="59">
          <cell r="C59" t="str">
            <v>Y1YearR</v>
          </cell>
          <cell r="D59" t="str">
            <v>Year 1 Revenue</v>
          </cell>
          <cell r="E59" t="str">
            <v>$G$27</v>
          </cell>
          <cell r="F59" t="str">
            <v>N</v>
          </cell>
          <cell r="G59" t="e">
            <v>#NULL!</v>
          </cell>
        </row>
        <row r="60">
          <cell r="C60" t="str">
            <v>Y1Cap/RevR</v>
          </cell>
          <cell r="D60" t="str">
            <v>Year 1 Cap/Revs</v>
          </cell>
          <cell r="E60" t="str">
            <v>$G$28</v>
          </cell>
          <cell r="F60" t="str">
            <v>N</v>
          </cell>
          <cell r="G60" t="e">
            <v>#NULL!</v>
          </cell>
        </row>
        <row r="61">
          <cell r="C61" t="str">
            <v>Y2Q1R</v>
          </cell>
          <cell r="D61" t="str">
            <v>Year 2 Quarter 1 Revenue</v>
          </cell>
          <cell r="E61" t="str">
            <v>$H$23</v>
          </cell>
          <cell r="F61" t="str">
            <v>N</v>
          </cell>
          <cell r="G61" t="e">
            <v>#NULL!</v>
          </cell>
        </row>
        <row r="62">
          <cell r="C62" t="str">
            <v>Y2Q2R</v>
          </cell>
          <cell r="D62" t="str">
            <v>Year 2 Quarter 2 Revenue</v>
          </cell>
          <cell r="E62" t="str">
            <v>$H$24</v>
          </cell>
          <cell r="F62" t="str">
            <v>N</v>
          </cell>
          <cell r="G62" t="e">
            <v>#NULL!</v>
          </cell>
        </row>
        <row r="63">
          <cell r="C63" t="str">
            <v>Y2Q3R</v>
          </cell>
          <cell r="D63" t="str">
            <v>Year 2 Quarter 3 Revenue</v>
          </cell>
          <cell r="E63" t="str">
            <v>$H$25</v>
          </cell>
          <cell r="F63" t="str">
            <v>N</v>
          </cell>
          <cell r="G63" t="e">
            <v>#NULL!</v>
          </cell>
        </row>
        <row r="64">
          <cell r="C64" t="str">
            <v>Y2Q4R</v>
          </cell>
          <cell r="D64" t="str">
            <v>Year 2 Quarter 4 Revenue</v>
          </cell>
          <cell r="E64" t="str">
            <v>$H$26</v>
          </cell>
          <cell r="F64" t="str">
            <v>N</v>
          </cell>
          <cell r="G64" t="e">
            <v>#NULL!</v>
          </cell>
        </row>
        <row r="65">
          <cell r="C65" t="str">
            <v>Y2YearR</v>
          </cell>
          <cell r="D65" t="str">
            <v>Year 2 Revenue</v>
          </cell>
          <cell r="E65" t="str">
            <v>$H$27</v>
          </cell>
          <cell r="F65" t="str">
            <v>N</v>
          </cell>
          <cell r="G65" t="e">
            <v>#NULL!</v>
          </cell>
        </row>
        <row r="66">
          <cell r="C66" t="str">
            <v>Y2Cap/RevR</v>
          </cell>
          <cell r="D66" t="str">
            <v>Year 2 Cap/Revs</v>
          </cell>
          <cell r="E66" t="str">
            <v>$H$28</v>
          </cell>
          <cell r="F66" t="str">
            <v>N</v>
          </cell>
          <cell r="G66" t="e">
            <v>#NULL!</v>
          </cell>
        </row>
        <row r="67">
          <cell r="C67" t="str">
            <v>Y3Q1R</v>
          </cell>
          <cell r="D67" t="str">
            <v>Year 3 Quarter 1 Revenue</v>
          </cell>
          <cell r="E67" t="str">
            <v>$J$23</v>
          </cell>
          <cell r="F67" t="str">
            <v>N</v>
          </cell>
          <cell r="G67" t="e">
            <v>#NULL!</v>
          </cell>
        </row>
        <row r="68">
          <cell r="C68" t="str">
            <v>Y3Q2R</v>
          </cell>
          <cell r="D68" t="str">
            <v>Year 3 Quarter 2 Revenue</v>
          </cell>
          <cell r="E68" t="str">
            <v>$J$24</v>
          </cell>
          <cell r="F68" t="str">
            <v>N</v>
          </cell>
          <cell r="G68" t="e">
            <v>#NULL!</v>
          </cell>
        </row>
        <row r="69">
          <cell r="C69" t="str">
            <v>Y3Q3R</v>
          </cell>
          <cell r="D69" t="str">
            <v>Year 3 Quarter 3 Revenue</v>
          </cell>
          <cell r="E69" t="str">
            <v>$J$25</v>
          </cell>
          <cell r="F69" t="str">
            <v>N</v>
          </cell>
          <cell r="G69" t="e">
            <v>#NULL!</v>
          </cell>
        </row>
        <row r="70">
          <cell r="C70" t="str">
            <v>Y3Q4R</v>
          </cell>
          <cell r="D70" t="str">
            <v>Year 3 Quarter 4 Revenue</v>
          </cell>
          <cell r="E70" t="str">
            <v>$J$26</v>
          </cell>
          <cell r="F70" t="str">
            <v>N</v>
          </cell>
          <cell r="G70" t="e">
            <v>#NULL!</v>
          </cell>
        </row>
        <row r="71">
          <cell r="C71" t="str">
            <v>Y3YearR</v>
          </cell>
          <cell r="D71" t="str">
            <v>Year 3 Revenue</v>
          </cell>
          <cell r="E71" t="str">
            <v>$J$27</v>
          </cell>
          <cell r="F71" t="str">
            <v>N</v>
          </cell>
          <cell r="G71" t="e">
            <v>#NULL!</v>
          </cell>
        </row>
        <row r="72">
          <cell r="C72" t="str">
            <v>Y3Cap/RevR</v>
          </cell>
          <cell r="D72" t="str">
            <v>Year 3 Cap/Revs</v>
          </cell>
          <cell r="E72" t="str">
            <v>$J$28</v>
          </cell>
          <cell r="F72" t="str">
            <v>N</v>
          </cell>
          <cell r="G72" t="e">
            <v>#NULL!</v>
          </cell>
        </row>
        <row r="73">
          <cell r="C73" t="str">
            <v>Y4Q1R</v>
          </cell>
          <cell r="D73" t="str">
            <v>Year 4 Quarter 1 Revenue</v>
          </cell>
          <cell r="F73" t="str">
            <v>N</v>
          </cell>
        </row>
        <row r="74">
          <cell r="C74" t="str">
            <v>Y4Q2R</v>
          </cell>
          <cell r="D74" t="str">
            <v>Year 4 Quarter 2 Revenue</v>
          </cell>
          <cell r="F74" t="str">
            <v>N</v>
          </cell>
        </row>
        <row r="75">
          <cell r="C75" t="str">
            <v>Y4Q3R</v>
          </cell>
          <cell r="D75" t="str">
            <v>Year 4 Quarter 3 Revenue</v>
          </cell>
          <cell r="F75" t="str">
            <v>N</v>
          </cell>
        </row>
        <row r="76">
          <cell r="C76" t="str">
            <v>Y4Q4R</v>
          </cell>
          <cell r="D76" t="str">
            <v>Year 4 Quarter 4 Revenue</v>
          </cell>
          <cell r="F76" t="str">
            <v>N</v>
          </cell>
        </row>
        <row r="77">
          <cell r="C77" t="str">
            <v>Y4YearR</v>
          </cell>
          <cell r="D77" t="str">
            <v>Year 4 Revenue</v>
          </cell>
          <cell r="F77" t="str">
            <v>N</v>
          </cell>
        </row>
        <row r="78">
          <cell r="C78" t="str">
            <v>Y4Cap/RevR</v>
          </cell>
          <cell r="D78" t="str">
            <v>Year 4 Cap/Revs</v>
          </cell>
          <cell r="F78" t="str">
            <v>N</v>
          </cell>
        </row>
        <row r="80">
          <cell r="C80" t="str">
            <v>xCONTENTANALYSIS</v>
          </cell>
          <cell r="D80" t="str">
            <v>Analysis</v>
          </cell>
          <cell r="F80" t="str">
            <v>B</v>
          </cell>
          <cell r="G80" t="b">
            <v>0</v>
          </cell>
        </row>
        <row r="81">
          <cell r="C81" t="str">
            <v>xCONTENTESTIMATECHANGE</v>
          </cell>
          <cell r="D81" t="str">
            <v>Estimate Change</v>
          </cell>
          <cell r="F81" t="str">
            <v>B</v>
          </cell>
          <cell r="G81" t="b">
            <v>0</v>
          </cell>
        </row>
        <row r="82">
          <cell r="C82" t="str">
            <v>xCONTENTRATINGCHANGE</v>
          </cell>
          <cell r="D82" t="str">
            <v>Rating Change</v>
          </cell>
          <cell r="F82" t="str">
            <v>B</v>
          </cell>
          <cell r="G82" t="b">
            <v>0</v>
          </cell>
        </row>
        <row r="83">
          <cell r="C83" t="str">
            <v>xCONTENTUPDATE</v>
          </cell>
          <cell r="D83" t="str">
            <v>Update</v>
          </cell>
          <cell r="F83" t="str">
            <v>B</v>
          </cell>
          <cell r="G83" t="b">
            <v>0</v>
          </cell>
        </row>
        <row r="84">
          <cell r="C84" t="str">
            <v>xCONTENTINITIATE</v>
          </cell>
          <cell r="D84" t="str">
            <v>Initiate</v>
          </cell>
          <cell r="F84" t="str">
            <v>B</v>
          </cell>
          <cell r="G84" t="b">
            <v>0</v>
          </cell>
        </row>
        <row r="85">
          <cell r="C85" t="str">
            <v>xCONTENTECONOMIC</v>
          </cell>
          <cell r="D85" t="str">
            <v>Economic</v>
          </cell>
          <cell r="F85" t="str">
            <v>B</v>
          </cell>
          <cell r="G85" t="b">
            <v>0</v>
          </cell>
        </row>
        <row r="86">
          <cell r="C86" t="str">
            <v>xCONTENTPRCOMMENTS</v>
          </cell>
          <cell r="D86" t="str">
            <v>Pre-results Comments</v>
          </cell>
          <cell r="F86" t="str">
            <v>B</v>
          </cell>
          <cell r="G86" t="b">
            <v>0</v>
          </cell>
        </row>
        <row r="87">
          <cell r="C87" t="str">
            <v>xCONTENTOPERATINGRES</v>
          </cell>
          <cell r="D87" t="str">
            <v>Operating Results</v>
          </cell>
          <cell r="F87" t="str">
            <v>B</v>
          </cell>
          <cell r="G87" t="b">
            <v>0</v>
          </cell>
        </row>
        <row r="88">
          <cell r="C88" t="str">
            <v>xCONTENTINDUSTRYOVERVIEW</v>
          </cell>
          <cell r="D88" t="str">
            <v>Industry Overview</v>
          </cell>
          <cell r="F88" t="str">
            <v>B</v>
          </cell>
          <cell r="G88" t="b">
            <v>0</v>
          </cell>
        </row>
        <row r="89">
          <cell r="C89" t="str">
            <v>xCONTENTOTHER</v>
          </cell>
          <cell r="D89" t="str">
            <v>Other</v>
          </cell>
          <cell r="F89" t="str">
            <v>B</v>
          </cell>
          <cell r="G89" t="b">
            <v>0</v>
          </cell>
        </row>
        <row r="90">
          <cell r="C90" t="str">
            <v>xNEXTREPORTDATE</v>
          </cell>
          <cell r="D90" t="str">
            <v>Next Expected Report Date</v>
          </cell>
          <cell r="F90" t="str">
            <v>D</v>
          </cell>
        </row>
        <row r="91">
          <cell r="C91" t="str">
            <v>xHEADLINE</v>
          </cell>
          <cell r="D91" t="str">
            <v>Headline</v>
          </cell>
          <cell r="F91" t="str">
            <v>T</v>
          </cell>
        </row>
        <row r="92">
          <cell r="C92" t="str">
            <v>xSYNOPSIS</v>
          </cell>
          <cell r="D92" t="str">
            <v>Synopsis</v>
          </cell>
          <cell r="F92" t="str">
            <v>T</v>
          </cell>
        </row>
        <row r="93">
          <cell r="C93" t="str">
            <v>xOTHERCOMPANIES</v>
          </cell>
          <cell r="D93" t="str">
            <v>Other Companies Mentioned</v>
          </cell>
          <cell r="F93" t="str">
            <v>T</v>
          </cell>
        </row>
        <row r="94">
          <cell r="C94" t="str">
            <v>LASTACTUALYEAR</v>
          </cell>
          <cell r="D94" t="str">
            <v>Last Actual Year</v>
          </cell>
          <cell r="F94" t="str">
            <v>N</v>
          </cell>
          <cell r="G94">
            <v>1</v>
          </cell>
        </row>
        <row r="95">
          <cell r="C95" t="str">
            <v>LASTACTUALQUARTER</v>
          </cell>
          <cell r="D95" t="str">
            <v>Last Actual Quarter</v>
          </cell>
          <cell r="F95" t="str">
            <v>N</v>
          </cell>
          <cell r="G95">
            <v>4</v>
          </cell>
        </row>
        <row r="97">
          <cell r="C97" t="str">
            <v>RESULT</v>
          </cell>
          <cell r="D97" t="str">
            <v>Document Status</v>
          </cell>
          <cell r="F97" t="str">
            <v>N</v>
          </cell>
          <cell r="G97">
            <v>0</v>
          </cell>
          <cell r="J97" t="str">
            <v>quarterly earnings for 2001 and quarterly revenue for 1999, 2001 do not add up to year values</v>
          </cell>
        </row>
        <row r="98">
          <cell r="C98" t="str">
            <v>WIZARDDEFINED</v>
          </cell>
          <cell r="D98" t="str">
            <v>Wizard Defined</v>
          </cell>
          <cell r="F98" t="str">
            <v>D</v>
          </cell>
          <cell r="G98">
            <v>36557</v>
          </cell>
        </row>
        <row r="99">
          <cell r="C99" t="str">
            <v>WIZARDVERSION</v>
          </cell>
          <cell r="D99" t="str">
            <v>Wizard Version</v>
          </cell>
          <cell r="F99" t="str">
            <v>T</v>
          </cell>
          <cell r="G99" t="str">
            <v>Version 1.3a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MTC"/>
      <sheetName val="SEARLE - SALES"/>
      <sheetName val="SEARLE - QTRINC"/>
      <sheetName val="SEARLE-MARG"/>
      <sheetName val="MTC-QTRINC"/>
      <sheetName val="MTC-MARG"/>
      <sheetName val="MTC - IS"/>
      <sheetName val="MTC - MARGIN"/>
      <sheetName val="SEARLE - LOREX"/>
      <sheetName val="SEARLE - NEW PRODS"/>
      <sheetName val="Sheet1"/>
      <sheetName val="IndexInformation"/>
      <sheetName val="Link"/>
      <sheetName val="Chart1"/>
      <sheetName val="P_E2"/>
      <sheetName val="Product Table"/>
      <sheetName val="1997 Sales"/>
      <sheetName val="variance"/>
      <sheetName val="2004 ag Sales"/>
      <sheetName val="1997 ag EBIT"/>
      <sheetName val="2004 ag EBIT"/>
      <sheetName val="Charts"/>
      <sheetName val="MainCode"/>
      <sheetName val="SEARLE - IS"/>
      <sheetName val="SEARLE-MARGIN"/>
    </sheetNames>
    <sheetDataSet>
      <sheetData sheetId="0" refreshError="1"/>
      <sheetData sheetId="1" refreshError="1"/>
      <sheetData sheetId="2" refreshError="1">
        <row r="1">
          <cell r="N1">
            <v>36119.67398240741</v>
          </cell>
          <cell r="U1" t="str">
            <v>Table 10</v>
          </cell>
          <cell r="AD1">
            <v>36119.67398240741</v>
          </cell>
        </row>
        <row r="2">
          <cell r="U2" t="str">
            <v>Monsanto</v>
          </cell>
        </row>
        <row r="3">
          <cell r="U3" t="str">
            <v>Quarterly Sales 1995-2005E</v>
          </cell>
        </row>
        <row r="4">
          <cell r="I4" t="str">
            <v>Women's</v>
          </cell>
          <cell r="K4" t="str">
            <v>Sleep</v>
          </cell>
          <cell r="U4" t="str">
            <v>($ Millions)</v>
          </cell>
        </row>
        <row r="5">
          <cell r="B5" t="str">
            <v>Cardiovascular</v>
          </cell>
          <cell r="I5" t="str">
            <v>Health</v>
          </cell>
          <cell r="K5" t="str">
            <v>Disorder</v>
          </cell>
          <cell r="M5" t="str">
            <v>Arthritis</v>
          </cell>
          <cell r="V5" t="str">
            <v>New Products</v>
          </cell>
          <cell r="AG5" t="str">
            <v>Total</v>
          </cell>
          <cell r="AH5" t="str">
            <v>Royal-</v>
          </cell>
          <cell r="AI5" t="str">
            <v>One-</v>
          </cell>
          <cell r="AJ5" t="str">
            <v>Total</v>
          </cell>
        </row>
        <row r="6">
          <cell r="B6" t="str">
            <v>Calan/</v>
          </cell>
          <cell r="C6" t="str">
            <v>Spirono-</v>
          </cell>
          <cell r="D6" t="str">
            <v>Covera-</v>
          </cell>
          <cell r="F6" t="str">
            <v>Other</v>
          </cell>
          <cell r="P6" t="str">
            <v>Other</v>
          </cell>
          <cell r="Q6" t="str">
            <v>Total</v>
          </cell>
          <cell r="S6" t="str">
            <v>Other</v>
          </cell>
          <cell r="V6" t="str">
            <v>Xemilo-</v>
          </cell>
          <cell r="W6" t="str">
            <v>Orbo</v>
          </cell>
          <cell r="X6" t="str">
            <v>Eplere-</v>
          </cell>
          <cell r="Y6" t="str">
            <v>Tifa-</v>
          </cell>
          <cell r="AA6" t="str">
            <v>Dani-</v>
          </cell>
          <cell r="AB6" t="str">
            <v>Progeni-</v>
          </cell>
          <cell r="AC6" t="str">
            <v>Myelo-</v>
          </cell>
          <cell r="AD6" t="str">
            <v>Promega-</v>
          </cell>
          <cell r="AG6" t="str">
            <v>Product</v>
          </cell>
          <cell r="AH6" t="str">
            <v xml:space="preserve">ties/  </v>
          </cell>
          <cell r="AI6" t="str">
            <v>time</v>
          </cell>
          <cell r="AJ6" t="str">
            <v>Searle</v>
          </cell>
        </row>
        <row r="7">
          <cell r="B7" t="str">
            <v>Verapamil</v>
          </cell>
          <cell r="C7" t="str">
            <v>lactone</v>
          </cell>
          <cell r="D7" t="str">
            <v>HS</v>
          </cell>
          <cell r="E7" t="str">
            <v>Kerlone</v>
          </cell>
          <cell r="F7" t="str">
            <v>Cardio</v>
          </cell>
          <cell r="G7" t="str">
            <v>Total</v>
          </cell>
          <cell r="I7" t="str">
            <v xml:space="preserve">(a) </v>
          </cell>
          <cell r="K7" t="str">
            <v>Ambien</v>
          </cell>
          <cell r="M7" t="str">
            <v>Daypro</v>
          </cell>
          <cell r="N7" t="str">
            <v>Cytotec</v>
          </cell>
          <cell r="O7" t="str">
            <v>Arthrotec</v>
          </cell>
          <cell r="P7" t="str">
            <v>Arthritis</v>
          </cell>
          <cell r="Q7" t="str">
            <v>Arthritis</v>
          </cell>
          <cell r="S7" t="str">
            <v>(b)</v>
          </cell>
          <cell r="V7" t="str">
            <v>fiban</v>
          </cell>
          <cell r="W7" t="str">
            <v>fiban</v>
          </cell>
          <cell r="X7" t="str">
            <v>none</v>
          </cell>
          <cell r="Y7" t="str">
            <v>cogin</v>
          </cell>
          <cell r="Z7" t="str">
            <v>Celebra</v>
          </cell>
          <cell r="AA7" t="str">
            <v>plastin</v>
          </cell>
          <cell r="AB7" t="str">
            <v>poetin</v>
          </cell>
          <cell r="AC7" t="str">
            <v>poetin</v>
          </cell>
          <cell r="AD7" t="str">
            <v>poetin</v>
          </cell>
          <cell r="AE7" t="str">
            <v>Other</v>
          </cell>
          <cell r="AF7" t="str">
            <v>Total</v>
          </cell>
          <cell r="AG7" t="str">
            <v>Sales</v>
          </cell>
          <cell r="AH7" t="str">
            <v xml:space="preserve">Fees  </v>
          </cell>
          <cell r="AI7" t="str">
            <v>Items</v>
          </cell>
          <cell r="AJ7" t="str">
            <v>Revs.</v>
          </cell>
        </row>
        <row r="9">
          <cell r="U9" t="str">
            <v>1995</v>
          </cell>
        </row>
        <row r="10">
          <cell r="B10">
            <v>74</v>
          </cell>
          <cell r="C10">
            <v>54</v>
          </cell>
          <cell r="D10">
            <v>0</v>
          </cell>
          <cell r="E10">
            <v>3</v>
          </cell>
          <cell r="F10">
            <v>16</v>
          </cell>
          <cell r="G10">
            <v>147</v>
          </cell>
          <cell r="I10">
            <v>30</v>
          </cell>
          <cell r="K10">
            <v>43</v>
          </cell>
          <cell r="M10">
            <v>43</v>
          </cell>
          <cell r="N10">
            <v>38</v>
          </cell>
          <cell r="O10">
            <v>9</v>
          </cell>
          <cell r="P10">
            <v>4</v>
          </cell>
          <cell r="Q10">
            <v>94</v>
          </cell>
          <cell r="S10">
            <v>0</v>
          </cell>
          <cell r="U10" t="str">
            <v>1Q</v>
          </cell>
          <cell r="V10">
            <v>0</v>
          </cell>
          <cell r="W10">
            <v>0</v>
          </cell>
          <cell r="X10">
            <v>0</v>
          </cell>
          <cell r="Y10">
            <v>0</v>
          </cell>
          <cell r="Z10">
            <v>0</v>
          </cell>
          <cell r="AA10">
            <v>0</v>
          </cell>
          <cell r="AB10">
            <v>0</v>
          </cell>
          <cell r="AC10">
            <v>0</v>
          </cell>
          <cell r="AD10">
            <v>0</v>
          </cell>
          <cell r="AE10">
            <v>0</v>
          </cell>
          <cell r="AF10">
            <v>0</v>
          </cell>
          <cell r="AG10">
            <v>386</v>
          </cell>
          <cell r="AH10">
            <v>0</v>
          </cell>
          <cell r="AI10">
            <v>0</v>
          </cell>
          <cell r="AJ10">
            <v>386</v>
          </cell>
        </row>
        <row r="11">
          <cell r="B11">
            <v>42</v>
          </cell>
          <cell r="C11">
            <v>64</v>
          </cell>
          <cell r="D11">
            <v>0</v>
          </cell>
          <cell r="E11">
            <v>3</v>
          </cell>
          <cell r="F11">
            <v>17</v>
          </cell>
          <cell r="G11">
            <v>126</v>
          </cell>
          <cell r="I11">
            <v>27</v>
          </cell>
          <cell r="K11">
            <v>52</v>
          </cell>
          <cell r="M11">
            <v>56</v>
          </cell>
          <cell r="N11">
            <v>39</v>
          </cell>
          <cell r="O11">
            <v>12</v>
          </cell>
          <cell r="P11">
            <v>4</v>
          </cell>
          <cell r="Q11">
            <v>111</v>
          </cell>
          <cell r="S11">
            <v>0</v>
          </cell>
          <cell r="U11" t="str">
            <v>2Q</v>
          </cell>
          <cell r="V11">
            <v>0</v>
          </cell>
          <cell r="W11">
            <v>0</v>
          </cell>
          <cell r="X11">
            <v>0</v>
          </cell>
          <cell r="Y11">
            <v>0</v>
          </cell>
          <cell r="Z11">
            <v>0</v>
          </cell>
          <cell r="AA11">
            <v>0</v>
          </cell>
          <cell r="AB11">
            <v>0</v>
          </cell>
          <cell r="AC11">
            <v>0</v>
          </cell>
          <cell r="AD11">
            <v>0</v>
          </cell>
          <cell r="AE11">
            <v>0</v>
          </cell>
          <cell r="AF11">
            <v>0</v>
          </cell>
          <cell r="AG11">
            <v>402</v>
          </cell>
          <cell r="AH11">
            <v>0</v>
          </cell>
          <cell r="AI11">
            <v>0</v>
          </cell>
          <cell r="AJ11">
            <v>402</v>
          </cell>
        </row>
        <row r="12">
          <cell r="B12">
            <v>72</v>
          </cell>
          <cell r="C12">
            <v>61</v>
          </cell>
          <cell r="D12">
            <v>0</v>
          </cell>
          <cell r="E12">
            <v>3</v>
          </cell>
          <cell r="F12">
            <v>17</v>
          </cell>
          <cell r="G12">
            <v>153</v>
          </cell>
          <cell r="I12">
            <v>40</v>
          </cell>
          <cell r="K12">
            <v>44</v>
          </cell>
          <cell r="M12">
            <v>62</v>
          </cell>
          <cell r="N12">
            <v>43</v>
          </cell>
          <cell r="O12">
            <v>12</v>
          </cell>
          <cell r="P12">
            <v>6</v>
          </cell>
          <cell r="Q12">
            <v>123</v>
          </cell>
          <cell r="S12">
            <v>0</v>
          </cell>
          <cell r="U12" t="str">
            <v>3Q</v>
          </cell>
          <cell r="V12">
            <v>0</v>
          </cell>
          <cell r="W12">
            <v>0</v>
          </cell>
          <cell r="X12">
            <v>0</v>
          </cell>
          <cell r="Y12">
            <v>0</v>
          </cell>
          <cell r="Z12">
            <v>0</v>
          </cell>
          <cell r="AA12">
            <v>0</v>
          </cell>
          <cell r="AB12">
            <v>0</v>
          </cell>
          <cell r="AC12">
            <v>0</v>
          </cell>
          <cell r="AD12">
            <v>0</v>
          </cell>
          <cell r="AE12">
            <v>0</v>
          </cell>
          <cell r="AF12">
            <v>0</v>
          </cell>
          <cell r="AG12">
            <v>430</v>
          </cell>
          <cell r="AH12">
            <v>5</v>
          </cell>
          <cell r="AI12">
            <v>0</v>
          </cell>
          <cell r="AJ12">
            <v>435</v>
          </cell>
        </row>
        <row r="13">
          <cell r="B13">
            <v>71</v>
          </cell>
          <cell r="C13">
            <v>58</v>
          </cell>
          <cell r="D13">
            <v>0</v>
          </cell>
          <cell r="E13">
            <v>3</v>
          </cell>
          <cell r="F13">
            <v>17</v>
          </cell>
          <cell r="G13">
            <v>149</v>
          </cell>
          <cell r="I13">
            <v>56</v>
          </cell>
          <cell r="K13">
            <v>55</v>
          </cell>
          <cell r="M13">
            <v>73</v>
          </cell>
          <cell r="N13">
            <v>49</v>
          </cell>
          <cell r="O13">
            <v>17</v>
          </cell>
          <cell r="P13">
            <v>7</v>
          </cell>
          <cell r="Q13">
            <v>146</v>
          </cell>
          <cell r="S13">
            <v>0</v>
          </cell>
          <cell r="U13" t="str">
            <v>4Q</v>
          </cell>
          <cell r="V13">
            <v>0</v>
          </cell>
          <cell r="W13">
            <v>0</v>
          </cell>
          <cell r="X13">
            <v>0</v>
          </cell>
          <cell r="Y13">
            <v>0</v>
          </cell>
          <cell r="Z13">
            <v>0</v>
          </cell>
          <cell r="AA13">
            <v>0</v>
          </cell>
          <cell r="AB13">
            <v>0</v>
          </cell>
          <cell r="AC13">
            <v>0</v>
          </cell>
          <cell r="AD13">
            <v>0</v>
          </cell>
          <cell r="AE13">
            <v>0</v>
          </cell>
          <cell r="AF13">
            <v>0</v>
          </cell>
          <cell r="AG13">
            <v>483</v>
          </cell>
          <cell r="AH13">
            <v>5</v>
          </cell>
          <cell r="AI13">
            <v>0</v>
          </cell>
          <cell r="AJ13">
            <v>488</v>
          </cell>
        </row>
        <row r="15">
          <cell r="B15">
            <v>259</v>
          </cell>
          <cell r="C15">
            <v>237</v>
          </cell>
          <cell r="D15">
            <v>0</v>
          </cell>
          <cell r="E15">
            <v>12</v>
          </cell>
          <cell r="F15">
            <v>67</v>
          </cell>
          <cell r="G15">
            <v>575</v>
          </cell>
          <cell r="I15">
            <v>153</v>
          </cell>
          <cell r="K15">
            <v>194</v>
          </cell>
          <cell r="M15">
            <v>234</v>
          </cell>
          <cell r="N15">
            <v>169</v>
          </cell>
          <cell r="O15">
            <v>50</v>
          </cell>
          <cell r="P15">
            <v>21</v>
          </cell>
          <cell r="Q15">
            <v>474</v>
          </cell>
          <cell r="S15">
            <v>305</v>
          </cell>
          <cell r="U15" t="str">
            <v xml:space="preserve">Year </v>
          </cell>
          <cell r="V15">
            <v>0</v>
          </cell>
          <cell r="W15">
            <v>0</v>
          </cell>
          <cell r="X15">
            <v>0</v>
          </cell>
          <cell r="Y15">
            <v>0</v>
          </cell>
          <cell r="Z15">
            <v>0</v>
          </cell>
          <cell r="AA15">
            <v>0</v>
          </cell>
          <cell r="AB15">
            <v>0</v>
          </cell>
          <cell r="AC15">
            <v>0</v>
          </cell>
          <cell r="AD15">
            <v>0</v>
          </cell>
          <cell r="AE15">
            <v>0</v>
          </cell>
          <cell r="AF15">
            <v>0</v>
          </cell>
          <cell r="AG15">
            <v>1701</v>
          </cell>
          <cell r="AH15">
            <v>10</v>
          </cell>
          <cell r="AI15">
            <v>0</v>
          </cell>
          <cell r="AJ15">
            <v>1711</v>
          </cell>
        </row>
        <row r="17">
          <cell r="U17" t="str">
            <v>1996/95</v>
          </cell>
        </row>
        <row r="18">
          <cell r="B18">
            <v>-0.2432432432432432</v>
          </cell>
          <cell r="C18">
            <v>7.4074074074074181E-2</v>
          </cell>
          <cell r="D18" t="str">
            <v>NM</v>
          </cell>
          <cell r="E18">
            <v>0</v>
          </cell>
          <cell r="F18">
            <v>0.125</v>
          </cell>
          <cell r="G18">
            <v>-8.1632653061224469E-2</v>
          </cell>
          <cell r="I18">
            <v>1.1333333333333333</v>
          </cell>
          <cell r="K18">
            <v>0.88372093023255816</v>
          </cell>
          <cell r="M18">
            <v>0.37209302325581395</v>
          </cell>
          <cell r="N18">
            <v>0.10526315789473695</v>
          </cell>
          <cell r="O18">
            <v>0.55555555555555558</v>
          </cell>
          <cell r="P18">
            <v>1</v>
          </cell>
          <cell r="Q18">
            <v>0.3085106382978724</v>
          </cell>
          <cell r="S18" t="str">
            <v>NM</v>
          </cell>
          <cell r="U18" t="str">
            <v>1Q</v>
          </cell>
          <cell r="V18" t="str">
            <v>NM</v>
          </cell>
          <cell r="W18" t="str">
            <v>NM</v>
          </cell>
          <cell r="X18" t="str">
            <v>NM</v>
          </cell>
          <cell r="Y18" t="str">
            <v>NM</v>
          </cell>
          <cell r="Z18" t="str">
            <v>NM</v>
          </cell>
          <cell r="AA18" t="str">
            <v>NM</v>
          </cell>
          <cell r="AB18" t="str">
            <v>NM</v>
          </cell>
          <cell r="AC18" t="str">
            <v>NM</v>
          </cell>
          <cell r="AD18" t="str">
            <v>NM</v>
          </cell>
          <cell r="AE18" t="str">
            <v>NM</v>
          </cell>
          <cell r="AF18" t="str">
            <v>NM</v>
          </cell>
          <cell r="AG18">
            <v>0.23575129533678751</v>
          </cell>
          <cell r="AH18" t="str">
            <v>NM</v>
          </cell>
          <cell r="AI18" t="str">
            <v>NM</v>
          </cell>
          <cell r="AJ18">
            <v>0.23575129533678751</v>
          </cell>
        </row>
        <row r="19">
          <cell r="B19">
            <v>2.3809523809523725E-2</v>
          </cell>
          <cell r="C19">
            <v>-0.109375</v>
          </cell>
          <cell r="D19" t="str">
            <v>NM</v>
          </cell>
          <cell r="E19">
            <v>0</v>
          </cell>
          <cell r="F19">
            <v>0</v>
          </cell>
          <cell r="G19">
            <v>8.7301587301587213E-2</v>
          </cell>
          <cell r="I19">
            <v>1.1111111111111112</v>
          </cell>
          <cell r="K19">
            <v>-9.6153846153846145E-2</v>
          </cell>
          <cell r="M19">
            <v>7.1428571428571397E-2</v>
          </cell>
          <cell r="N19">
            <v>2.564102564102555E-2</v>
          </cell>
          <cell r="O19">
            <v>0.58333333333333326</v>
          </cell>
          <cell r="P19">
            <v>0.75</v>
          </cell>
          <cell r="Q19">
            <v>0.13513513513513509</v>
          </cell>
          <cell r="S19" t="str">
            <v>NM</v>
          </cell>
          <cell r="U19" t="str">
            <v>2Q</v>
          </cell>
          <cell r="V19" t="str">
            <v>NM</v>
          </cell>
          <cell r="W19" t="str">
            <v>NM</v>
          </cell>
          <cell r="X19" t="str">
            <v>NM</v>
          </cell>
          <cell r="Y19" t="str">
            <v>NM</v>
          </cell>
          <cell r="Z19" t="str">
            <v>NM</v>
          </cell>
          <cell r="AA19" t="str">
            <v>NM</v>
          </cell>
          <cell r="AB19" t="str">
            <v>NM</v>
          </cell>
          <cell r="AC19" t="str">
            <v>NM</v>
          </cell>
          <cell r="AD19" t="str">
            <v>NM</v>
          </cell>
          <cell r="AE19" t="str">
            <v>NM</v>
          </cell>
          <cell r="AF19" t="str">
            <v>NM</v>
          </cell>
          <cell r="AG19">
            <v>0.12189054726368154</v>
          </cell>
          <cell r="AH19" t="str">
            <v>NM</v>
          </cell>
          <cell r="AI19" t="str">
            <v>NM</v>
          </cell>
          <cell r="AJ19">
            <v>0.13432835820895517</v>
          </cell>
        </row>
        <row r="20">
          <cell r="B20">
            <v>-0.40277777777777779</v>
          </cell>
          <cell r="C20">
            <v>-6.557377049180324E-2</v>
          </cell>
          <cell r="D20" t="str">
            <v>NM</v>
          </cell>
          <cell r="E20">
            <v>0</v>
          </cell>
          <cell r="F20">
            <v>0.11764705882352944</v>
          </cell>
          <cell r="G20">
            <v>-0.20261437908496727</v>
          </cell>
          <cell r="I20">
            <v>0.39999999999999991</v>
          </cell>
          <cell r="K20">
            <v>0.95454545454545459</v>
          </cell>
          <cell r="M20">
            <v>0.19354838709677424</v>
          </cell>
          <cell r="N20">
            <v>2.3255813953488413E-2</v>
          </cell>
          <cell r="O20">
            <v>0.75</v>
          </cell>
          <cell r="P20">
            <v>0.83333333333333326</v>
          </cell>
          <cell r="Q20">
            <v>0.21951219512195119</v>
          </cell>
          <cell r="S20" t="str">
            <v>NM</v>
          </cell>
          <cell r="U20" t="str">
            <v>3Q</v>
          </cell>
          <cell r="V20" t="str">
            <v>NM</v>
          </cell>
          <cell r="W20" t="str">
            <v>NM</v>
          </cell>
          <cell r="X20" t="str">
            <v>NM</v>
          </cell>
          <cell r="Y20" t="str">
            <v>NM</v>
          </cell>
          <cell r="Z20" t="str">
            <v>NM</v>
          </cell>
          <cell r="AA20" t="str">
            <v>NM</v>
          </cell>
          <cell r="AB20" t="str">
            <v>NM</v>
          </cell>
          <cell r="AC20" t="str">
            <v>NM</v>
          </cell>
          <cell r="AD20" t="str">
            <v>NM</v>
          </cell>
          <cell r="AE20" t="str">
            <v>NM</v>
          </cell>
          <cell r="AF20" t="str">
            <v>NM</v>
          </cell>
          <cell r="AG20">
            <v>0.14418604651162781</v>
          </cell>
          <cell r="AH20" t="str">
            <v>NM</v>
          </cell>
          <cell r="AI20" t="str">
            <v>NM</v>
          </cell>
          <cell r="AJ20">
            <v>0.14252873563218382</v>
          </cell>
        </row>
        <row r="21">
          <cell r="B21">
            <v>-0.18309859154929575</v>
          </cell>
          <cell r="C21">
            <v>0</v>
          </cell>
          <cell r="D21" t="str">
            <v>NM</v>
          </cell>
          <cell r="E21">
            <v>-0.33333333333333337</v>
          </cell>
          <cell r="F21">
            <v>0.23529411764705888</v>
          </cell>
          <cell r="G21">
            <v>-4.0268456375838979E-2</v>
          </cell>
          <cell r="I21">
            <v>0.1964285714285714</v>
          </cell>
          <cell r="K21">
            <v>0.60000000000000009</v>
          </cell>
          <cell r="M21">
            <v>0.13698630136986312</v>
          </cell>
          <cell r="N21">
            <v>6.1224489795918435E-2</v>
          </cell>
          <cell r="O21">
            <v>0.64705882352941169</v>
          </cell>
          <cell r="P21">
            <v>0.71428571428571419</v>
          </cell>
          <cell r="Q21">
            <v>0.19863013698630128</v>
          </cell>
          <cell r="S21" t="str">
            <v>NM</v>
          </cell>
          <cell r="U21" t="str">
            <v>4Q</v>
          </cell>
          <cell r="V21" t="str">
            <v>NM</v>
          </cell>
          <cell r="W21" t="str">
            <v>NM</v>
          </cell>
          <cell r="X21" t="str">
            <v>NM</v>
          </cell>
          <cell r="Y21" t="str">
            <v>NM</v>
          </cell>
          <cell r="Z21" t="str">
            <v>NM</v>
          </cell>
          <cell r="AA21" t="str">
            <v>NM</v>
          </cell>
          <cell r="AB21" t="str">
            <v>NM</v>
          </cell>
          <cell r="AC21" t="str">
            <v>NM</v>
          </cell>
          <cell r="AD21" t="str">
            <v>NM</v>
          </cell>
          <cell r="AE21" t="str">
            <v>NM</v>
          </cell>
          <cell r="AF21" t="str">
            <v>NM</v>
          </cell>
          <cell r="AG21">
            <v>0.15942028985507251</v>
          </cell>
          <cell r="AH21" t="str">
            <v>NM</v>
          </cell>
          <cell r="AI21" t="str">
            <v>NM</v>
          </cell>
          <cell r="AJ21">
            <v>0.15778688524590168</v>
          </cell>
        </row>
        <row r="23">
          <cell r="B23">
            <v>-0.22779922779922779</v>
          </cell>
          <cell r="C23">
            <v>-2.9535864978902926E-2</v>
          </cell>
          <cell r="D23" t="str">
            <v>NM</v>
          </cell>
          <cell r="E23">
            <v>-8.333333333333337E-2</v>
          </cell>
          <cell r="F23">
            <v>0.11940298507462677</v>
          </cell>
          <cell r="G23">
            <v>-6.6086956521739126E-2</v>
          </cell>
          <cell r="I23">
            <v>0.59477124183006547</v>
          </cell>
          <cell r="K23">
            <v>0.55670103092783507</v>
          </cell>
          <cell r="M23">
            <v>0.17948717948717952</v>
          </cell>
          <cell r="N23">
            <v>5.3254437869822535E-2</v>
          </cell>
          <cell r="O23">
            <v>0.6399999999999999</v>
          </cell>
          <cell r="P23">
            <v>0.80952380952380953</v>
          </cell>
          <cell r="Q23">
            <v>0.21097046413502119</v>
          </cell>
          <cell r="S23">
            <v>5.9016393442622883E-2</v>
          </cell>
          <cell r="U23" t="str">
            <v>1996/95</v>
          </cell>
          <cell r="V23" t="str">
            <v>NM</v>
          </cell>
          <cell r="W23" t="str">
            <v>NM</v>
          </cell>
          <cell r="X23" t="str">
            <v>NM</v>
          </cell>
          <cell r="Y23" t="str">
            <v>NM</v>
          </cell>
          <cell r="Z23" t="str">
            <v>NM</v>
          </cell>
          <cell r="AA23" t="str">
            <v>NM</v>
          </cell>
          <cell r="AB23" t="str">
            <v>NM</v>
          </cell>
          <cell r="AC23" t="str">
            <v>NM</v>
          </cell>
          <cell r="AD23" t="str">
            <v>NM</v>
          </cell>
          <cell r="AE23" t="str">
            <v>NM</v>
          </cell>
          <cell r="AF23" t="str">
            <v>NM</v>
          </cell>
          <cell r="AG23">
            <v>0.16402116402116396</v>
          </cell>
          <cell r="AH23" t="str">
            <v>NM</v>
          </cell>
          <cell r="AI23" t="str">
            <v>NM</v>
          </cell>
          <cell r="AJ23">
            <v>0.16598480420806538</v>
          </cell>
        </row>
        <row r="25">
          <cell r="U25">
            <v>1996</v>
          </cell>
        </row>
        <row r="26">
          <cell r="B26">
            <v>56</v>
          </cell>
          <cell r="C26">
            <v>58</v>
          </cell>
          <cell r="D26">
            <v>0</v>
          </cell>
          <cell r="E26">
            <v>3</v>
          </cell>
          <cell r="F26">
            <v>18</v>
          </cell>
          <cell r="G26">
            <v>135</v>
          </cell>
          <cell r="I26">
            <v>64</v>
          </cell>
          <cell r="K26">
            <v>81</v>
          </cell>
          <cell r="M26">
            <v>59</v>
          </cell>
          <cell r="N26">
            <v>42</v>
          </cell>
          <cell r="O26">
            <v>14</v>
          </cell>
          <cell r="P26">
            <v>8</v>
          </cell>
          <cell r="Q26">
            <v>123</v>
          </cell>
          <cell r="S26">
            <v>74</v>
          </cell>
          <cell r="U26" t="str">
            <v>1Q</v>
          </cell>
          <cell r="V26">
            <v>0</v>
          </cell>
          <cell r="W26">
            <v>0</v>
          </cell>
          <cell r="X26">
            <v>0</v>
          </cell>
          <cell r="Y26">
            <v>0</v>
          </cell>
          <cell r="Z26">
            <v>0</v>
          </cell>
          <cell r="AA26">
            <v>0</v>
          </cell>
          <cell r="AB26">
            <v>0</v>
          </cell>
          <cell r="AC26">
            <v>0</v>
          </cell>
          <cell r="AD26">
            <v>0</v>
          </cell>
          <cell r="AE26">
            <v>0</v>
          </cell>
          <cell r="AF26">
            <v>0</v>
          </cell>
          <cell r="AG26">
            <v>477</v>
          </cell>
          <cell r="AH26">
            <v>0</v>
          </cell>
          <cell r="AI26">
            <v>0</v>
          </cell>
          <cell r="AJ26">
            <v>477</v>
          </cell>
        </row>
        <row r="27">
          <cell r="B27">
            <v>43</v>
          </cell>
          <cell r="C27">
            <v>57</v>
          </cell>
          <cell r="D27">
            <v>17</v>
          </cell>
          <cell r="E27">
            <v>3</v>
          </cell>
          <cell r="F27">
            <v>17</v>
          </cell>
          <cell r="G27">
            <v>137</v>
          </cell>
          <cell r="I27">
            <v>57</v>
          </cell>
          <cell r="K27">
            <v>47</v>
          </cell>
          <cell r="M27">
            <v>60</v>
          </cell>
          <cell r="N27">
            <v>40</v>
          </cell>
          <cell r="O27">
            <v>19</v>
          </cell>
          <cell r="P27">
            <v>7</v>
          </cell>
          <cell r="Q27">
            <v>126</v>
          </cell>
          <cell r="S27">
            <v>84</v>
          </cell>
          <cell r="U27" t="str">
            <v>2Q</v>
          </cell>
          <cell r="V27">
            <v>0</v>
          </cell>
          <cell r="W27">
            <v>0</v>
          </cell>
          <cell r="X27">
            <v>0</v>
          </cell>
          <cell r="Y27">
            <v>0</v>
          </cell>
          <cell r="Z27">
            <v>0</v>
          </cell>
          <cell r="AA27">
            <v>0</v>
          </cell>
          <cell r="AB27">
            <v>0</v>
          </cell>
          <cell r="AC27">
            <v>0</v>
          </cell>
          <cell r="AD27">
            <v>0</v>
          </cell>
          <cell r="AE27">
            <v>0</v>
          </cell>
          <cell r="AF27">
            <v>0</v>
          </cell>
          <cell r="AG27">
            <v>451</v>
          </cell>
          <cell r="AH27">
            <v>5</v>
          </cell>
          <cell r="AI27">
            <v>0</v>
          </cell>
          <cell r="AJ27">
            <v>456</v>
          </cell>
        </row>
        <row r="28">
          <cell r="B28">
            <v>43</v>
          </cell>
          <cell r="C28">
            <v>57</v>
          </cell>
          <cell r="D28">
            <v>0</v>
          </cell>
          <cell r="E28">
            <v>3</v>
          </cell>
          <cell r="F28">
            <v>19</v>
          </cell>
          <cell r="G28">
            <v>122</v>
          </cell>
          <cell r="I28">
            <v>56</v>
          </cell>
          <cell r="K28">
            <v>86</v>
          </cell>
          <cell r="M28">
            <v>74</v>
          </cell>
          <cell r="N28">
            <v>44</v>
          </cell>
          <cell r="O28">
            <v>21</v>
          </cell>
          <cell r="P28">
            <v>11</v>
          </cell>
          <cell r="Q28">
            <v>150</v>
          </cell>
          <cell r="S28">
            <v>78</v>
          </cell>
          <cell r="U28" t="str">
            <v>3Q</v>
          </cell>
          <cell r="V28">
            <v>0</v>
          </cell>
          <cell r="W28">
            <v>0</v>
          </cell>
          <cell r="X28">
            <v>0</v>
          </cell>
          <cell r="Y28">
            <v>0</v>
          </cell>
          <cell r="Z28">
            <v>0</v>
          </cell>
          <cell r="AA28">
            <v>0</v>
          </cell>
          <cell r="AB28">
            <v>0</v>
          </cell>
          <cell r="AC28">
            <v>0</v>
          </cell>
          <cell r="AD28">
            <v>0</v>
          </cell>
          <cell r="AE28">
            <v>0</v>
          </cell>
          <cell r="AF28">
            <v>0</v>
          </cell>
          <cell r="AG28">
            <v>492</v>
          </cell>
          <cell r="AH28">
            <v>5</v>
          </cell>
          <cell r="AI28">
            <v>0</v>
          </cell>
          <cell r="AJ28">
            <v>497</v>
          </cell>
        </row>
        <row r="29">
          <cell r="B29">
            <v>58</v>
          </cell>
          <cell r="C29">
            <v>58</v>
          </cell>
          <cell r="D29">
            <v>4</v>
          </cell>
          <cell r="E29">
            <v>2</v>
          </cell>
          <cell r="F29">
            <v>21</v>
          </cell>
          <cell r="G29">
            <v>143</v>
          </cell>
          <cell r="I29">
            <v>67</v>
          </cell>
          <cell r="K29">
            <v>88</v>
          </cell>
          <cell r="M29">
            <v>83</v>
          </cell>
          <cell r="N29">
            <v>52</v>
          </cell>
          <cell r="O29">
            <v>28</v>
          </cell>
          <cell r="P29">
            <v>12</v>
          </cell>
          <cell r="Q29">
            <v>175</v>
          </cell>
          <cell r="S29">
            <v>87</v>
          </cell>
          <cell r="U29" t="str">
            <v>4Q</v>
          </cell>
          <cell r="V29">
            <v>0</v>
          </cell>
          <cell r="W29">
            <v>0</v>
          </cell>
          <cell r="X29">
            <v>0</v>
          </cell>
          <cell r="Y29">
            <v>0</v>
          </cell>
          <cell r="Z29">
            <v>0</v>
          </cell>
          <cell r="AA29">
            <v>0</v>
          </cell>
          <cell r="AB29">
            <v>0</v>
          </cell>
          <cell r="AC29">
            <v>0</v>
          </cell>
          <cell r="AD29">
            <v>0</v>
          </cell>
          <cell r="AE29">
            <v>0</v>
          </cell>
          <cell r="AF29">
            <v>0</v>
          </cell>
          <cell r="AG29">
            <v>560</v>
          </cell>
          <cell r="AH29">
            <v>5</v>
          </cell>
          <cell r="AI29">
            <v>0</v>
          </cell>
          <cell r="AJ29">
            <v>565</v>
          </cell>
        </row>
        <row r="31">
          <cell r="B31">
            <v>200</v>
          </cell>
          <cell r="C31">
            <v>230</v>
          </cell>
          <cell r="D31">
            <v>21</v>
          </cell>
          <cell r="E31">
            <v>11</v>
          </cell>
          <cell r="F31">
            <v>75</v>
          </cell>
          <cell r="G31">
            <v>537</v>
          </cell>
          <cell r="I31">
            <v>244</v>
          </cell>
          <cell r="K31">
            <v>302</v>
          </cell>
          <cell r="M31">
            <v>276</v>
          </cell>
          <cell r="N31">
            <v>178</v>
          </cell>
          <cell r="O31">
            <v>82</v>
          </cell>
          <cell r="P31">
            <v>38</v>
          </cell>
          <cell r="Q31">
            <v>574</v>
          </cell>
          <cell r="S31">
            <v>323</v>
          </cell>
          <cell r="U31">
            <v>1996</v>
          </cell>
          <cell r="V31">
            <v>0</v>
          </cell>
          <cell r="W31">
            <v>0</v>
          </cell>
          <cell r="X31">
            <v>0</v>
          </cell>
          <cell r="Y31">
            <v>0</v>
          </cell>
          <cell r="Z31">
            <v>0</v>
          </cell>
          <cell r="AA31">
            <v>0</v>
          </cell>
          <cell r="AB31">
            <v>0</v>
          </cell>
          <cell r="AC31">
            <v>0</v>
          </cell>
          <cell r="AD31">
            <v>0</v>
          </cell>
          <cell r="AE31">
            <v>0</v>
          </cell>
          <cell r="AF31">
            <v>0</v>
          </cell>
          <cell r="AG31">
            <v>1980</v>
          </cell>
          <cell r="AH31">
            <v>15</v>
          </cell>
          <cell r="AI31">
            <v>0</v>
          </cell>
          <cell r="AJ31">
            <v>1995</v>
          </cell>
        </row>
        <row r="33">
          <cell r="U33" t="str">
            <v>1997/96</v>
          </cell>
        </row>
        <row r="34">
          <cell r="B34">
            <v>-0.1428571428571429</v>
          </cell>
          <cell r="C34">
            <v>-6.8965517241379337E-2</v>
          </cell>
          <cell r="D34" t="str">
            <v>NM</v>
          </cell>
          <cell r="E34" t="str">
            <v>NM</v>
          </cell>
          <cell r="F34">
            <v>0</v>
          </cell>
          <cell r="G34">
            <v>-2.9629629629629672E-2</v>
          </cell>
          <cell r="I34">
            <v>-9.375E-2</v>
          </cell>
          <cell r="K34">
            <v>-6.1728395061728447E-2</v>
          </cell>
          <cell r="M34">
            <v>0.18644067796610164</v>
          </cell>
          <cell r="N34">
            <v>9.5238095238095344E-2</v>
          </cell>
          <cell r="O34">
            <v>0.4285714285714286</v>
          </cell>
          <cell r="P34">
            <v>0.125</v>
          </cell>
          <cell r="Q34">
            <v>0.17886178861788626</v>
          </cell>
          <cell r="S34">
            <v>0.41891891891891886</v>
          </cell>
          <cell r="U34" t="str">
            <v>1Q</v>
          </cell>
          <cell r="V34" t="str">
            <v>NM</v>
          </cell>
          <cell r="W34" t="str">
            <v>NM</v>
          </cell>
          <cell r="X34" t="str">
            <v>NM</v>
          </cell>
          <cell r="Y34" t="str">
            <v>NM</v>
          </cell>
          <cell r="Z34" t="str">
            <v>NM</v>
          </cell>
          <cell r="AA34" t="str">
            <v>NM</v>
          </cell>
          <cell r="AB34" t="str">
            <v>NM</v>
          </cell>
          <cell r="AC34" t="str">
            <v>NM</v>
          </cell>
          <cell r="AD34" t="str">
            <v>NM</v>
          </cell>
          <cell r="AE34" t="str">
            <v>NM</v>
          </cell>
          <cell r="AF34" t="str">
            <v>NM</v>
          </cell>
          <cell r="AG34">
            <v>7.9664570230608023E-2</v>
          </cell>
          <cell r="AH34" t="str">
            <v>NM</v>
          </cell>
          <cell r="AI34" t="str">
            <v>NM</v>
          </cell>
          <cell r="AJ34">
            <v>7.9664570230608023E-2</v>
          </cell>
        </row>
        <row r="35">
          <cell r="B35">
            <v>-0.32558139534883723</v>
          </cell>
          <cell r="C35">
            <v>-7.0175438596491224E-2</v>
          </cell>
          <cell r="D35" t="str">
            <v>NM</v>
          </cell>
          <cell r="E35" t="str">
            <v>NM</v>
          </cell>
          <cell r="F35">
            <v>0</v>
          </cell>
          <cell r="G35">
            <v>-0.16788321167883213</v>
          </cell>
          <cell r="I35">
            <v>3.5087719298245723E-2</v>
          </cell>
          <cell r="K35">
            <v>1.1063829787234041</v>
          </cell>
          <cell r="M35">
            <v>1.6666666666666607E-2</v>
          </cell>
          <cell r="N35">
            <v>0</v>
          </cell>
          <cell r="O35">
            <v>0.26315789473684204</v>
          </cell>
          <cell r="P35">
            <v>0.5714285714285714</v>
          </cell>
          <cell r="Q35">
            <v>7.9365079365079305E-2</v>
          </cell>
          <cell r="S35">
            <v>-0.1071428571428571</v>
          </cell>
          <cell r="U35" t="str">
            <v>2Q</v>
          </cell>
          <cell r="V35" t="str">
            <v>NM</v>
          </cell>
          <cell r="W35" t="str">
            <v>NM</v>
          </cell>
          <cell r="X35" t="str">
            <v>NM</v>
          </cell>
          <cell r="Y35" t="str">
            <v>NM</v>
          </cell>
          <cell r="Z35" t="str">
            <v>NM</v>
          </cell>
          <cell r="AA35" t="str">
            <v>NM</v>
          </cell>
          <cell r="AB35" t="str">
            <v>NM</v>
          </cell>
          <cell r="AC35" t="str">
            <v>NM</v>
          </cell>
          <cell r="AD35" t="str">
            <v>NM</v>
          </cell>
          <cell r="AE35" t="str">
            <v>NM</v>
          </cell>
          <cell r="AF35" t="str">
            <v>NM</v>
          </cell>
          <cell r="AG35">
            <v>7.0953436807095427E-2</v>
          </cell>
          <cell r="AH35" t="str">
            <v>NM</v>
          </cell>
          <cell r="AI35" t="str">
            <v>NM</v>
          </cell>
          <cell r="AJ35">
            <v>0.125</v>
          </cell>
        </row>
        <row r="36">
          <cell r="B36">
            <v>-0.13953488372093026</v>
          </cell>
          <cell r="C36">
            <v>-7.0175438596491224E-2</v>
          </cell>
          <cell r="D36" t="str">
            <v>NM</v>
          </cell>
          <cell r="E36" t="str">
            <v>NM</v>
          </cell>
          <cell r="F36">
            <v>5.2631578947368363E-2</v>
          </cell>
          <cell r="G36">
            <v>4.9180327868852514E-2</v>
          </cell>
          <cell r="I36">
            <v>1.7857142857142794E-2</v>
          </cell>
          <cell r="K36">
            <v>4.6511627906976827E-2</v>
          </cell>
          <cell r="M36">
            <v>0.32432432432432434</v>
          </cell>
          <cell r="N36">
            <v>2.2727272727272707E-2</v>
          </cell>
          <cell r="O36">
            <v>0.19047619047619047</v>
          </cell>
          <cell r="P36">
            <v>0</v>
          </cell>
          <cell r="Q36">
            <v>0.19333333333333336</v>
          </cell>
          <cell r="S36">
            <v>0.30769230769230771</v>
          </cell>
          <cell r="U36" t="str">
            <v>3Q</v>
          </cell>
          <cell r="V36" t="str">
            <v>NM</v>
          </cell>
          <cell r="W36" t="str">
            <v>NM</v>
          </cell>
          <cell r="X36" t="str">
            <v>NM</v>
          </cell>
          <cell r="Y36" t="str">
            <v>NM</v>
          </cell>
          <cell r="Z36" t="str">
            <v>NM</v>
          </cell>
          <cell r="AA36" t="str">
            <v>NM</v>
          </cell>
          <cell r="AB36" t="str">
            <v>NM</v>
          </cell>
          <cell r="AC36" t="str">
            <v>NM</v>
          </cell>
          <cell r="AD36" t="str">
            <v>NM</v>
          </cell>
          <cell r="AE36" t="str">
            <v>NM</v>
          </cell>
          <cell r="AF36" t="str">
            <v>NM</v>
          </cell>
          <cell r="AG36">
            <v>0.13008130081300817</v>
          </cell>
          <cell r="AH36" t="str">
            <v>NM</v>
          </cell>
          <cell r="AI36" t="str">
            <v>NM</v>
          </cell>
          <cell r="AJ36">
            <v>0.21730382293762585</v>
          </cell>
        </row>
        <row r="37">
          <cell r="B37">
            <v>-0.56896551724137934</v>
          </cell>
          <cell r="C37">
            <v>3.4482758620689724E-2</v>
          </cell>
          <cell r="D37" t="str">
            <v>NM</v>
          </cell>
          <cell r="E37" t="str">
            <v>NM</v>
          </cell>
          <cell r="F37">
            <v>0</v>
          </cell>
          <cell r="G37">
            <v>-0.11188811188811187</v>
          </cell>
          <cell r="I37">
            <v>0.16417910447761197</v>
          </cell>
          <cell r="K37">
            <v>0.48863636363636354</v>
          </cell>
          <cell r="M37">
            <v>0.22891566265060237</v>
          </cell>
          <cell r="N37">
            <v>3.8461538461538547E-2</v>
          </cell>
          <cell r="O37">
            <v>0.1785714285714286</v>
          </cell>
          <cell r="P37">
            <v>8.3333333333333259E-2</v>
          </cell>
          <cell r="Q37">
            <v>0.15428571428571436</v>
          </cell>
          <cell r="S37">
            <v>6.8965517241379226E-2</v>
          </cell>
          <cell r="U37" t="str">
            <v>4Q</v>
          </cell>
          <cell r="V37" t="str">
            <v>NM</v>
          </cell>
          <cell r="W37" t="str">
            <v>NM</v>
          </cell>
          <cell r="X37" t="str">
            <v>NM</v>
          </cell>
          <cell r="Y37" t="str">
            <v>NM</v>
          </cell>
          <cell r="Z37" t="str">
            <v>NM</v>
          </cell>
          <cell r="AA37" t="str">
            <v>NM</v>
          </cell>
          <cell r="AB37" t="str">
            <v>NM</v>
          </cell>
          <cell r="AC37" t="str">
            <v>NM</v>
          </cell>
          <cell r="AD37" t="str">
            <v>NM</v>
          </cell>
          <cell r="AE37" t="str">
            <v>NM</v>
          </cell>
          <cell r="AF37" t="str">
            <v>NM</v>
          </cell>
          <cell r="AG37">
            <v>0.12678571428571428</v>
          </cell>
          <cell r="AH37" t="str">
            <v>NM</v>
          </cell>
          <cell r="AI37" t="str">
            <v>NM</v>
          </cell>
          <cell r="AJ37">
            <v>0.36991150442477871</v>
          </cell>
        </row>
        <row r="39">
          <cell r="B39">
            <v>-0.30500000000000005</v>
          </cell>
          <cell r="C39">
            <v>-4.3478260869565188E-2</v>
          </cell>
          <cell r="D39" t="str">
            <v>NM</v>
          </cell>
          <cell r="E39" t="str">
            <v>NM</v>
          </cell>
          <cell r="F39">
            <v>1.3333333333333419E-2</v>
          </cell>
          <cell r="G39">
            <v>-6.8901303538175029E-2</v>
          </cell>
          <cell r="I39">
            <v>3.2786885245901676E-2</v>
          </cell>
          <cell r="K39">
            <v>0.3112582781456954</v>
          </cell>
          <cell r="M39">
            <v>0.19927536231884058</v>
          </cell>
          <cell r="N39">
            <v>3.9325842696629199E-2</v>
          </cell>
          <cell r="O39">
            <v>0.24390243902439024</v>
          </cell>
          <cell r="P39">
            <v>0.15789473684210531</v>
          </cell>
          <cell r="Q39">
            <v>0.1533101045296168</v>
          </cell>
          <cell r="S39">
            <v>0.16099071207430349</v>
          </cell>
          <cell r="U39" t="str">
            <v xml:space="preserve">Year </v>
          </cell>
          <cell r="V39" t="str">
            <v>NM</v>
          </cell>
          <cell r="W39" t="str">
            <v>NM</v>
          </cell>
          <cell r="X39" t="str">
            <v>NM</v>
          </cell>
          <cell r="Y39" t="str">
            <v>NM</v>
          </cell>
          <cell r="Z39" t="str">
            <v>NM</v>
          </cell>
          <cell r="AA39" t="str">
            <v>NM</v>
          </cell>
          <cell r="AB39" t="str">
            <v>NM</v>
          </cell>
          <cell r="AC39" t="str">
            <v>NM</v>
          </cell>
          <cell r="AD39" t="str">
            <v>NM</v>
          </cell>
          <cell r="AE39" t="str">
            <v>NM</v>
          </cell>
          <cell r="AF39" t="str">
            <v>NM</v>
          </cell>
          <cell r="AG39">
            <v>0.10353535353535359</v>
          </cell>
          <cell r="AH39" t="str">
            <v>NM</v>
          </cell>
          <cell r="AI39" t="str">
            <v>NM</v>
          </cell>
          <cell r="AJ39">
            <v>0.20651629072681699</v>
          </cell>
        </row>
        <row r="41">
          <cell r="U41">
            <v>1997</v>
          </cell>
        </row>
        <row r="42">
          <cell r="B42">
            <v>48</v>
          </cell>
          <cell r="C42">
            <v>54</v>
          </cell>
          <cell r="D42">
            <v>8</v>
          </cell>
          <cell r="E42">
            <v>3</v>
          </cell>
          <cell r="F42">
            <v>18</v>
          </cell>
          <cell r="G42">
            <v>131</v>
          </cell>
          <cell r="I42">
            <v>58</v>
          </cell>
          <cell r="K42">
            <v>76</v>
          </cell>
          <cell r="M42">
            <v>70</v>
          </cell>
          <cell r="N42">
            <v>46</v>
          </cell>
          <cell r="O42">
            <v>20</v>
          </cell>
          <cell r="P42">
            <v>9</v>
          </cell>
          <cell r="Q42">
            <v>145</v>
          </cell>
          <cell r="S42">
            <v>105</v>
          </cell>
          <cell r="U42" t="str">
            <v>1Q</v>
          </cell>
          <cell r="V42">
            <v>0</v>
          </cell>
          <cell r="W42">
            <v>0</v>
          </cell>
          <cell r="X42">
            <v>0</v>
          </cell>
          <cell r="Y42">
            <v>0</v>
          </cell>
          <cell r="Z42">
            <v>0</v>
          </cell>
          <cell r="AA42">
            <v>0</v>
          </cell>
          <cell r="AB42">
            <v>0</v>
          </cell>
          <cell r="AC42">
            <v>0</v>
          </cell>
          <cell r="AD42">
            <v>0</v>
          </cell>
          <cell r="AE42">
            <v>0</v>
          </cell>
          <cell r="AF42">
            <v>0</v>
          </cell>
          <cell r="AG42">
            <v>515</v>
          </cell>
          <cell r="AH42">
            <v>0</v>
          </cell>
          <cell r="AI42">
            <v>0</v>
          </cell>
          <cell r="AJ42">
            <v>515</v>
          </cell>
        </row>
        <row r="43">
          <cell r="B43">
            <v>29</v>
          </cell>
          <cell r="C43">
            <v>53</v>
          </cell>
          <cell r="D43">
            <v>12</v>
          </cell>
          <cell r="E43">
            <v>3</v>
          </cell>
          <cell r="F43">
            <v>17</v>
          </cell>
          <cell r="G43">
            <v>114</v>
          </cell>
          <cell r="I43">
            <v>59</v>
          </cell>
          <cell r="K43">
            <v>99</v>
          </cell>
          <cell r="M43">
            <v>61</v>
          </cell>
          <cell r="N43">
            <v>40</v>
          </cell>
          <cell r="O43">
            <v>24</v>
          </cell>
          <cell r="P43">
            <v>11</v>
          </cell>
          <cell r="Q43">
            <v>136</v>
          </cell>
          <cell r="S43">
            <v>75</v>
          </cell>
          <cell r="U43" t="str">
            <v>2Q</v>
          </cell>
          <cell r="V43">
            <v>0</v>
          </cell>
          <cell r="W43">
            <v>0</v>
          </cell>
          <cell r="X43">
            <v>0</v>
          </cell>
          <cell r="Y43">
            <v>0</v>
          </cell>
          <cell r="Z43">
            <v>0</v>
          </cell>
          <cell r="AA43">
            <v>0</v>
          </cell>
          <cell r="AB43">
            <v>0</v>
          </cell>
          <cell r="AC43">
            <v>0</v>
          </cell>
          <cell r="AD43">
            <v>0</v>
          </cell>
          <cell r="AE43">
            <v>0</v>
          </cell>
          <cell r="AF43">
            <v>0</v>
          </cell>
          <cell r="AG43">
            <v>483</v>
          </cell>
          <cell r="AH43">
            <v>19</v>
          </cell>
          <cell r="AI43">
            <v>11</v>
          </cell>
          <cell r="AJ43">
            <v>513</v>
          </cell>
        </row>
        <row r="44">
          <cell r="B44">
            <v>37</v>
          </cell>
          <cell r="C44">
            <v>53</v>
          </cell>
          <cell r="D44">
            <v>16</v>
          </cell>
          <cell r="E44">
            <v>2</v>
          </cell>
          <cell r="F44">
            <v>20</v>
          </cell>
          <cell r="G44">
            <v>128</v>
          </cell>
          <cell r="I44">
            <v>57</v>
          </cell>
          <cell r="K44">
            <v>90</v>
          </cell>
          <cell r="M44">
            <v>98</v>
          </cell>
          <cell r="N44">
            <v>45</v>
          </cell>
          <cell r="O44">
            <v>25</v>
          </cell>
          <cell r="P44">
            <v>11</v>
          </cell>
          <cell r="Q44">
            <v>179</v>
          </cell>
          <cell r="S44">
            <v>102</v>
          </cell>
          <cell r="U44" t="str">
            <v>3Q</v>
          </cell>
          <cell r="V44">
            <v>0</v>
          </cell>
          <cell r="W44">
            <v>0</v>
          </cell>
          <cell r="X44">
            <v>0</v>
          </cell>
          <cell r="Y44">
            <v>0</v>
          </cell>
          <cell r="Z44">
            <v>0</v>
          </cell>
          <cell r="AA44">
            <v>0</v>
          </cell>
          <cell r="AB44">
            <v>0</v>
          </cell>
          <cell r="AC44">
            <v>0</v>
          </cell>
          <cell r="AD44">
            <v>0</v>
          </cell>
          <cell r="AE44">
            <v>0</v>
          </cell>
          <cell r="AF44">
            <v>0</v>
          </cell>
          <cell r="AG44">
            <v>556</v>
          </cell>
          <cell r="AH44">
            <v>0</v>
          </cell>
          <cell r="AI44">
            <v>49</v>
          </cell>
          <cell r="AJ44">
            <v>605</v>
          </cell>
        </row>
        <row r="45">
          <cell r="B45">
            <v>25</v>
          </cell>
          <cell r="C45">
            <v>60</v>
          </cell>
          <cell r="D45">
            <v>19</v>
          </cell>
          <cell r="E45">
            <v>2</v>
          </cell>
          <cell r="F45">
            <v>21</v>
          </cell>
          <cell r="G45">
            <v>127</v>
          </cell>
          <cell r="I45">
            <v>78</v>
          </cell>
          <cell r="K45">
            <v>131</v>
          </cell>
          <cell r="M45">
            <v>102</v>
          </cell>
          <cell r="N45">
            <v>54</v>
          </cell>
          <cell r="O45">
            <v>33</v>
          </cell>
          <cell r="P45">
            <v>13</v>
          </cell>
          <cell r="Q45">
            <v>202</v>
          </cell>
          <cell r="S45">
            <v>93</v>
          </cell>
          <cell r="U45" t="str">
            <v>4Q</v>
          </cell>
          <cell r="V45">
            <v>0</v>
          </cell>
          <cell r="W45">
            <v>0</v>
          </cell>
          <cell r="X45">
            <v>0</v>
          </cell>
          <cell r="Y45">
            <v>0</v>
          </cell>
          <cell r="Z45">
            <v>0</v>
          </cell>
          <cell r="AA45">
            <v>0</v>
          </cell>
          <cell r="AB45">
            <v>0</v>
          </cell>
          <cell r="AC45">
            <v>0</v>
          </cell>
          <cell r="AD45">
            <v>0</v>
          </cell>
          <cell r="AE45">
            <v>0</v>
          </cell>
          <cell r="AF45">
            <v>0</v>
          </cell>
          <cell r="AG45">
            <v>631</v>
          </cell>
          <cell r="AH45">
            <v>75</v>
          </cell>
          <cell r="AI45">
            <v>68</v>
          </cell>
          <cell r="AJ45">
            <v>774</v>
          </cell>
        </row>
        <row r="47">
          <cell r="B47">
            <v>139</v>
          </cell>
          <cell r="C47">
            <v>220</v>
          </cell>
          <cell r="D47">
            <v>55</v>
          </cell>
          <cell r="E47">
            <v>10</v>
          </cell>
          <cell r="F47">
            <v>76</v>
          </cell>
          <cell r="G47">
            <v>500</v>
          </cell>
          <cell r="I47">
            <v>252</v>
          </cell>
          <cell r="K47">
            <v>396</v>
          </cell>
          <cell r="M47">
            <v>331</v>
          </cell>
          <cell r="N47">
            <v>185</v>
          </cell>
          <cell r="O47">
            <v>102</v>
          </cell>
          <cell r="P47">
            <v>44</v>
          </cell>
          <cell r="Q47">
            <v>662</v>
          </cell>
          <cell r="S47">
            <v>375</v>
          </cell>
          <cell r="U47" t="str">
            <v xml:space="preserve">Year </v>
          </cell>
          <cell r="V47">
            <v>0</v>
          </cell>
          <cell r="W47">
            <v>0</v>
          </cell>
          <cell r="X47">
            <v>0</v>
          </cell>
          <cell r="Y47">
            <v>0</v>
          </cell>
          <cell r="Z47">
            <v>0</v>
          </cell>
          <cell r="AA47">
            <v>0</v>
          </cell>
          <cell r="AB47">
            <v>0</v>
          </cell>
          <cell r="AC47">
            <v>0</v>
          </cell>
          <cell r="AD47">
            <v>0</v>
          </cell>
          <cell r="AE47">
            <v>0</v>
          </cell>
          <cell r="AF47">
            <v>0</v>
          </cell>
          <cell r="AG47">
            <v>2185</v>
          </cell>
          <cell r="AH47">
            <v>94</v>
          </cell>
          <cell r="AI47">
            <v>128</v>
          </cell>
          <cell r="AJ47">
            <v>2407</v>
          </cell>
        </row>
        <row r="49">
          <cell r="U49" t="str">
            <v>1998E/97</v>
          </cell>
        </row>
        <row r="50">
          <cell r="B50">
            <v>-0.52083333333333326</v>
          </cell>
          <cell r="C50">
            <v>-0.2407407407407407</v>
          </cell>
          <cell r="D50">
            <v>0.5</v>
          </cell>
          <cell r="E50" t="str">
            <v>NM</v>
          </cell>
          <cell r="F50">
            <v>-0.16666666666666663</v>
          </cell>
          <cell r="G50">
            <v>-0.28244274809160308</v>
          </cell>
          <cell r="I50">
            <v>-0.24137931034482762</v>
          </cell>
          <cell r="K50">
            <v>-7.8947368421052655E-2</v>
          </cell>
          <cell r="M50">
            <v>-0.32857142857142863</v>
          </cell>
          <cell r="N50">
            <v>-0.47826086956521741</v>
          </cell>
          <cell r="O50">
            <v>1.4500000000000002</v>
          </cell>
          <cell r="P50">
            <v>0.11111111111111116</v>
          </cell>
          <cell r="Q50">
            <v>-0.10344827586206895</v>
          </cell>
          <cell r="S50">
            <v>-0.20952380952380956</v>
          </cell>
          <cell r="U50" t="str">
            <v>1QA</v>
          </cell>
          <cell r="V50" t="str">
            <v>NM</v>
          </cell>
          <cell r="W50" t="str">
            <v>NM</v>
          </cell>
          <cell r="X50" t="str">
            <v>NM</v>
          </cell>
          <cell r="Y50" t="str">
            <v>NM</v>
          </cell>
          <cell r="Z50" t="str">
            <v>NM</v>
          </cell>
          <cell r="AA50" t="str">
            <v>NM</v>
          </cell>
          <cell r="AB50" t="str">
            <v>NM</v>
          </cell>
          <cell r="AC50" t="str">
            <v>NM</v>
          </cell>
          <cell r="AD50" t="str">
            <v>NM</v>
          </cell>
          <cell r="AE50" t="str">
            <v>NM</v>
          </cell>
          <cell r="AF50" t="str">
            <v>NM</v>
          </cell>
          <cell r="AG50">
            <v>-0.18252427184466025</v>
          </cell>
          <cell r="AH50" t="str">
            <v>NM</v>
          </cell>
          <cell r="AI50" t="str">
            <v>NM</v>
          </cell>
          <cell r="AJ50">
            <v>1.1650485436893288E-2</v>
          </cell>
        </row>
        <row r="51">
          <cell r="B51">
            <v>-0.62068965517241381</v>
          </cell>
          <cell r="C51">
            <v>-1.8867924528301883E-2</v>
          </cell>
          <cell r="D51">
            <v>0.66666666666666674</v>
          </cell>
          <cell r="E51" t="str">
            <v>NM</v>
          </cell>
          <cell r="F51">
            <v>0.17647058823529416</v>
          </cell>
          <cell r="G51">
            <v>-7.0175438596491224E-2</v>
          </cell>
          <cell r="I51">
            <v>-1.6949152542372836E-2</v>
          </cell>
          <cell r="K51">
            <v>0.2525252525252526</v>
          </cell>
          <cell r="M51">
            <v>0.11475409836065564</v>
          </cell>
          <cell r="N51">
            <v>-0.19999999999999996</v>
          </cell>
          <cell r="O51">
            <v>2.3333333333333335</v>
          </cell>
          <cell r="P51">
            <v>9.0909090909090828E-2</v>
          </cell>
          <cell r="Q51">
            <v>0.41176470588235303</v>
          </cell>
          <cell r="S51">
            <v>0.4933333333333334</v>
          </cell>
          <cell r="U51" t="str">
            <v>2QA</v>
          </cell>
          <cell r="V51" t="str">
            <v>NM</v>
          </cell>
          <cell r="W51" t="str">
            <v>NM</v>
          </cell>
          <cell r="X51" t="str">
            <v>NM</v>
          </cell>
          <cell r="Y51" t="str">
            <v>NM</v>
          </cell>
          <cell r="Z51" t="str">
            <v>NM</v>
          </cell>
          <cell r="AA51" t="str">
            <v>NM</v>
          </cell>
          <cell r="AB51" t="str">
            <v>NM</v>
          </cell>
          <cell r="AC51" t="str">
            <v>NM</v>
          </cell>
          <cell r="AD51" t="str">
            <v>NM</v>
          </cell>
          <cell r="AE51" t="str">
            <v>NM</v>
          </cell>
          <cell r="AF51" t="str">
            <v>NM</v>
          </cell>
          <cell r="AG51">
            <v>0.22567287784679091</v>
          </cell>
          <cell r="AH51" t="str">
            <v>NM</v>
          </cell>
          <cell r="AI51" t="str">
            <v>NM</v>
          </cell>
          <cell r="AJ51">
            <v>0.15399610136452235</v>
          </cell>
        </row>
        <row r="52">
          <cell r="B52">
            <v>-0.59459459459459452</v>
          </cell>
          <cell r="C52">
            <v>-1.8867924528301883E-2</v>
          </cell>
          <cell r="D52">
            <v>0.4375</v>
          </cell>
          <cell r="E52" t="str">
            <v>NM</v>
          </cell>
          <cell r="F52">
            <v>-0.1</v>
          </cell>
          <cell r="G52">
            <v>-0.140625</v>
          </cell>
          <cell r="I52">
            <v>5.2631578947368363E-2</v>
          </cell>
          <cell r="K52">
            <v>-4.4444444444444398E-2</v>
          </cell>
          <cell r="M52">
            <v>0.1</v>
          </cell>
          <cell r="N52">
            <v>-0.2</v>
          </cell>
          <cell r="O52">
            <v>2.88</v>
          </cell>
          <cell r="P52">
            <v>0.05</v>
          </cell>
          <cell r="Q52">
            <v>0.39413407821229063</v>
          </cell>
          <cell r="S52">
            <v>0.41617647058823515</v>
          </cell>
          <cell r="U52" t="str">
            <v>3Q</v>
          </cell>
          <cell r="V52" t="str">
            <v>NM</v>
          </cell>
          <cell r="W52" t="str">
            <v>NM</v>
          </cell>
          <cell r="X52" t="str">
            <v>NM</v>
          </cell>
          <cell r="Y52" t="str">
            <v>NM</v>
          </cell>
          <cell r="Z52" t="str">
            <v>NM</v>
          </cell>
          <cell r="AA52" t="str">
            <v>NM</v>
          </cell>
          <cell r="AB52" t="str">
            <v>NM</v>
          </cell>
          <cell r="AC52" t="str">
            <v>NM</v>
          </cell>
          <cell r="AD52" t="str">
            <v>NM</v>
          </cell>
          <cell r="AE52" t="str">
            <v>NM</v>
          </cell>
          <cell r="AF52" t="str">
            <v>NM</v>
          </cell>
          <cell r="AG52">
            <v>0.16906474820143891</v>
          </cell>
          <cell r="AH52" t="str">
            <v>NM</v>
          </cell>
          <cell r="AI52" t="str">
            <v>NM</v>
          </cell>
          <cell r="AJ52">
            <v>0.30578512396694224</v>
          </cell>
        </row>
        <row r="53">
          <cell r="B53">
            <v>-0.4</v>
          </cell>
          <cell r="C53">
            <v>-0.1333333333333333</v>
          </cell>
          <cell r="D53">
            <v>0.42105263157894735</v>
          </cell>
          <cell r="E53" t="str">
            <v>NM</v>
          </cell>
          <cell r="F53">
            <v>-0.1</v>
          </cell>
          <cell r="G53">
            <v>-9.5275590551181066E-2</v>
          </cell>
          <cell r="I53">
            <v>-0.23076923076923073</v>
          </cell>
          <cell r="K53">
            <v>3.0534351145038219E-2</v>
          </cell>
          <cell r="M53">
            <v>0.1</v>
          </cell>
          <cell r="N53">
            <v>-0.2</v>
          </cell>
          <cell r="O53">
            <v>2.0303030303030303</v>
          </cell>
          <cell r="P53">
            <v>0.05</v>
          </cell>
          <cell r="Q53">
            <v>0.33193069306930689</v>
          </cell>
          <cell r="S53">
            <v>-8.6021505376344121E-2</v>
          </cell>
          <cell r="U53" t="str">
            <v>4Q</v>
          </cell>
          <cell r="V53" t="str">
            <v>NM</v>
          </cell>
          <cell r="W53" t="str">
            <v>NM</v>
          </cell>
          <cell r="X53" t="str">
            <v>NM</v>
          </cell>
          <cell r="Y53" t="str">
            <v>NM</v>
          </cell>
          <cell r="Z53" t="str">
            <v>NM</v>
          </cell>
          <cell r="AA53" t="str">
            <v>NM</v>
          </cell>
          <cell r="AB53" t="str">
            <v>NM</v>
          </cell>
          <cell r="AC53" t="str">
            <v>NM</v>
          </cell>
          <cell r="AD53" t="str">
            <v>NM</v>
          </cell>
          <cell r="AE53" t="str">
            <v>NM</v>
          </cell>
          <cell r="AF53" t="str">
            <v>NM</v>
          </cell>
          <cell r="AG53">
            <v>5.2218700475435975E-2</v>
          </cell>
          <cell r="AH53" t="str">
            <v>NM</v>
          </cell>
          <cell r="AI53" t="str">
            <v>NM</v>
          </cell>
          <cell r="AJ53">
            <v>-0.14218346253229963</v>
          </cell>
        </row>
        <row r="55">
          <cell r="B55">
            <v>-0.53956834532374098</v>
          </cell>
          <cell r="C55">
            <v>-0.1045454545454545</v>
          </cell>
          <cell r="D55">
            <v>0.49090909090909096</v>
          </cell>
          <cell r="E55" t="str">
            <v>NM</v>
          </cell>
          <cell r="F55">
            <v>-5.3947368421052522E-2</v>
          </cell>
          <cell r="G55">
            <v>-0.1502</v>
          </cell>
          <cell r="I55">
            <v>-0.11904761904761907</v>
          </cell>
          <cell r="K55">
            <v>4.7979797979798011E-2</v>
          </cell>
          <cell r="M55">
            <v>3.6253776435044571E-3</v>
          </cell>
          <cell r="N55">
            <v>-0.26918918918918922</v>
          </cell>
          <cell r="O55">
            <v>2.1960784313725492</v>
          </cell>
          <cell r="P55">
            <v>7.2727272727272529E-2</v>
          </cell>
          <cell r="Q55">
            <v>0.26978851963746209</v>
          </cell>
          <cell r="S55">
            <v>0.13186666666666658</v>
          </cell>
          <cell r="U55" t="str">
            <v xml:space="preserve">Year </v>
          </cell>
          <cell r="V55" t="str">
            <v>NM</v>
          </cell>
          <cell r="W55" t="str">
            <v>NM</v>
          </cell>
          <cell r="X55" t="str">
            <v>NM</v>
          </cell>
          <cell r="Y55" t="str">
            <v>NM</v>
          </cell>
          <cell r="Z55" t="str">
            <v>NM</v>
          </cell>
          <cell r="AA55" t="str">
            <v>NM</v>
          </cell>
          <cell r="AB55" t="str">
            <v>NM</v>
          </cell>
          <cell r="AC55" t="str">
            <v>NM</v>
          </cell>
          <cell r="AD55" t="str">
            <v>NM</v>
          </cell>
          <cell r="AE55" t="str">
            <v>NM</v>
          </cell>
          <cell r="AF55" t="str">
            <v>NM</v>
          </cell>
          <cell r="AG55">
            <v>6.4965675057208072E-2</v>
          </cell>
          <cell r="AH55" t="str">
            <v>NM</v>
          </cell>
          <cell r="AI55" t="str">
            <v>NM</v>
          </cell>
          <cell r="AJ55">
            <v>6.6452014956377203E-2</v>
          </cell>
        </row>
        <row r="57">
          <cell r="U57" t="str">
            <v>1998E</v>
          </cell>
        </row>
        <row r="58">
          <cell r="B58">
            <v>23</v>
          </cell>
          <cell r="C58">
            <v>41</v>
          </cell>
          <cell r="D58">
            <v>12</v>
          </cell>
          <cell r="E58">
            <v>3</v>
          </cell>
          <cell r="F58">
            <v>15</v>
          </cell>
          <cell r="G58">
            <v>94</v>
          </cell>
          <cell r="I58">
            <v>44</v>
          </cell>
          <cell r="K58">
            <v>70</v>
          </cell>
          <cell r="M58">
            <v>47</v>
          </cell>
          <cell r="N58">
            <v>24</v>
          </cell>
          <cell r="O58">
            <v>49</v>
          </cell>
          <cell r="P58">
            <v>10</v>
          </cell>
          <cell r="Q58">
            <v>130</v>
          </cell>
          <cell r="S58">
            <v>83</v>
          </cell>
          <cell r="U58" t="str">
            <v>1QA</v>
          </cell>
          <cell r="V58">
            <v>0</v>
          </cell>
          <cell r="W58">
            <v>0</v>
          </cell>
          <cell r="X58">
            <v>0</v>
          </cell>
          <cell r="Y58">
            <v>0</v>
          </cell>
          <cell r="Z58">
            <v>0</v>
          </cell>
          <cell r="AA58">
            <v>0</v>
          </cell>
          <cell r="AB58">
            <v>0</v>
          </cell>
          <cell r="AC58">
            <v>0</v>
          </cell>
          <cell r="AD58">
            <v>0</v>
          </cell>
          <cell r="AE58">
            <v>0</v>
          </cell>
          <cell r="AF58">
            <v>0</v>
          </cell>
          <cell r="AG58">
            <v>421</v>
          </cell>
          <cell r="AH58">
            <v>100</v>
          </cell>
          <cell r="AI58">
            <v>0</v>
          </cell>
          <cell r="AJ58">
            <v>521</v>
          </cell>
        </row>
        <row r="59">
          <cell r="B59">
            <v>11</v>
          </cell>
          <cell r="C59">
            <v>52</v>
          </cell>
          <cell r="D59">
            <v>20</v>
          </cell>
          <cell r="E59">
            <v>3</v>
          </cell>
          <cell r="F59">
            <v>20</v>
          </cell>
          <cell r="G59">
            <v>106</v>
          </cell>
          <cell r="I59">
            <v>58</v>
          </cell>
          <cell r="K59">
            <v>124</v>
          </cell>
          <cell r="M59">
            <v>68</v>
          </cell>
          <cell r="N59">
            <v>32</v>
          </cell>
          <cell r="O59">
            <v>80</v>
          </cell>
          <cell r="P59">
            <v>12</v>
          </cell>
          <cell r="Q59">
            <v>192</v>
          </cell>
          <cell r="S59">
            <v>112</v>
          </cell>
          <cell r="U59" t="str">
            <v>2QA</v>
          </cell>
          <cell r="V59">
            <v>0</v>
          </cell>
          <cell r="W59">
            <v>0</v>
          </cell>
          <cell r="X59">
            <v>0</v>
          </cell>
          <cell r="Y59">
            <v>0</v>
          </cell>
          <cell r="Z59">
            <v>0</v>
          </cell>
          <cell r="AA59">
            <v>0</v>
          </cell>
          <cell r="AB59">
            <v>0</v>
          </cell>
          <cell r="AC59">
            <v>0</v>
          </cell>
          <cell r="AD59">
            <v>0</v>
          </cell>
          <cell r="AE59">
            <v>0</v>
          </cell>
          <cell r="AF59">
            <v>0</v>
          </cell>
          <cell r="AG59">
            <v>592</v>
          </cell>
          <cell r="AH59">
            <v>0</v>
          </cell>
          <cell r="AI59">
            <v>0</v>
          </cell>
          <cell r="AJ59">
            <v>592</v>
          </cell>
        </row>
        <row r="60">
          <cell r="B60">
            <v>15</v>
          </cell>
          <cell r="C60">
            <v>52</v>
          </cell>
          <cell r="D60">
            <v>23</v>
          </cell>
          <cell r="E60">
            <v>2</v>
          </cell>
          <cell r="F60">
            <v>18</v>
          </cell>
          <cell r="G60">
            <v>110</v>
          </cell>
          <cell r="I60">
            <v>60</v>
          </cell>
          <cell r="K60">
            <v>86</v>
          </cell>
          <cell r="M60">
            <v>105</v>
          </cell>
          <cell r="N60">
            <v>36</v>
          </cell>
          <cell r="O60">
            <v>97</v>
          </cell>
          <cell r="P60">
            <v>11.55</v>
          </cell>
          <cell r="Q60">
            <v>249.55</v>
          </cell>
          <cell r="S60">
            <v>144.44999999999999</v>
          </cell>
          <cell r="U60" t="str">
            <v>3QA</v>
          </cell>
          <cell r="V60">
            <v>0</v>
          </cell>
          <cell r="W60">
            <v>0</v>
          </cell>
          <cell r="X60">
            <v>0</v>
          </cell>
          <cell r="Y60">
            <v>0</v>
          </cell>
          <cell r="Z60">
            <v>0</v>
          </cell>
          <cell r="AA60">
            <v>0</v>
          </cell>
          <cell r="AB60">
            <v>0</v>
          </cell>
          <cell r="AC60">
            <v>0</v>
          </cell>
          <cell r="AD60">
            <v>0</v>
          </cell>
          <cell r="AE60">
            <v>0</v>
          </cell>
          <cell r="AF60">
            <v>0</v>
          </cell>
          <cell r="AG60">
            <v>650</v>
          </cell>
          <cell r="AH60">
            <v>140</v>
          </cell>
          <cell r="AI60">
            <v>0</v>
          </cell>
          <cell r="AJ60">
            <v>790</v>
          </cell>
        </row>
        <row r="61">
          <cell r="B61">
            <v>15</v>
          </cell>
          <cell r="C61">
            <v>52</v>
          </cell>
          <cell r="D61">
            <v>27</v>
          </cell>
          <cell r="E61">
            <v>2</v>
          </cell>
          <cell r="F61">
            <v>18.900000000000002</v>
          </cell>
          <cell r="G61">
            <v>114.9</v>
          </cell>
          <cell r="I61">
            <v>60</v>
          </cell>
          <cell r="K61">
            <v>135</v>
          </cell>
          <cell r="M61">
            <v>112.2</v>
          </cell>
          <cell r="N61">
            <v>43.2</v>
          </cell>
          <cell r="O61">
            <v>100</v>
          </cell>
          <cell r="P61">
            <v>13.65</v>
          </cell>
          <cell r="Q61">
            <v>269.05</v>
          </cell>
          <cell r="S61">
            <v>85</v>
          </cell>
          <cell r="U61" t="str">
            <v>4Q</v>
          </cell>
          <cell r="V61">
            <v>0</v>
          </cell>
          <cell r="W61">
            <v>0</v>
          </cell>
          <cell r="X61">
            <v>0</v>
          </cell>
          <cell r="Y61">
            <v>0</v>
          </cell>
          <cell r="Z61">
            <v>0</v>
          </cell>
          <cell r="AA61">
            <v>0</v>
          </cell>
          <cell r="AB61">
            <v>0</v>
          </cell>
          <cell r="AC61">
            <v>0</v>
          </cell>
          <cell r="AD61">
            <v>0</v>
          </cell>
          <cell r="AE61">
            <v>0</v>
          </cell>
          <cell r="AF61">
            <v>0</v>
          </cell>
          <cell r="AG61">
            <v>663.95</v>
          </cell>
          <cell r="AH61">
            <v>200</v>
          </cell>
          <cell r="AI61">
            <v>0</v>
          </cell>
          <cell r="AJ61">
            <v>863.95</v>
          </cell>
        </row>
        <row r="63">
          <cell r="B63">
            <v>64</v>
          </cell>
          <cell r="C63">
            <v>197</v>
          </cell>
          <cell r="D63">
            <v>82</v>
          </cell>
          <cell r="E63">
            <v>10</v>
          </cell>
          <cell r="F63">
            <v>71.900000000000006</v>
          </cell>
          <cell r="G63">
            <v>424.9</v>
          </cell>
          <cell r="I63">
            <v>222</v>
          </cell>
          <cell r="K63">
            <v>415</v>
          </cell>
          <cell r="M63">
            <v>332.2</v>
          </cell>
          <cell r="N63">
            <v>135.19999999999999</v>
          </cell>
          <cell r="O63">
            <v>326</v>
          </cell>
          <cell r="P63">
            <v>47.199999999999996</v>
          </cell>
          <cell r="Q63">
            <v>840.59999999999991</v>
          </cell>
          <cell r="S63">
            <v>424.45</v>
          </cell>
          <cell r="U63" t="str">
            <v xml:space="preserve">Year </v>
          </cell>
          <cell r="V63">
            <v>0</v>
          </cell>
          <cell r="W63">
            <v>0</v>
          </cell>
          <cell r="X63">
            <v>0</v>
          </cell>
          <cell r="Y63">
            <v>0</v>
          </cell>
          <cell r="Z63">
            <v>0</v>
          </cell>
          <cell r="AA63">
            <v>0</v>
          </cell>
          <cell r="AB63">
            <v>0</v>
          </cell>
          <cell r="AC63">
            <v>0</v>
          </cell>
          <cell r="AD63">
            <v>0</v>
          </cell>
          <cell r="AE63">
            <v>0</v>
          </cell>
          <cell r="AF63">
            <v>0</v>
          </cell>
          <cell r="AG63">
            <v>2326.9499999999998</v>
          </cell>
          <cell r="AH63">
            <v>440</v>
          </cell>
          <cell r="AI63">
            <v>0</v>
          </cell>
          <cell r="AJ63">
            <v>2566.9499999999998</v>
          </cell>
        </row>
        <row r="65">
          <cell r="B65">
            <v>-0.15</v>
          </cell>
          <cell r="C65">
            <v>0</v>
          </cell>
          <cell r="D65">
            <v>0.35</v>
          </cell>
          <cell r="E65">
            <v>0</v>
          </cell>
          <cell r="F65">
            <v>0</v>
          </cell>
          <cell r="G65">
            <v>4.495175335373025E-2</v>
          </cell>
          <cell r="I65">
            <v>0.04</v>
          </cell>
          <cell r="K65">
            <v>0.12</v>
          </cell>
          <cell r="M65">
            <v>0.05</v>
          </cell>
          <cell r="N65">
            <v>-0.2</v>
          </cell>
          <cell r="O65">
            <v>0.25</v>
          </cell>
          <cell r="P65">
            <v>0</v>
          </cell>
          <cell r="Q65">
            <v>8.4546752319771823E-2</v>
          </cell>
          <cell r="S65">
            <v>-0.08</v>
          </cell>
          <cell r="U65" t="str">
            <v>1999/98E</v>
          </cell>
          <cell r="V65" t="str">
            <v>NM</v>
          </cell>
          <cell r="W65" t="str">
            <v>NM</v>
          </cell>
          <cell r="X65" t="str">
            <v>NM</v>
          </cell>
          <cell r="Y65" t="str">
            <v>NM</v>
          </cell>
          <cell r="Z65" t="str">
            <v>NM</v>
          </cell>
          <cell r="AA65" t="str">
            <v>NM</v>
          </cell>
          <cell r="AB65" t="str">
            <v>NM</v>
          </cell>
          <cell r="AC65" t="str">
            <v>NM</v>
          </cell>
          <cell r="AD65" t="str">
            <v>NM</v>
          </cell>
          <cell r="AE65" t="str">
            <v>NM</v>
          </cell>
          <cell r="AF65" t="str">
            <v>NM</v>
          </cell>
          <cell r="AG65" t="str">
            <v>NM</v>
          </cell>
          <cell r="AH65" t="str">
            <v>NM</v>
          </cell>
          <cell r="AI65" t="str">
            <v>NM</v>
          </cell>
          <cell r="AJ65">
            <v>0.27460371257718341</v>
          </cell>
        </row>
        <row r="66">
          <cell r="B66">
            <v>-0.1</v>
          </cell>
          <cell r="C66">
            <v>0</v>
          </cell>
          <cell r="D66">
            <v>0.25</v>
          </cell>
          <cell r="E66">
            <v>0</v>
          </cell>
          <cell r="F66">
            <v>0</v>
          </cell>
          <cell r="G66">
            <v>5.007882882882897E-2</v>
          </cell>
          <cell r="I66">
            <v>0.04</v>
          </cell>
          <cell r="K66">
            <v>0.1</v>
          </cell>
          <cell r="M66">
            <v>-0.1</v>
          </cell>
          <cell r="N66">
            <v>-0.15</v>
          </cell>
          <cell r="O66">
            <v>0.2</v>
          </cell>
          <cell r="P66">
            <v>0</v>
          </cell>
          <cell r="Q66">
            <v>3.333991466210362E-2</v>
          </cell>
          <cell r="S66">
            <v>0</v>
          </cell>
          <cell r="U66" t="str">
            <v>2000/99E</v>
          </cell>
          <cell r="V66" t="str">
            <v>NM</v>
          </cell>
          <cell r="W66" t="str">
            <v>NM</v>
          </cell>
          <cell r="X66" t="str">
            <v>NM</v>
          </cell>
          <cell r="Y66" t="str">
            <v>NM</v>
          </cell>
          <cell r="Z66" t="str">
            <v>NM</v>
          </cell>
          <cell r="AA66" t="str">
            <v>NM</v>
          </cell>
          <cell r="AB66" t="str">
            <v>NM</v>
          </cell>
          <cell r="AC66" t="str">
            <v>NM</v>
          </cell>
          <cell r="AD66" t="str">
            <v>NM</v>
          </cell>
          <cell r="AE66" t="str">
            <v>NM</v>
          </cell>
          <cell r="AF66" t="str">
            <v>NM</v>
          </cell>
          <cell r="AG66">
            <v>0.20289856382820703</v>
          </cell>
          <cell r="AH66" t="str">
            <v>NM</v>
          </cell>
          <cell r="AI66" t="str">
            <v>NM</v>
          </cell>
          <cell r="AJ66">
            <v>0.16912334451153521</v>
          </cell>
        </row>
        <row r="67">
          <cell r="B67">
            <v>-0.05</v>
          </cell>
          <cell r="C67">
            <v>0</v>
          </cell>
          <cell r="D67">
            <v>0.15</v>
          </cell>
          <cell r="E67">
            <v>0</v>
          </cell>
          <cell r="F67">
            <v>0</v>
          </cell>
          <cell r="G67">
            <v>3.926828745160682E-2</v>
          </cell>
          <cell r="I67">
            <v>0.04</v>
          </cell>
          <cell r="K67">
            <v>0.09</v>
          </cell>
          <cell r="M67">
            <v>-0.1</v>
          </cell>
          <cell r="N67">
            <v>-0.1</v>
          </cell>
          <cell r="O67">
            <v>0.15</v>
          </cell>
          <cell r="P67">
            <v>0</v>
          </cell>
          <cell r="Q67">
            <v>3.4778385780174226E-2</v>
          </cell>
          <cell r="S67">
            <v>0</v>
          </cell>
          <cell r="U67" t="str">
            <v>2001/00E</v>
          </cell>
          <cell r="V67" t="str">
            <v>NM</v>
          </cell>
          <cell r="W67" t="str">
            <v>NM</v>
          </cell>
          <cell r="X67" t="str">
            <v>NM</v>
          </cell>
          <cell r="Y67" t="str">
            <v>NM</v>
          </cell>
          <cell r="Z67" t="str">
            <v>NM</v>
          </cell>
          <cell r="AA67" t="str">
            <v>NM</v>
          </cell>
          <cell r="AB67" t="str">
            <v>NM</v>
          </cell>
          <cell r="AC67" t="str">
            <v>NM</v>
          </cell>
          <cell r="AD67" t="str">
            <v>NM</v>
          </cell>
          <cell r="AE67" t="str">
            <v>NM</v>
          </cell>
          <cell r="AF67">
            <v>0.42553191489361697</v>
          </cell>
          <cell r="AG67">
            <v>0.16286194483759364</v>
          </cell>
          <cell r="AH67" t="str">
            <v>NM</v>
          </cell>
          <cell r="AI67" t="str">
            <v>NM</v>
          </cell>
          <cell r="AJ67">
            <v>0.13246182907763093</v>
          </cell>
        </row>
        <row r="68">
          <cell r="B68">
            <v>-0.05</v>
          </cell>
          <cell r="C68">
            <v>0</v>
          </cell>
          <cell r="D68">
            <v>0.12</v>
          </cell>
          <cell r="E68">
            <v>0</v>
          </cell>
          <cell r="F68">
            <v>0</v>
          </cell>
          <cell r="G68">
            <v>3.4610223132816476E-2</v>
          </cell>
          <cell r="I68">
            <v>0.04</v>
          </cell>
          <cell r="K68">
            <v>0.08</v>
          </cell>
          <cell r="M68">
            <v>-0.05</v>
          </cell>
          <cell r="N68">
            <v>-0.05</v>
          </cell>
          <cell r="O68">
            <v>0.1</v>
          </cell>
          <cell r="P68">
            <v>0</v>
          </cell>
          <cell r="Q68">
            <v>3.8951543784368159E-2</v>
          </cell>
          <cell r="S68">
            <v>0</v>
          </cell>
          <cell r="U68" t="str">
            <v>2002/01E</v>
          </cell>
          <cell r="V68" t="str">
            <v>NM</v>
          </cell>
          <cell r="W68" t="str">
            <v>NM</v>
          </cell>
          <cell r="X68" t="str">
            <v>NM</v>
          </cell>
          <cell r="Y68" t="str">
            <v>NM</v>
          </cell>
          <cell r="Z68" t="str">
            <v>NM</v>
          </cell>
          <cell r="AA68" t="str">
            <v>NM</v>
          </cell>
          <cell r="AB68" t="str">
            <v>NM</v>
          </cell>
          <cell r="AC68" t="str">
            <v>NM</v>
          </cell>
          <cell r="AD68" t="str">
            <v>NM</v>
          </cell>
          <cell r="AE68" t="str">
            <v>NM</v>
          </cell>
          <cell r="AF68">
            <v>0.31343283582089554</v>
          </cell>
          <cell r="AG68">
            <v>5.3801363042966788E-2</v>
          </cell>
          <cell r="AH68" t="str">
            <v>NM</v>
          </cell>
          <cell r="AI68" t="str">
            <v>NM</v>
          </cell>
          <cell r="AJ68">
            <v>5.3801363042966788E-2</v>
          </cell>
        </row>
        <row r="69">
          <cell r="B69">
            <v>0</v>
          </cell>
          <cell r="C69">
            <v>0</v>
          </cell>
          <cell r="D69">
            <v>0.08</v>
          </cell>
          <cell r="E69">
            <v>0</v>
          </cell>
          <cell r="F69">
            <v>0</v>
          </cell>
          <cell r="G69">
            <v>2.844160957995534E-2</v>
          </cell>
          <cell r="I69">
            <v>0.04</v>
          </cell>
          <cell r="K69" t="str">
            <v>NM</v>
          </cell>
          <cell r="M69">
            <v>-0.05</v>
          </cell>
          <cell r="N69">
            <v>-0.05</v>
          </cell>
          <cell r="O69">
            <v>0.08</v>
          </cell>
          <cell r="P69">
            <v>0</v>
          </cell>
          <cell r="Q69">
            <v>3.172994148422692E-2</v>
          </cell>
          <cell r="S69">
            <v>0</v>
          </cell>
          <cell r="U69" t="str">
            <v>2003/02E</v>
          </cell>
          <cell r="V69" t="str">
            <v>NM</v>
          </cell>
          <cell r="W69" t="str">
            <v>NM</v>
          </cell>
          <cell r="X69" t="str">
            <v>NM</v>
          </cell>
          <cell r="Y69" t="str">
            <v>NM</v>
          </cell>
          <cell r="Z69" t="str">
            <v>NM</v>
          </cell>
          <cell r="AA69" t="str">
            <v>NM</v>
          </cell>
          <cell r="AB69" t="str">
            <v>NM</v>
          </cell>
          <cell r="AC69" t="str">
            <v>NM</v>
          </cell>
          <cell r="AD69" t="str">
            <v>NM</v>
          </cell>
          <cell r="AE69" t="str">
            <v>NM</v>
          </cell>
          <cell r="AF69">
            <v>0.30681818181818188</v>
          </cell>
          <cell r="AG69">
            <v>0.11635554647309099</v>
          </cell>
          <cell r="AH69" t="str">
            <v>NM</v>
          </cell>
          <cell r="AI69" t="str">
            <v>NM</v>
          </cell>
          <cell r="AJ69">
            <v>0.11635554647309099</v>
          </cell>
        </row>
        <row r="70">
          <cell r="B70">
            <v>0</v>
          </cell>
          <cell r="C70">
            <v>0</v>
          </cell>
          <cell r="D70">
            <v>0.05</v>
          </cell>
          <cell r="E70">
            <v>0</v>
          </cell>
          <cell r="F70">
            <v>0</v>
          </cell>
          <cell r="G70">
            <v>1.8667162323693809E-2</v>
          </cell>
          <cell r="I70">
            <v>0.04</v>
          </cell>
          <cell r="K70" t="str">
            <v>NM</v>
          </cell>
          <cell r="M70">
            <v>-0.05</v>
          </cell>
          <cell r="N70">
            <v>-0.05</v>
          </cell>
          <cell r="O70">
            <v>0.05</v>
          </cell>
          <cell r="P70">
            <v>0</v>
          </cell>
          <cell r="Q70">
            <v>1.6192765313560509E-2</v>
          </cell>
          <cell r="S70">
            <v>0</v>
          </cell>
          <cell r="U70" t="str">
            <v>2004/03E</v>
          </cell>
          <cell r="V70" t="str">
            <v>NM</v>
          </cell>
          <cell r="W70" t="str">
            <v>NM</v>
          </cell>
          <cell r="X70" t="str">
            <v>NM</v>
          </cell>
          <cell r="Y70" t="str">
            <v>NM</v>
          </cell>
          <cell r="Z70" t="str">
            <v>NM</v>
          </cell>
          <cell r="AA70" t="str">
            <v>NM</v>
          </cell>
          <cell r="AB70" t="str">
            <v>NM</v>
          </cell>
          <cell r="AC70" t="str">
            <v>NM</v>
          </cell>
          <cell r="AD70" t="str">
            <v>NM</v>
          </cell>
          <cell r="AE70" t="str">
            <v>NM</v>
          </cell>
          <cell r="AF70">
            <v>0.28695652173913033</v>
          </cell>
          <cell r="AG70">
            <v>0.16921741065018381</v>
          </cell>
          <cell r="AH70" t="str">
            <v>NM</v>
          </cell>
          <cell r="AI70" t="str">
            <v>NM</v>
          </cell>
          <cell r="AJ70">
            <v>0.16921741065018381</v>
          </cell>
        </row>
        <row r="71">
          <cell r="B71">
            <v>0</v>
          </cell>
          <cell r="C71">
            <v>0</v>
          </cell>
          <cell r="D71">
            <v>0.05</v>
          </cell>
          <cell r="E71">
            <v>0</v>
          </cell>
          <cell r="F71">
            <v>0</v>
          </cell>
          <cell r="G71">
            <v>1.9241339237015875E-2</v>
          </cell>
          <cell r="I71">
            <v>0.04</v>
          </cell>
          <cell r="K71" t="str">
            <v>NM</v>
          </cell>
          <cell r="M71">
            <v>-0.05</v>
          </cell>
          <cell r="N71">
            <v>-0.05</v>
          </cell>
          <cell r="O71">
            <v>0.05</v>
          </cell>
          <cell r="P71">
            <v>0</v>
          </cell>
          <cell r="Q71">
            <v>1.8283774824252808E-2</v>
          </cell>
          <cell r="S71">
            <v>0</v>
          </cell>
          <cell r="U71" t="str">
            <v>2005/04E</v>
          </cell>
          <cell r="V71" t="str">
            <v>NM</v>
          </cell>
          <cell r="W71" t="str">
            <v>NM</v>
          </cell>
          <cell r="X71" t="str">
            <v>NM</v>
          </cell>
          <cell r="Y71" t="str">
            <v>NM</v>
          </cell>
          <cell r="Z71" t="str">
            <v>NM</v>
          </cell>
          <cell r="AA71" t="str">
            <v>NM</v>
          </cell>
          <cell r="AB71" t="str">
            <v>NM</v>
          </cell>
          <cell r="AC71" t="str">
            <v>NM</v>
          </cell>
          <cell r="AD71" t="str">
            <v>NM</v>
          </cell>
          <cell r="AE71" t="str">
            <v>NM</v>
          </cell>
          <cell r="AF71">
            <v>0.2391891891891893</v>
          </cell>
          <cell r="AG71">
            <v>0.15536872102363386</v>
          </cell>
          <cell r="AH71" t="str">
            <v>NM</v>
          </cell>
          <cell r="AI71" t="str">
            <v>NM</v>
          </cell>
          <cell r="AJ71">
            <v>0.15536872102363386</v>
          </cell>
        </row>
        <row r="73">
          <cell r="B73">
            <v>54.4</v>
          </cell>
          <cell r="C73">
            <v>197</v>
          </cell>
          <cell r="D73">
            <v>110.7</v>
          </cell>
          <cell r="E73">
            <v>10</v>
          </cell>
          <cell r="F73">
            <v>71.900000000000006</v>
          </cell>
          <cell r="G73">
            <v>444</v>
          </cell>
          <cell r="I73">
            <v>230.88</v>
          </cell>
          <cell r="K73">
            <v>464.80000000000007</v>
          </cell>
          <cell r="M73">
            <v>348.81</v>
          </cell>
          <cell r="N73">
            <v>108.16</v>
          </cell>
          <cell r="O73">
            <v>407.5</v>
          </cell>
          <cell r="P73">
            <v>47.199999999999996</v>
          </cell>
          <cell r="Q73">
            <v>911.67000000000007</v>
          </cell>
          <cell r="S73">
            <v>390.49400000000003</v>
          </cell>
          <cell r="U73" t="str">
            <v>1999E</v>
          </cell>
          <cell r="V73">
            <v>0</v>
          </cell>
          <cell r="W73">
            <v>0</v>
          </cell>
          <cell r="X73">
            <v>0</v>
          </cell>
          <cell r="Y73">
            <v>0</v>
          </cell>
          <cell r="Z73">
            <v>650</v>
          </cell>
          <cell r="AA73">
            <v>5</v>
          </cell>
          <cell r="AB73">
            <v>0</v>
          </cell>
          <cell r="AC73">
            <v>0</v>
          </cell>
          <cell r="AD73">
            <v>0</v>
          </cell>
          <cell r="AE73">
            <v>0</v>
          </cell>
          <cell r="AF73">
            <v>655</v>
          </cell>
          <cell r="AG73">
            <v>3096.8440000000005</v>
          </cell>
          <cell r="AH73">
            <v>175</v>
          </cell>
          <cell r="AI73">
            <v>0</v>
          </cell>
          <cell r="AJ73">
            <v>3271.8440000000005</v>
          </cell>
        </row>
        <row r="74">
          <cell r="B74">
            <v>48.96</v>
          </cell>
          <cell r="C74">
            <v>197</v>
          </cell>
          <cell r="D74">
            <v>138.375</v>
          </cell>
          <cell r="E74">
            <v>10</v>
          </cell>
          <cell r="F74">
            <v>71.900000000000006</v>
          </cell>
          <cell r="G74">
            <v>466.23500000000001</v>
          </cell>
          <cell r="I74">
            <v>240.11520000000002</v>
          </cell>
          <cell r="K74">
            <v>511.28000000000014</v>
          </cell>
          <cell r="M74">
            <v>313.92900000000003</v>
          </cell>
          <cell r="N74">
            <v>91.935999999999993</v>
          </cell>
          <cell r="O74">
            <v>489</v>
          </cell>
          <cell r="P74">
            <v>47.199999999999996</v>
          </cell>
          <cell r="Q74">
            <v>942.06500000000005</v>
          </cell>
          <cell r="S74">
            <v>390.49400000000003</v>
          </cell>
          <cell r="U74" t="str">
            <v>2000E</v>
          </cell>
          <cell r="V74">
            <v>20</v>
          </cell>
          <cell r="W74">
            <v>5</v>
          </cell>
          <cell r="X74">
            <v>0</v>
          </cell>
          <cell r="Y74">
            <v>0</v>
          </cell>
          <cell r="Z74">
            <v>1100</v>
          </cell>
          <cell r="AA74">
            <v>25</v>
          </cell>
          <cell r="AB74">
            <v>25</v>
          </cell>
          <cell r="AC74">
            <v>0</v>
          </cell>
          <cell r="AD74">
            <v>0</v>
          </cell>
          <cell r="AE74">
            <v>0</v>
          </cell>
          <cell r="AF74">
            <v>1175</v>
          </cell>
          <cell r="AG74">
            <v>3725.1892000000003</v>
          </cell>
          <cell r="AH74">
            <v>100</v>
          </cell>
          <cell r="AI74">
            <v>0</v>
          </cell>
          <cell r="AJ74">
            <v>3825.1892000000003</v>
          </cell>
        </row>
        <row r="75">
          <cell r="B75">
            <v>46.512</v>
          </cell>
          <cell r="C75">
            <v>197</v>
          </cell>
          <cell r="D75">
            <v>159.13124999999999</v>
          </cell>
          <cell r="E75">
            <v>10</v>
          </cell>
          <cell r="F75">
            <v>71.900000000000006</v>
          </cell>
          <cell r="G75">
            <v>484.54324999999994</v>
          </cell>
          <cell r="I75">
            <v>249.71980800000003</v>
          </cell>
          <cell r="K75">
            <v>557.29520000000025</v>
          </cell>
          <cell r="M75">
            <v>282.53610000000003</v>
          </cell>
          <cell r="N75">
            <v>82.742399999999989</v>
          </cell>
          <cell r="O75">
            <v>562.34999999999991</v>
          </cell>
          <cell r="P75">
            <v>47.199999999999996</v>
          </cell>
          <cell r="Q75">
            <v>974.82849999999996</v>
          </cell>
          <cell r="S75">
            <v>390.49400000000003</v>
          </cell>
          <cell r="U75" t="str">
            <v>2001E</v>
          </cell>
          <cell r="V75">
            <v>35</v>
          </cell>
          <cell r="W75">
            <v>65</v>
          </cell>
          <cell r="X75">
            <v>0</v>
          </cell>
          <cell r="Y75">
            <v>0</v>
          </cell>
          <cell r="Z75">
            <v>1450</v>
          </cell>
          <cell r="AA75">
            <v>50</v>
          </cell>
          <cell r="AB75">
            <v>50</v>
          </cell>
          <cell r="AC75">
            <v>0</v>
          </cell>
          <cell r="AD75">
            <v>0</v>
          </cell>
          <cell r="AE75">
            <v>25</v>
          </cell>
          <cell r="AF75">
            <v>1675</v>
          </cell>
          <cell r="AG75">
            <v>4331.8807580000002</v>
          </cell>
          <cell r="AH75">
            <v>0</v>
          </cell>
          <cell r="AI75">
            <v>0</v>
          </cell>
          <cell r="AJ75">
            <v>4331.8807580000002</v>
          </cell>
        </row>
        <row r="76">
          <cell r="B76">
            <v>44.186399999999999</v>
          </cell>
          <cell r="C76">
            <v>197</v>
          </cell>
          <cell r="D76">
            <v>178.227</v>
          </cell>
          <cell r="E76">
            <v>10</v>
          </cell>
          <cell r="F76">
            <v>71.900000000000006</v>
          </cell>
          <cell r="G76">
            <v>501.3134</v>
          </cell>
          <cell r="I76">
            <v>259.70860032000002</v>
          </cell>
          <cell r="K76">
            <v>200.62627200000009</v>
          </cell>
          <cell r="M76">
            <v>268.40929500000004</v>
          </cell>
          <cell r="N76">
            <v>78.605279999999979</v>
          </cell>
          <cell r="O76">
            <v>618.58499999999992</v>
          </cell>
          <cell r="P76">
            <v>47.199999999999996</v>
          </cell>
          <cell r="Q76">
            <v>1012.799575</v>
          </cell>
          <cell r="S76">
            <v>390.49400000000003</v>
          </cell>
          <cell r="U76" t="str">
            <v>2002E</v>
          </cell>
          <cell r="V76">
            <v>50</v>
          </cell>
          <cell r="W76">
            <v>100</v>
          </cell>
          <cell r="X76">
            <v>0</v>
          </cell>
          <cell r="Y76">
            <v>0</v>
          </cell>
          <cell r="Z76">
            <v>1800</v>
          </cell>
          <cell r="AA76">
            <v>75</v>
          </cell>
          <cell r="AB76">
            <v>75</v>
          </cell>
          <cell r="AC76">
            <v>50</v>
          </cell>
          <cell r="AD76">
            <v>0</v>
          </cell>
          <cell r="AE76">
            <v>50</v>
          </cell>
          <cell r="AF76">
            <v>2200</v>
          </cell>
          <cell r="AG76">
            <v>4564.9418473200003</v>
          </cell>
          <cell r="AH76">
            <v>0</v>
          </cell>
          <cell r="AI76">
            <v>0</v>
          </cell>
          <cell r="AJ76">
            <v>4564.9418473200003</v>
          </cell>
        </row>
        <row r="77">
          <cell r="B77">
            <v>44.186399999999999</v>
          </cell>
          <cell r="C77">
            <v>197</v>
          </cell>
          <cell r="D77">
            <v>192.48516000000001</v>
          </cell>
          <cell r="E77">
            <v>10</v>
          </cell>
          <cell r="F77">
            <v>71.900000000000006</v>
          </cell>
          <cell r="G77">
            <v>515.57155999999998</v>
          </cell>
          <cell r="I77">
            <v>270.09694433280004</v>
          </cell>
          <cell r="K77">
            <v>0</v>
          </cell>
          <cell r="M77">
            <v>254.98883025000003</v>
          </cell>
          <cell r="N77">
            <v>74.675015999999971</v>
          </cell>
          <cell r="O77">
            <v>668.07179999999994</v>
          </cell>
          <cell r="P77">
            <v>47.199999999999996</v>
          </cell>
          <cell r="Q77">
            <v>1044.93564625</v>
          </cell>
          <cell r="S77">
            <v>390.49400000000003</v>
          </cell>
          <cell r="U77" t="str">
            <v>2003E</v>
          </cell>
          <cell r="V77">
            <v>65</v>
          </cell>
          <cell r="W77">
            <v>135</v>
          </cell>
          <cell r="X77">
            <v>0</v>
          </cell>
          <cell r="Y77">
            <v>0</v>
          </cell>
          <cell r="Z77">
            <v>2200</v>
          </cell>
          <cell r="AA77">
            <v>100</v>
          </cell>
          <cell r="AB77">
            <v>100</v>
          </cell>
          <cell r="AC77">
            <v>200</v>
          </cell>
          <cell r="AD77">
            <v>0</v>
          </cell>
          <cell r="AE77">
            <v>75</v>
          </cell>
          <cell r="AF77">
            <v>2875</v>
          </cell>
          <cell r="AG77">
            <v>5096.0981505828004</v>
          </cell>
          <cell r="AH77">
            <v>0</v>
          </cell>
          <cell r="AI77">
            <v>0</v>
          </cell>
          <cell r="AJ77">
            <v>5096.0981505828004</v>
          </cell>
        </row>
        <row r="78">
          <cell r="B78">
            <v>44.186399999999999</v>
          </cell>
          <cell r="C78">
            <v>197</v>
          </cell>
          <cell r="D78">
            <v>202.10941800000001</v>
          </cell>
          <cell r="E78">
            <v>10</v>
          </cell>
          <cell r="F78">
            <v>71.900000000000006</v>
          </cell>
          <cell r="G78">
            <v>525.19581800000003</v>
          </cell>
          <cell r="I78">
            <v>280.90082210611206</v>
          </cell>
          <cell r="K78">
            <v>0</v>
          </cell>
          <cell r="M78">
            <v>242.23938873750004</v>
          </cell>
          <cell r="N78">
            <v>70.941265199999975</v>
          </cell>
          <cell r="O78">
            <v>701.47538999999995</v>
          </cell>
          <cell r="P78">
            <v>47.199999999999996</v>
          </cell>
          <cell r="Q78">
            <v>1061.8560439374999</v>
          </cell>
          <cell r="S78">
            <v>390.49400000000003</v>
          </cell>
          <cell r="U78" t="str">
            <v>2004E</v>
          </cell>
          <cell r="V78">
            <v>75</v>
          </cell>
          <cell r="W78">
            <v>175</v>
          </cell>
          <cell r="X78">
            <v>0</v>
          </cell>
          <cell r="Y78">
            <v>0</v>
          </cell>
          <cell r="Z78">
            <v>2600</v>
          </cell>
          <cell r="AA78">
            <v>125</v>
          </cell>
          <cell r="AB78">
            <v>125</v>
          </cell>
          <cell r="AC78">
            <v>500</v>
          </cell>
          <cell r="AD78">
            <v>0</v>
          </cell>
          <cell r="AE78">
            <v>100</v>
          </cell>
          <cell r="AF78">
            <v>3700</v>
          </cell>
          <cell r="AG78">
            <v>5958.4466840436125</v>
          </cell>
          <cell r="AH78">
            <v>0</v>
          </cell>
          <cell r="AI78">
            <v>0</v>
          </cell>
          <cell r="AJ78">
            <v>5958.4466840436125</v>
          </cell>
        </row>
        <row r="79">
          <cell r="B79">
            <v>44.186399999999999</v>
          </cell>
          <cell r="C79">
            <v>197</v>
          </cell>
          <cell r="D79">
            <v>212.21488890000001</v>
          </cell>
          <cell r="E79">
            <v>10</v>
          </cell>
          <cell r="F79">
            <v>71.900000000000006</v>
          </cell>
          <cell r="G79">
            <v>535.30128890000003</v>
          </cell>
          <cell r="I79">
            <v>292.13685499035654</v>
          </cell>
          <cell r="K79">
            <v>0</v>
          </cell>
          <cell r="M79">
            <v>230.12741930062504</v>
          </cell>
          <cell r="N79">
            <v>67.394201939999974</v>
          </cell>
          <cell r="O79">
            <v>736.54915949999997</v>
          </cell>
          <cell r="P79">
            <v>47.199999999999996</v>
          </cell>
          <cell r="Q79">
            <v>1081.270780740625</v>
          </cell>
          <cell r="S79">
            <v>390.49400000000003</v>
          </cell>
          <cell r="U79" t="str">
            <v>2005E</v>
          </cell>
          <cell r="V79">
            <v>85</v>
          </cell>
          <cell r="W79">
            <v>200</v>
          </cell>
          <cell r="X79">
            <v>0</v>
          </cell>
          <cell r="Y79">
            <v>0</v>
          </cell>
          <cell r="Z79">
            <v>3000</v>
          </cell>
          <cell r="AA79">
            <v>200</v>
          </cell>
          <cell r="AB79">
            <v>200</v>
          </cell>
          <cell r="AC79">
            <v>700</v>
          </cell>
          <cell r="AD79">
            <v>0</v>
          </cell>
          <cell r="AE79">
            <v>200</v>
          </cell>
          <cell r="AF79">
            <v>4585</v>
          </cell>
          <cell r="AG79">
            <v>6884.2029246309812</v>
          </cell>
          <cell r="AH79">
            <v>0</v>
          </cell>
          <cell r="AI79">
            <v>0</v>
          </cell>
          <cell r="AJ79">
            <v>6884.2029246309812</v>
          </cell>
        </row>
        <row r="81">
          <cell r="U81" t="str">
            <v>Notes:</v>
          </cell>
        </row>
        <row r="82">
          <cell r="U82" t="str">
            <v>(a)  Searle acquired Roche/Syntex's Womens' Health business in 1995.  Pro-forma sales for 1995 were $211 million.</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2Wizard"/>
      <sheetName val="Box"/>
      <sheetName val="Income"/>
      <sheetName val="Revenues"/>
      <sheetName val="MS Model"/>
      <sheetName val="Cash Flow "/>
      <sheetName val="Balance Sheet"/>
      <sheetName val="MS Week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389"/>
  <sheetViews>
    <sheetView showGridLines="0" tabSelected="1" workbookViewId="0">
      <selection activeCell="Z1" sqref="Z1"/>
    </sheetView>
  </sheetViews>
  <sheetFormatPr defaultRowHeight="12.75"/>
  <cols>
    <col min="1" max="1" width="25.625" style="745" customWidth="1"/>
    <col min="2" max="5" width="9" style="745"/>
    <col min="6" max="6" width="18.625" style="745" customWidth="1"/>
    <col min="7" max="256" width="9" style="745"/>
    <col min="257" max="257" width="88.125" style="745" customWidth="1"/>
    <col min="258" max="512" width="9" style="745"/>
    <col min="513" max="513" width="88.125" style="745" customWidth="1"/>
    <col min="514" max="768" width="9" style="745"/>
    <col min="769" max="769" width="88.125" style="745" customWidth="1"/>
    <col min="770" max="1024" width="9" style="745"/>
    <col min="1025" max="1025" width="88.125" style="745" customWidth="1"/>
    <col min="1026" max="1280" width="9" style="745"/>
    <col min="1281" max="1281" width="88.125" style="745" customWidth="1"/>
    <col min="1282" max="1536" width="9" style="745"/>
    <col min="1537" max="1537" width="88.125" style="745" customWidth="1"/>
    <col min="1538" max="1792" width="9" style="745"/>
    <col min="1793" max="1793" width="88.125" style="745" customWidth="1"/>
    <col min="1794" max="2048" width="9" style="745"/>
    <col min="2049" max="2049" width="88.125" style="745" customWidth="1"/>
    <col min="2050" max="2304" width="9" style="745"/>
    <col min="2305" max="2305" width="88.125" style="745" customWidth="1"/>
    <col min="2306" max="2560" width="9" style="745"/>
    <col min="2561" max="2561" width="88.125" style="745" customWidth="1"/>
    <col min="2562" max="2816" width="9" style="745"/>
    <col min="2817" max="2817" width="88.125" style="745" customWidth="1"/>
    <col min="2818" max="3072" width="9" style="745"/>
    <col min="3073" max="3073" width="88.125" style="745" customWidth="1"/>
    <col min="3074" max="3328" width="9" style="745"/>
    <col min="3329" max="3329" width="88.125" style="745" customWidth="1"/>
    <col min="3330" max="3584" width="9" style="745"/>
    <col min="3585" max="3585" width="88.125" style="745" customWidth="1"/>
    <col min="3586" max="3840" width="9" style="745"/>
    <col min="3841" max="3841" width="88.125" style="745" customWidth="1"/>
    <col min="3842" max="4096" width="9" style="745"/>
    <col min="4097" max="4097" width="88.125" style="745" customWidth="1"/>
    <col min="4098" max="4352" width="9" style="745"/>
    <col min="4353" max="4353" width="88.125" style="745" customWidth="1"/>
    <col min="4354" max="4608" width="9" style="745"/>
    <col min="4609" max="4609" width="88.125" style="745" customWidth="1"/>
    <col min="4610" max="4864" width="9" style="745"/>
    <col min="4865" max="4865" width="88.125" style="745" customWidth="1"/>
    <col min="4866" max="5120" width="9" style="745"/>
    <col min="5121" max="5121" width="88.125" style="745" customWidth="1"/>
    <col min="5122" max="5376" width="9" style="745"/>
    <col min="5377" max="5377" width="88.125" style="745" customWidth="1"/>
    <col min="5378" max="5632" width="9" style="745"/>
    <col min="5633" max="5633" width="88.125" style="745" customWidth="1"/>
    <col min="5634" max="5888" width="9" style="745"/>
    <col min="5889" max="5889" width="88.125" style="745" customWidth="1"/>
    <col min="5890" max="6144" width="9" style="745"/>
    <col min="6145" max="6145" width="88.125" style="745" customWidth="1"/>
    <col min="6146" max="6400" width="9" style="745"/>
    <col min="6401" max="6401" width="88.125" style="745" customWidth="1"/>
    <col min="6402" max="6656" width="9" style="745"/>
    <col min="6657" max="6657" width="88.125" style="745" customWidth="1"/>
    <col min="6658" max="6912" width="9" style="745"/>
    <col min="6913" max="6913" width="88.125" style="745" customWidth="1"/>
    <col min="6914" max="7168" width="9" style="745"/>
    <col min="7169" max="7169" width="88.125" style="745" customWidth="1"/>
    <col min="7170" max="7424" width="9" style="745"/>
    <col min="7425" max="7425" width="88.125" style="745" customWidth="1"/>
    <col min="7426" max="7680" width="9" style="745"/>
    <col min="7681" max="7681" width="88.125" style="745" customWidth="1"/>
    <col min="7682" max="7936" width="9" style="745"/>
    <col min="7937" max="7937" width="88.125" style="745" customWidth="1"/>
    <col min="7938" max="8192" width="9" style="745"/>
    <col min="8193" max="8193" width="88.125" style="745" customWidth="1"/>
    <col min="8194" max="8448" width="9" style="745"/>
    <col min="8449" max="8449" width="88.125" style="745" customWidth="1"/>
    <col min="8450" max="8704" width="9" style="745"/>
    <col min="8705" max="8705" width="88.125" style="745" customWidth="1"/>
    <col min="8706" max="8960" width="9" style="745"/>
    <col min="8961" max="8961" width="88.125" style="745" customWidth="1"/>
    <col min="8962" max="9216" width="9" style="745"/>
    <col min="9217" max="9217" width="88.125" style="745" customWidth="1"/>
    <col min="9218" max="9472" width="9" style="745"/>
    <col min="9473" max="9473" width="88.125" style="745" customWidth="1"/>
    <col min="9474" max="9728" width="9" style="745"/>
    <col min="9729" max="9729" width="88.125" style="745" customWidth="1"/>
    <col min="9730" max="9984" width="9" style="745"/>
    <col min="9985" max="9985" width="88.125" style="745" customWidth="1"/>
    <col min="9986" max="10240" width="9" style="745"/>
    <col min="10241" max="10241" width="88.125" style="745" customWidth="1"/>
    <col min="10242" max="10496" width="9" style="745"/>
    <col min="10497" max="10497" width="88.125" style="745" customWidth="1"/>
    <col min="10498" max="10752" width="9" style="745"/>
    <col min="10753" max="10753" width="88.125" style="745" customWidth="1"/>
    <col min="10754" max="11008" width="9" style="745"/>
    <col min="11009" max="11009" width="88.125" style="745" customWidth="1"/>
    <col min="11010" max="11264" width="9" style="745"/>
    <col min="11265" max="11265" width="88.125" style="745" customWidth="1"/>
    <col min="11266" max="11520" width="9" style="745"/>
    <col min="11521" max="11521" width="88.125" style="745" customWidth="1"/>
    <col min="11522" max="11776" width="9" style="745"/>
    <col min="11777" max="11777" width="88.125" style="745" customWidth="1"/>
    <col min="11778" max="12032" width="9" style="745"/>
    <col min="12033" max="12033" width="88.125" style="745" customWidth="1"/>
    <col min="12034" max="12288" width="9" style="745"/>
    <col min="12289" max="12289" width="88.125" style="745" customWidth="1"/>
    <col min="12290" max="12544" width="9" style="745"/>
    <col min="12545" max="12545" width="88.125" style="745" customWidth="1"/>
    <col min="12546" max="12800" width="9" style="745"/>
    <col min="12801" max="12801" width="88.125" style="745" customWidth="1"/>
    <col min="12802" max="13056" width="9" style="745"/>
    <col min="13057" max="13057" width="88.125" style="745" customWidth="1"/>
    <col min="13058" max="13312" width="9" style="745"/>
    <col min="13313" max="13313" width="88.125" style="745" customWidth="1"/>
    <col min="13314" max="13568" width="9" style="745"/>
    <col min="13569" max="13569" width="88.125" style="745" customWidth="1"/>
    <col min="13570" max="13824" width="9" style="745"/>
    <col min="13825" max="13825" width="88.125" style="745" customWidth="1"/>
    <col min="13826" max="14080" width="9" style="745"/>
    <col min="14081" max="14081" width="88.125" style="745" customWidth="1"/>
    <col min="14082" max="14336" width="9" style="745"/>
    <col min="14337" max="14337" width="88.125" style="745" customWidth="1"/>
    <col min="14338" max="14592" width="9" style="745"/>
    <col min="14593" max="14593" width="88.125" style="745" customWidth="1"/>
    <col min="14594" max="14848" width="9" style="745"/>
    <col min="14849" max="14849" width="88.125" style="745" customWidth="1"/>
    <col min="14850" max="15104" width="9" style="745"/>
    <col min="15105" max="15105" width="88.125" style="745" customWidth="1"/>
    <col min="15106" max="15360" width="9" style="745"/>
    <col min="15361" max="15361" width="88.125" style="745" customWidth="1"/>
    <col min="15362" max="15616" width="9" style="745"/>
    <col min="15617" max="15617" width="88.125" style="745" customWidth="1"/>
    <col min="15618" max="15872" width="9" style="745"/>
    <col min="15873" max="15873" width="88.125" style="745" customWidth="1"/>
    <col min="15874" max="16128" width="9" style="745"/>
    <col min="16129" max="16129" width="88.125" style="745" customWidth="1"/>
    <col min="16130" max="16384" width="9" style="745"/>
  </cols>
  <sheetData>
    <row r="1" spans="1:8" ht="30" customHeight="1">
      <c r="A1" s="743"/>
      <c r="B1" s="744"/>
      <c r="C1" s="744"/>
      <c r="D1" s="744"/>
      <c r="E1" s="744"/>
      <c r="F1" s="744"/>
      <c r="G1" s="744"/>
      <c r="H1" s="744"/>
    </row>
    <row r="2" spans="1:8" ht="14.25">
      <c r="A2" s="746" t="s">
        <v>628</v>
      </c>
      <c r="B2" s="744"/>
      <c r="C2" s="744"/>
      <c r="D2" s="744"/>
      <c r="E2" s="744"/>
      <c r="F2" s="744"/>
      <c r="G2" s="744"/>
      <c r="H2" s="744"/>
    </row>
    <row r="3" spans="1:8" ht="14.25">
      <c r="A3" s="746" t="s">
        <v>629</v>
      </c>
      <c r="B3" s="744"/>
      <c r="C3" s="744"/>
      <c r="D3" s="744"/>
      <c r="E3" s="744"/>
      <c r="F3" s="744"/>
      <c r="G3" s="744"/>
      <c r="H3" s="744"/>
    </row>
    <row r="4" spans="1:8" ht="14.25">
      <c r="A4" s="746" t="s">
        <v>455</v>
      </c>
      <c r="B4" s="744"/>
      <c r="C4" s="744"/>
      <c r="D4" s="744"/>
      <c r="E4" s="744"/>
      <c r="F4" s="744"/>
      <c r="G4" s="744"/>
      <c r="H4" s="744"/>
    </row>
    <row r="5" spans="1:8" ht="14.25">
      <c r="A5" s="746" t="s">
        <v>630</v>
      </c>
      <c r="B5" s="744"/>
      <c r="C5" s="744"/>
      <c r="D5" s="744"/>
      <c r="E5" s="744"/>
      <c r="F5" s="744"/>
      <c r="G5" s="744"/>
      <c r="H5" s="744"/>
    </row>
    <row r="6" spans="1:8" ht="14.25">
      <c r="A6" s="746"/>
      <c r="B6" s="744"/>
      <c r="C6" s="744"/>
      <c r="D6" s="744"/>
      <c r="E6" s="744"/>
      <c r="F6" s="744"/>
      <c r="G6" s="744"/>
      <c r="H6" s="744"/>
    </row>
    <row r="7" spans="1:8">
      <c r="A7" s="743" t="s">
        <v>631</v>
      </c>
      <c r="B7" s="744"/>
      <c r="C7" s="744"/>
      <c r="D7" s="744"/>
      <c r="E7" s="744"/>
      <c r="F7" s="744"/>
      <c r="G7" s="744"/>
      <c r="H7" s="744"/>
    </row>
    <row r="8" spans="1:8">
      <c r="A8" s="743" t="s">
        <v>632</v>
      </c>
      <c r="B8" s="744"/>
      <c r="C8" s="744"/>
      <c r="D8" s="744"/>
      <c r="E8" s="744"/>
      <c r="F8" s="744"/>
      <c r="G8" s="744"/>
      <c r="H8" s="744"/>
    </row>
    <row r="9" spans="1:8">
      <c r="A9" s="743"/>
      <c r="B9" s="744"/>
      <c r="C9" s="744"/>
      <c r="D9" s="744"/>
      <c r="E9" s="744"/>
      <c r="F9" s="744"/>
      <c r="G9" s="744"/>
      <c r="H9" s="744"/>
    </row>
    <row r="10" spans="1:8">
      <c r="A10" s="747" t="s">
        <v>633</v>
      </c>
      <c r="B10" s="744"/>
      <c r="C10" s="744"/>
      <c r="D10" s="744"/>
      <c r="E10" s="744"/>
      <c r="F10" s="744"/>
      <c r="G10" s="744"/>
      <c r="H10" s="744"/>
    </row>
    <row r="11" spans="1:8">
      <c r="A11" s="747" t="s">
        <v>634</v>
      </c>
      <c r="B11" s="744"/>
      <c r="C11" s="744"/>
      <c r="D11" s="744"/>
      <c r="E11" s="744"/>
      <c r="F11" s="744"/>
      <c r="G11" s="744"/>
      <c r="H11" s="744"/>
    </row>
    <row r="12" spans="1:8">
      <c r="A12" s="747" t="s">
        <v>635</v>
      </c>
      <c r="B12" s="744"/>
      <c r="C12" s="744"/>
      <c r="D12" s="744"/>
      <c r="E12" s="744"/>
      <c r="F12" s="744"/>
      <c r="G12" s="744"/>
      <c r="H12" s="744"/>
    </row>
    <row r="13" spans="1:8">
      <c r="A13" s="747" t="s">
        <v>636</v>
      </c>
      <c r="B13" s="744"/>
      <c r="C13" s="744"/>
      <c r="D13" s="744"/>
      <c r="E13" s="744"/>
      <c r="F13" s="744"/>
      <c r="G13" s="744"/>
      <c r="H13" s="744"/>
    </row>
    <row r="14" spans="1:8">
      <c r="A14" s="747" t="s">
        <v>637</v>
      </c>
      <c r="B14" s="744"/>
      <c r="C14" s="744"/>
      <c r="D14" s="744"/>
      <c r="E14" s="744"/>
      <c r="F14" s="744"/>
      <c r="G14" s="744"/>
      <c r="H14" s="744"/>
    </row>
    <row r="15" spans="1:8">
      <c r="A15" s="747" t="s">
        <v>638</v>
      </c>
      <c r="B15" s="744"/>
      <c r="C15" s="744"/>
      <c r="D15" s="744"/>
      <c r="E15" s="744"/>
      <c r="F15" s="744"/>
      <c r="G15" s="744"/>
      <c r="H15" s="744"/>
    </row>
    <row r="16" spans="1:8">
      <c r="A16" s="747"/>
      <c r="B16" s="744"/>
      <c r="C16" s="744"/>
      <c r="D16" s="744"/>
      <c r="E16" s="744"/>
      <c r="F16" s="744"/>
      <c r="G16" s="744"/>
      <c r="H16" s="744"/>
    </row>
    <row r="17" spans="1:8">
      <c r="A17" s="747" t="s">
        <v>625</v>
      </c>
      <c r="B17" s="744"/>
      <c r="C17" s="744"/>
      <c r="D17" s="744"/>
      <c r="E17" s="744"/>
      <c r="F17" s="744"/>
      <c r="G17" s="744"/>
      <c r="H17" s="744"/>
    </row>
    <row r="18" spans="1:8">
      <c r="A18" s="747"/>
      <c r="B18" s="744"/>
      <c r="C18" s="744"/>
      <c r="D18" s="744"/>
      <c r="E18" s="744"/>
      <c r="F18" s="744"/>
      <c r="G18" s="744"/>
      <c r="H18" s="744"/>
    </row>
    <row r="19" spans="1:8">
      <c r="A19" s="747" t="s">
        <v>626</v>
      </c>
      <c r="B19" s="744"/>
      <c r="C19" s="744"/>
      <c r="D19" s="744"/>
      <c r="E19" s="744"/>
      <c r="F19" s="744"/>
      <c r="G19" s="744"/>
      <c r="H19" s="744"/>
    </row>
    <row r="20" spans="1:8">
      <c r="A20" s="743"/>
      <c r="B20" s="744"/>
      <c r="C20" s="744"/>
      <c r="D20" s="744"/>
      <c r="E20" s="744"/>
      <c r="F20" s="744"/>
      <c r="G20" s="744"/>
      <c r="H20" s="744"/>
    </row>
    <row r="21" spans="1:8">
      <c r="A21" s="748" t="s">
        <v>627</v>
      </c>
      <c r="B21" s="744"/>
      <c r="C21" s="744"/>
      <c r="D21" s="744"/>
      <c r="E21" s="744"/>
      <c r="F21" s="744"/>
      <c r="G21" s="744"/>
      <c r="H21" s="744"/>
    </row>
    <row r="22" spans="1:8" ht="13.5">
      <c r="A22" s="749"/>
      <c r="B22" s="749"/>
      <c r="C22" s="749"/>
      <c r="D22" s="749"/>
      <c r="E22" s="749"/>
      <c r="F22" s="749"/>
      <c r="G22" s="749"/>
      <c r="H22" s="749"/>
    </row>
    <row r="23" spans="1:8" ht="13.5">
      <c r="A23" s="750" t="s">
        <v>915</v>
      </c>
      <c r="B23" s="749"/>
      <c r="C23" s="749"/>
      <c r="D23" s="749"/>
      <c r="E23" s="749"/>
      <c r="F23" s="749"/>
      <c r="G23" s="749"/>
      <c r="H23" s="749"/>
    </row>
    <row r="24" spans="1:8" ht="13.5">
      <c r="A24" s="750" t="s">
        <v>916</v>
      </c>
      <c r="B24" s="749"/>
      <c r="C24" s="749"/>
      <c r="D24" s="749"/>
      <c r="E24" s="749"/>
      <c r="F24" s="749"/>
      <c r="G24" s="749"/>
      <c r="H24" s="749"/>
    </row>
    <row r="25" spans="1:8" ht="13.5">
      <c r="A25" s="750" t="s">
        <v>917</v>
      </c>
      <c r="B25" s="749"/>
      <c r="C25" s="749"/>
      <c r="D25" s="749"/>
      <c r="E25" s="749"/>
      <c r="F25" s="749"/>
      <c r="G25" s="749"/>
      <c r="H25" s="749"/>
    </row>
    <row r="26" spans="1:8" ht="13.5">
      <c r="A26" s="750" t="s">
        <v>918</v>
      </c>
      <c r="B26" s="749"/>
      <c r="C26" s="749"/>
      <c r="D26" s="749"/>
      <c r="E26" s="749"/>
      <c r="F26" s="749"/>
      <c r="G26" s="749"/>
      <c r="H26" s="749"/>
    </row>
    <row r="27" spans="1:8" ht="13.5">
      <c r="A27" s="749"/>
      <c r="B27" s="749"/>
      <c r="C27" s="749"/>
      <c r="D27" s="749"/>
      <c r="E27" s="749"/>
      <c r="F27" s="749"/>
      <c r="G27" s="749"/>
      <c r="H27" s="749"/>
    </row>
    <row r="28" spans="1:8" ht="13.5">
      <c r="A28" s="749"/>
      <c r="B28" s="749"/>
      <c r="C28" s="749"/>
      <c r="D28" s="749"/>
      <c r="E28" s="749"/>
      <c r="F28" s="749"/>
      <c r="G28" s="749"/>
      <c r="H28" s="749"/>
    </row>
    <row r="29" spans="1:8" ht="13.5">
      <c r="A29" s="750" t="s">
        <v>910</v>
      </c>
      <c r="B29" s="749"/>
      <c r="C29" s="749"/>
      <c r="D29" s="749"/>
      <c r="E29" s="749"/>
      <c r="F29" s="749"/>
      <c r="G29" s="749"/>
      <c r="H29" s="749"/>
    </row>
    <row r="30" spans="1:8" ht="13.5">
      <c r="A30" s="750" t="s">
        <v>911</v>
      </c>
      <c r="B30" s="749"/>
      <c r="C30" s="749"/>
      <c r="D30" s="749"/>
      <c r="E30" s="749"/>
      <c r="F30" s="749"/>
      <c r="G30" s="749"/>
      <c r="H30" s="749"/>
    </row>
    <row r="31" spans="1:8" ht="13.5">
      <c r="A31" s="750" t="s">
        <v>912</v>
      </c>
      <c r="B31" s="749"/>
      <c r="C31" s="749"/>
      <c r="D31" s="749"/>
      <c r="E31" s="749"/>
      <c r="F31" s="749"/>
      <c r="G31" s="749"/>
      <c r="H31" s="749"/>
    </row>
    <row r="32" spans="1:8" ht="13.5">
      <c r="A32" s="750" t="s">
        <v>913</v>
      </c>
      <c r="B32" s="749"/>
      <c r="C32" s="749"/>
      <c r="D32" s="749"/>
      <c r="E32" s="749"/>
      <c r="F32" s="749"/>
      <c r="G32" s="749"/>
      <c r="H32" s="749"/>
    </row>
    <row r="33" spans="1:8" ht="13.5">
      <c r="A33" s="750" t="s">
        <v>914</v>
      </c>
      <c r="B33" s="749"/>
      <c r="C33" s="749"/>
      <c r="D33" s="749"/>
      <c r="E33" s="749"/>
      <c r="F33" s="749"/>
      <c r="G33" s="749"/>
      <c r="H33" s="749"/>
    </row>
    <row r="34" spans="1:8" ht="13.5">
      <c r="A34" s="749"/>
      <c r="B34" s="749"/>
      <c r="C34" s="749"/>
      <c r="D34" s="749"/>
      <c r="E34" s="749"/>
      <c r="F34" s="749"/>
      <c r="G34" s="749"/>
      <c r="H34" s="749"/>
    </row>
    <row r="35" spans="1:8" ht="13.5">
      <c r="A35" s="750" t="s">
        <v>906</v>
      </c>
      <c r="B35" s="749"/>
      <c r="C35" s="749"/>
      <c r="D35" s="749"/>
      <c r="E35" s="749"/>
      <c r="F35" s="749"/>
      <c r="G35" s="749"/>
      <c r="H35" s="749"/>
    </row>
    <row r="36" spans="1:8" ht="13.5">
      <c r="A36" s="750" t="s">
        <v>907</v>
      </c>
      <c r="B36" s="749"/>
      <c r="C36" s="749"/>
      <c r="D36" s="749"/>
      <c r="E36" s="749"/>
      <c r="F36" s="749"/>
      <c r="G36" s="749"/>
      <c r="H36" s="749"/>
    </row>
    <row r="37" spans="1:8" ht="13.5">
      <c r="A37" s="750" t="s">
        <v>908</v>
      </c>
      <c r="B37" s="749"/>
      <c r="C37" s="749"/>
      <c r="D37" s="749"/>
      <c r="E37" s="749"/>
      <c r="F37" s="749"/>
      <c r="G37" s="749"/>
      <c r="H37" s="749"/>
    </row>
    <row r="38" spans="1:8" ht="13.5">
      <c r="A38" s="750" t="s">
        <v>909</v>
      </c>
      <c r="B38" s="749"/>
      <c r="C38" s="749"/>
      <c r="D38" s="749"/>
      <c r="E38" s="749"/>
      <c r="F38" s="749"/>
      <c r="G38" s="749"/>
      <c r="H38" s="749"/>
    </row>
    <row r="39" spans="1:8" ht="13.5">
      <c r="A39" s="749"/>
      <c r="B39" s="749"/>
      <c r="C39" s="749"/>
      <c r="D39" s="749"/>
      <c r="E39" s="749"/>
      <c r="F39" s="749"/>
      <c r="G39" s="749"/>
      <c r="H39" s="749"/>
    </row>
    <row r="40" spans="1:8" ht="13.5">
      <c r="A40" s="750" t="s">
        <v>900</v>
      </c>
      <c r="B40" s="749"/>
      <c r="C40" s="749"/>
      <c r="D40" s="749"/>
      <c r="E40" s="749"/>
      <c r="F40" s="749"/>
      <c r="G40" s="749"/>
      <c r="H40" s="749"/>
    </row>
    <row r="41" spans="1:8" ht="13.5">
      <c r="A41" s="750" t="s">
        <v>901</v>
      </c>
      <c r="B41" s="749"/>
      <c r="C41" s="749"/>
      <c r="D41" s="749"/>
      <c r="E41" s="749"/>
      <c r="F41" s="749"/>
      <c r="G41" s="749"/>
      <c r="H41" s="749"/>
    </row>
    <row r="42" spans="1:8" ht="13.5">
      <c r="A42" s="750" t="s">
        <v>902</v>
      </c>
      <c r="B42" s="749"/>
      <c r="C42" s="749"/>
      <c r="D42" s="749"/>
      <c r="E42" s="749"/>
      <c r="F42" s="749"/>
      <c r="G42" s="749"/>
      <c r="H42" s="749"/>
    </row>
    <row r="43" spans="1:8" ht="13.5">
      <c r="A43" s="750" t="s">
        <v>903</v>
      </c>
      <c r="B43" s="749"/>
      <c r="C43" s="749"/>
      <c r="D43" s="749"/>
      <c r="E43" s="749"/>
      <c r="F43" s="749"/>
      <c r="G43" s="749"/>
      <c r="H43" s="749"/>
    </row>
    <row r="44" spans="1:8" ht="13.5">
      <c r="A44" s="750" t="s">
        <v>904</v>
      </c>
      <c r="B44" s="749"/>
      <c r="C44" s="749"/>
      <c r="D44" s="749"/>
      <c r="E44" s="749"/>
      <c r="F44" s="749"/>
      <c r="G44" s="749"/>
      <c r="H44" s="749"/>
    </row>
    <row r="45" spans="1:8" ht="13.5">
      <c r="A45" s="750" t="s">
        <v>905</v>
      </c>
      <c r="B45" s="749"/>
      <c r="C45" s="749"/>
      <c r="D45" s="749"/>
      <c r="E45" s="749"/>
      <c r="F45" s="749"/>
      <c r="G45" s="749"/>
      <c r="H45" s="749"/>
    </row>
    <row r="46" spans="1:8" ht="13.5">
      <c r="A46" s="749"/>
      <c r="B46" s="749"/>
      <c r="C46" s="749"/>
      <c r="D46" s="749"/>
      <c r="E46" s="749"/>
      <c r="F46" s="749"/>
      <c r="G46" s="749"/>
      <c r="H46" s="749"/>
    </row>
    <row r="47" spans="1:8" ht="15.75">
      <c r="A47" s="751" t="s">
        <v>639</v>
      </c>
      <c r="B47" s="749"/>
      <c r="C47" s="749"/>
      <c r="D47" s="749"/>
      <c r="E47" s="749"/>
      <c r="F47" s="749"/>
      <c r="G47" s="749"/>
      <c r="H47" s="749"/>
    </row>
    <row r="48" spans="1:8" ht="13.5">
      <c r="A48" s="749"/>
      <c r="B48" s="749"/>
      <c r="C48" s="749"/>
      <c r="D48" s="749"/>
      <c r="E48" s="749"/>
      <c r="F48" s="749"/>
      <c r="G48" s="749"/>
      <c r="H48" s="749"/>
    </row>
    <row r="49" spans="1:8" ht="13.5">
      <c r="A49" s="750" t="s">
        <v>896</v>
      </c>
      <c r="B49" s="749"/>
      <c r="C49" s="749"/>
      <c r="D49" s="749"/>
      <c r="E49" s="749"/>
      <c r="F49" s="749"/>
      <c r="G49" s="749"/>
      <c r="H49" s="749"/>
    </row>
    <row r="50" spans="1:8" ht="13.5">
      <c r="A50" s="750" t="s">
        <v>897</v>
      </c>
      <c r="B50" s="749"/>
      <c r="C50" s="749"/>
      <c r="D50" s="749"/>
      <c r="E50" s="749"/>
      <c r="F50" s="749"/>
      <c r="G50" s="749"/>
      <c r="H50" s="749"/>
    </row>
    <row r="51" spans="1:8" ht="13.5">
      <c r="A51" s="750" t="s">
        <v>898</v>
      </c>
      <c r="B51" s="749"/>
      <c r="C51" s="749"/>
      <c r="D51" s="749"/>
      <c r="E51" s="749"/>
      <c r="F51" s="749"/>
      <c r="G51" s="749"/>
      <c r="H51" s="749"/>
    </row>
    <row r="52" spans="1:8" ht="13.5">
      <c r="A52" s="750" t="s">
        <v>899</v>
      </c>
      <c r="B52" s="749"/>
      <c r="C52" s="749"/>
      <c r="D52" s="749"/>
      <c r="E52" s="749"/>
      <c r="F52" s="749"/>
      <c r="G52" s="749"/>
      <c r="H52" s="749"/>
    </row>
    <row r="53" spans="1:8" ht="13.5">
      <c r="A53" s="749"/>
      <c r="B53" s="749"/>
      <c r="C53" s="749"/>
      <c r="D53" s="749"/>
      <c r="E53" s="749"/>
      <c r="F53" s="749"/>
      <c r="G53" s="749"/>
      <c r="H53" s="749"/>
    </row>
    <row r="54" spans="1:8" ht="13.5">
      <c r="A54" s="750" t="s">
        <v>640</v>
      </c>
      <c r="B54" s="749"/>
      <c r="C54" s="749"/>
      <c r="D54" s="749"/>
      <c r="E54" s="749"/>
      <c r="F54" s="749"/>
      <c r="G54" s="749"/>
      <c r="H54" s="749"/>
    </row>
    <row r="55" spans="1:8" ht="13.5">
      <c r="A55" s="749"/>
      <c r="B55" s="749"/>
      <c r="C55" s="749"/>
      <c r="D55" s="749"/>
      <c r="E55" s="749"/>
      <c r="F55" s="749"/>
      <c r="G55" s="749"/>
      <c r="H55" s="749"/>
    </row>
    <row r="56" spans="1:8" ht="15.75">
      <c r="A56" s="751" t="s">
        <v>641</v>
      </c>
      <c r="B56" s="749"/>
      <c r="C56" s="749"/>
      <c r="D56" s="749"/>
      <c r="E56" s="749"/>
      <c r="F56" s="749"/>
      <c r="G56" s="749"/>
      <c r="H56" s="749"/>
    </row>
    <row r="57" spans="1:8" ht="13.5">
      <c r="A57" s="749"/>
      <c r="B57" s="749"/>
      <c r="C57" s="749"/>
      <c r="D57" s="749"/>
      <c r="E57" s="749"/>
      <c r="F57" s="749"/>
      <c r="G57" s="749"/>
      <c r="H57" s="749"/>
    </row>
    <row r="58" spans="1:8" ht="13.5">
      <c r="A58" s="750" t="s">
        <v>894</v>
      </c>
      <c r="B58" s="749"/>
      <c r="C58" s="749"/>
      <c r="D58" s="749"/>
      <c r="E58" s="749"/>
      <c r="F58" s="749"/>
      <c r="G58" s="749"/>
      <c r="H58" s="749"/>
    </row>
    <row r="59" spans="1:8" ht="13.5">
      <c r="A59" s="750" t="s">
        <v>895</v>
      </c>
      <c r="B59" s="749"/>
      <c r="C59" s="749"/>
      <c r="D59" s="749"/>
      <c r="E59" s="749"/>
      <c r="F59" s="749"/>
      <c r="G59" s="749"/>
      <c r="H59" s="749"/>
    </row>
    <row r="60" spans="1:8" ht="13.5">
      <c r="A60" s="749"/>
      <c r="B60" s="749"/>
      <c r="C60" s="749"/>
      <c r="D60" s="749"/>
      <c r="E60" s="749"/>
      <c r="F60" s="749"/>
      <c r="G60" s="749"/>
      <c r="H60" s="749"/>
    </row>
    <row r="61" spans="1:8" ht="15.75">
      <c r="A61" s="751" t="s">
        <v>642</v>
      </c>
      <c r="B61" s="749"/>
      <c r="C61" s="749"/>
      <c r="D61" s="749"/>
      <c r="E61" s="749"/>
      <c r="F61" s="749"/>
      <c r="G61" s="749"/>
      <c r="H61" s="749"/>
    </row>
    <row r="62" spans="1:8" ht="13.5">
      <c r="A62" s="749"/>
      <c r="B62" s="749"/>
      <c r="C62" s="749"/>
      <c r="D62" s="749"/>
      <c r="E62" s="749"/>
      <c r="F62" s="749"/>
      <c r="G62" s="749"/>
      <c r="H62" s="749"/>
    </row>
    <row r="63" spans="1:8" ht="13.5">
      <c r="A63" s="750" t="s">
        <v>892</v>
      </c>
      <c r="B63" s="749"/>
      <c r="C63" s="749"/>
      <c r="D63" s="749"/>
      <c r="E63" s="749"/>
      <c r="F63" s="749"/>
      <c r="G63" s="749"/>
      <c r="H63" s="749"/>
    </row>
    <row r="64" spans="1:8" ht="13.5">
      <c r="A64" s="750" t="s">
        <v>893</v>
      </c>
      <c r="B64" s="749"/>
      <c r="C64" s="749"/>
      <c r="D64" s="749"/>
      <c r="E64" s="749"/>
      <c r="F64" s="749"/>
      <c r="G64" s="749"/>
      <c r="H64" s="749"/>
    </row>
    <row r="65" spans="1:8" ht="13.5">
      <c r="A65" s="749"/>
      <c r="B65" s="749"/>
      <c r="C65" s="749"/>
      <c r="D65" s="749"/>
      <c r="E65" s="749"/>
      <c r="F65" s="749"/>
      <c r="G65" s="749"/>
      <c r="H65" s="749"/>
    </row>
    <row r="66" spans="1:8" ht="13.5">
      <c r="A66" s="750" t="s">
        <v>889</v>
      </c>
      <c r="B66" s="749"/>
      <c r="C66" s="749"/>
      <c r="D66" s="749"/>
      <c r="E66" s="749"/>
      <c r="F66" s="749"/>
      <c r="G66" s="749"/>
      <c r="H66" s="749"/>
    </row>
    <row r="67" spans="1:8" ht="13.5">
      <c r="A67" s="750" t="s">
        <v>890</v>
      </c>
      <c r="B67" s="749"/>
      <c r="C67" s="749"/>
      <c r="D67" s="749"/>
      <c r="E67" s="749"/>
      <c r="F67" s="749"/>
      <c r="G67" s="749"/>
      <c r="H67" s="749"/>
    </row>
    <row r="68" spans="1:8" ht="13.5">
      <c r="A68" s="750" t="s">
        <v>891</v>
      </c>
      <c r="B68" s="749"/>
      <c r="C68" s="749"/>
      <c r="D68" s="749"/>
      <c r="E68" s="749"/>
      <c r="F68" s="749"/>
      <c r="G68" s="749"/>
      <c r="H68" s="749"/>
    </row>
    <row r="69" spans="1:8" ht="13.5">
      <c r="A69" s="749"/>
      <c r="B69" s="749"/>
      <c r="C69" s="749"/>
      <c r="D69" s="749"/>
      <c r="E69" s="749"/>
      <c r="F69" s="749"/>
      <c r="G69" s="749"/>
      <c r="H69" s="749"/>
    </row>
    <row r="70" spans="1:8" ht="13.5">
      <c r="A70" s="750" t="s">
        <v>886</v>
      </c>
      <c r="B70" s="749"/>
      <c r="C70" s="749"/>
      <c r="D70" s="749"/>
      <c r="E70" s="749"/>
      <c r="F70" s="749"/>
      <c r="G70" s="749"/>
      <c r="H70" s="749"/>
    </row>
    <row r="71" spans="1:8" ht="13.5">
      <c r="A71" s="750" t="s">
        <v>887</v>
      </c>
      <c r="B71" s="749"/>
      <c r="C71" s="749"/>
      <c r="D71" s="749"/>
      <c r="E71" s="749"/>
      <c r="F71" s="749"/>
      <c r="G71" s="749"/>
      <c r="H71" s="749"/>
    </row>
    <row r="72" spans="1:8" ht="13.5">
      <c r="A72" s="750" t="s">
        <v>888</v>
      </c>
      <c r="B72" s="749"/>
      <c r="C72" s="749"/>
      <c r="D72" s="749"/>
      <c r="E72" s="749"/>
      <c r="F72" s="749"/>
      <c r="G72" s="749"/>
      <c r="H72" s="749"/>
    </row>
    <row r="73" spans="1:8" ht="13.5">
      <c r="A73" s="749"/>
      <c r="B73" s="749"/>
      <c r="C73" s="749"/>
      <c r="D73" s="749"/>
      <c r="E73" s="749"/>
      <c r="F73" s="749"/>
      <c r="G73" s="749"/>
      <c r="H73" s="749"/>
    </row>
    <row r="74" spans="1:8" ht="13.5">
      <c r="A74" s="750" t="s">
        <v>643</v>
      </c>
      <c r="B74" s="749"/>
      <c r="C74" s="749"/>
      <c r="D74" s="749"/>
      <c r="E74" s="749"/>
      <c r="F74" s="749"/>
      <c r="G74" s="749"/>
      <c r="H74" s="749"/>
    </row>
    <row r="75" spans="1:8" ht="13.5">
      <c r="A75" s="749"/>
      <c r="B75" s="749"/>
      <c r="C75" s="749"/>
      <c r="D75" s="749"/>
      <c r="E75" s="749"/>
      <c r="F75" s="749"/>
      <c r="G75" s="749"/>
      <c r="H75" s="749"/>
    </row>
    <row r="76" spans="1:8" ht="13.5">
      <c r="A76" s="750" t="s">
        <v>881</v>
      </c>
      <c r="B76" s="749"/>
      <c r="C76" s="749"/>
      <c r="D76" s="749"/>
      <c r="E76" s="749"/>
      <c r="F76" s="749"/>
      <c r="G76" s="749"/>
      <c r="H76" s="749"/>
    </row>
    <row r="77" spans="1:8" ht="13.5">
      <c r="A77" s="750" t="s">
        <v>882</v>
      </c>
      <c r="B77" s="749"/>
      <c r="C77" s="749"/>
      <c r="D77" s="749"/>
      <c r="E77" s="749"/>
      <c r="F77" s="749"/>
      <c r="G77" s="749"/>
      <c r="H77" s="749"/>
    </row>
    <row r="78" spans="1:8" ht="13.5">
      <c r="A78" s="750" t="s">
        <v>883</v>
      </c>
      <c r="B78" s="749"/>
      <c r="C78" s="749"/>
      <c r="D78" s="749"/>
      <c r="E78" s="749"/>
      <c r="F78" s="749"/>
      <c r="G78" s="749"/>
      <c r="H78" s="749"/>
    </row>
    <row r="79" spans="1:8" ht="13.5">
      <c r="A79" s="750" t="s">
        <v>884</v>
      </c>
      <c r="B79" s="749"/>
      <c r="C79" s="749"/>
      <c r="D79" s="749"/>
      <c r="E79" s="749"/>
      <c r="F79" s="749"/>
      <c r="G79" s="749"/>
      <c r="H79" s="749"/>
    </row>
    <row r="80" spans="1:8" ht="13.5">
      <c r="A80" s="750" t="s">
        <v>885</v>
      </c>
      <c r="B80" s="749"/>
      <c r="C80" s="749"/>
      <c r="D80" s="749"/>
      <c r="E80" s="749"/>
      <c r="F80" s="749"/>
      <c r="G80" s="749"/>
      <c r="H80" s="749"/>
    </row>
    <row r="81" spans="1:8" ht="13.5">
      <c r="A81" s="750" t="s">
        <v>768</v>
      </c>
      <c r="B81" s="749"/>
      <c r="C81" s="749"/>
      <c r="D81" s="749"/>
      <c r="E81" s="749"/>
      <c r="F81" s="749"/>
      <c r="G81" s="749"/>
      <c r="H81" s="749"/>
    </row>
    <row r="82" spans="1:8" ht="13.5">
      <c r="A82" s="749"/>
      <c r="B82" s="749"/>
      <c r="C82" s="749"/>
      <c r="D82" s="749"/>
      <c r="E82" s="749"/>
      <c r="F82" s="749"/>
      <c r="G82" s="749"/>
      <c r="H82" s="749"/>
    </row>
    <row r="83" spans="1:8" ht="13.5">
      <c r="A83" s="750" t="s">
        <v>874</v>
      </c>
      <c r="B83" s="749"/>
      <c r="C83" s="749"/>
      <c r="D83" s="749"/>
      <c r="E83" s="749"/>
      <c r="F83" s="749"/>
      <c r="G83" s="749"/>
      <c r="H83" s="749"/>
    </row>
    <row r="84" spans="1:8" ht="13.5">
      <c r="A84" s="750" t="s">
        <v>875</v>
      </c>
      <c r="B84" s="749"/>
      <c r="C84" s="749"/>
      <c r="D84" s="749"/>
      <c r="E84" s="749"/>
      <c r="F84" s="749"/>
      <c r="G84" s="749"/>
      <c r="H84" s="749"/>
    </row>
    <row r="85" spans="1:8" ht="13.5">
      <c r="A85" s="750" t="s">
        <v>876</v>
      </c>
      <c r="B85" s="749"/>
      <c r="C85" s="749"/>
      <c r="D85" s="749"/>
      <c r="E85" s="749"/>
      <c r="F85" s="749"/>
      <c r="G85" s="749"/>
      <c r="H85" s="749"/>
    </row>
    <row r="86" spans="1:8" ht="13.5">
      <c r="A86" s="750" t="s">
        <v>877</v>
      </c>
      <c r="B86" s="749"/>
      <c r="C86" s="749"/>
      <c r="D86" s="749"/>
      <c r="E86" s="749"/>
      <c r="F86" s="749"/>
      <c r="G86" s="749"/>
      <c r="H86" s="749"/>
    </row>
    <row r="87" spans="1:8" ht="13.5">
      <c r="A87" s="750" t="s">
        <v>878</v>
      </c>
      <c r="B87" s="749"/>
      <c r="C87" s="749"/>
      <c r="D87" s="749"/>
      <c r="E87" s="749"/>
      <c r="F87" s="749"/>
      <c r="G87" s="749"/>
      <c r="H87" s="749"/>
    </row>
    <row r="88" spans="1:8" ht="13.5">
      <c r="A88" s="750" t="s">
        <v>879</v>
      </c>
      <c r="B88" s="749"/>
      <c r="C88" s="749"/>
      <c r="D88" s="749"/>
      <c r="E88" s="749"/>
      <c r="F88" s="749"/>
      <c r="G88" s="749"/>
      <c r="H88" s="749"/>
    </row>
    <row r="89" spans="1:8" ht="13.5">
      <c r="A89" s="750" t="s">
        <v>880</v>
      </c>
      <c r="B89" s="749"/>
      <c r="C89" s="749"/>
      <c r="D89" s="749"/>
      <c r="E89" s="749"/>
      <c r="F89" s="749"/>
      <c r="G89" s="749"/>
      <c r="H89" s="749"/>
    </row>
    <row r="90" spans="1:8" ht="13.5">
      <c r="A90" s="749"/>
      <c r="B90" s="749"/>
      <c r="C90" s="749"/>
      <c r="D90" s="749"/>
      <c r="E90" s="749"/>
      <c r="F90" s="749"/>
      <c r="G90" s="749"/>
      <c r="H90" s="749"/>
    </row>
    <row r="91" spans="1:8" ht="13.5">
      <c r="A91" s="750" t="s">
        <v>872</v>
      </c>
      <c r="B91" s="749"/>
      <c r="C91" s="749"/>
      <c r="D91" s="749"/>
      <c r="E91" s="749"/>
      <c r="F91" s="749"/>
      <c r="G91" s="749"/>
      <c r="H91" s="749"/>
    </row>
    <row r="92" spans="1:8" ht="13.5">
      <c r="A92" s="750" t="s">
        <v>873</v>
      </c>
      <c r="B92" s="749"/>
      <c r="C92" s="749"/>
      <c r="D92" s="749"/>
      <c r="E92" s="749"/>
      <c r="F92" s="749"/>
      <c r="G92" s="749"/>
      <c r="H92" s="749"/>
    </row>
    <row r="93" spans="1:8" ht="13.5">
      <c r="A93" s="749"/>
      <c r="B93" s="749"/>
      <c r="C93" s="749"/>
      <c r="D93" s="749"/>
      <c r="E93" s="749"/>
      <c r="F93" s="749"/>
      <c r="G93" s="749"/>
      <c r="H93" s="749"/>
    </row>
    <row r="94" spans="1:8" ht="15.75">
      <c r="A94" s="751" t="s">
        <v>644</v>
      </c>
      <c r="B94" s="749"/>
      <c r="C94" s="749"/>
      <c r="D94" s="749"/>
      <c r="E94" s="749"/>
      <c r="F94" s="749"/>
      <c r="G94" s="749"/>
      <c r="H94" s="749"/>
    </row>
    <row r="95" spans="1:8" ht="13.5">
      <c r="A95" s="749"/>
      <c r="B95" s="749"/>
      <c r="C95" s="749"/>
      <c r="D95" s="749"/>
      <c r="E95" s="749"/>
      <c r="F95" s="749"/>
      <c r="G95" s="749"/>
      <c r="H95" s="749"/>
    </row>
    <row r="96" spans="1:8" ht="13.5">
      <c r="A96" s="750" t="s">
        <v>863</v>
      </c>
      <c r="B96" s="749"/>
      <c r="C96" s="749"/>
      <c r="D96" s="749"/>
      <c r="E96" s="749"/>
      <c r="F96" s="749"/>
      <c r="G96" s="749"/>
      <c r="H96" s="749"/>
    </row>
    <row r="97" spans="1:8" ht="13.5">
      <c r="A97" s="750" t="s">
        <v>864</v>
      </c>
      <c r="B97" s="749"/>
      <c r="C97" s="749"/>
      <c r="D97" s="749"/>
      <c r="E97" s="749"/>
      <c r="F97" s="749"/>
      <c r="G97" s="749"/>
      <c r="H97" s="749"/>
    </row>
    <row r="98" spans="1:8" ht="13.5">
      <c r="A98" s="750" t="s">
        <v>865</v>
      </c>
      <c r="B98" s="749"/>
      <c r="C98" s="749"/>
      <c r="D98" s="749"/>
      <c r="E98" s="749"/>
      <c r="F98" s="749"/>
      <c r="G98" s="749"/>
      <c r="H98" s="749"/>
    </row>
    <row r="99" spans="1:8" ht="13.5">
      <c r="A99" s="750" t="s">
        <v>866</v>
      </c>
      <c r="B99" s="749"/>
      <c r="C99" s="749"/>
      <c r="D99" s="749"/>
      <c r="E99" s="749"/>
      <c r="F99" s="749"/>
      <c r="G99" s="749"/>
      <c r="H99" s="749"/>
    </row>
    <row r="100" spans="1:8" ht="13.5">
      <c r="A100" s="750" t="s">
        <v>867</v>
      </c>
      <c r="B100" s="749"/>
      <c r="C100" s="749"/>
      <c r="D100" s="749"/>
      <c r="E100" s="749"/>
      <c r="F100" s="749"/>
      <c r="G100" s="749"/>
      <c r="H100" s="749"/>
    </row>
    <row r="101" spans="1:8" ht="13.5">
      <c r="A101" s="750" t="s">
        <v>868</v>
      </c>
      <c r="B101" s="749"/>
      <c r="C101" s="749"/>
      <c r="D101" s="749"/>
      <c r="E101" s="749"/>
      <c r="F101" s="749"/>
      <c r="G101" s="749"/>
      <c r="H101" s="749"/>
    </row>
    <row r="102" spans="1:8" ht="13.5">
      <c r="A102" s="750" t="s">
        <v>869</v>
      </c>
      <c r="B102" s="749"/>
      <c r="C102" s="749"/>
      <c r="D102" s="749"/>
      <c r="E102" s="749"/>
      <c r="F102" s="749"/>
      <c r="G102" s="749"/>
      <c r="H102" s="749"/>
    </row>
    <row r="103" spans="1:8" ht="13.5">
      <c r="A103" s="750" t="s">
        <v>870</v>
      </c>
      <c r="B103" s="749"/>
      <c r="C103" s="749"/>
      <c r="D103" s="749"/>
      <c r="E103" s="749"/>
      <c r="F103" s="749"/>
      <c r="G103" s="749"/>
      <c r="H103" s="749"/>
    </row>
    <row r="104" spans="1:8" ht="13.5">
      <c r="A104" s="750" t="s">
        <v>871</v>
      </c>
      <c r="B104" s="749"/>
      <c r="C104" s="749"/>
      <c r="D104" s="749"/>
      <c r="E104" s="749"/>
      <c r="F104" s="749"/>
      <c r="G104" s="749"/>
      <c r="H104" s="749"/>
    </row>
    <row r="105" spans="1:8" ht="13.5">
      <c r="A105" s="749"/>
      <c r="B105" s="749"/>
      <c r="C105" s="749"/>
      <c r="D105" s="749"/>
      <c r="E105" s="749"/>
      <c r="F105" s="749"/>
      <c r="G105" s="749"/>
      <c r="H105" s="749"/>
    </row>
    <row r="106" spans="1:8" ht="15.75">
      <c r="A106" s="752" t="s">
        <v>645</v>
      </c>
      <c r="B106" s="752"/>
      <c r="C106" s="752"/>
      <c r="D106" s="752"/>
      <c r="E106" s="752"/>
      <c r="F106" s="752"/>
      <c r="G106" s="752"/>
      <c r="H106" s="752"/>
    </row>
    <row r="107" spans="1:8">
      <c r="A107" s="753" t="s">
        <v>646</v>
      </c>
      <c r="B107" s="753"/>
      <c r="C107" s="753"/>
      <c r="D107" s="753"/>
      <c r="E107" s="753"/>
      <c r="F107" s="753"/>
      <c r="G107" s="753"/>
      <c r="H107" s="753"/>
    </row>
    <row r="108" spans="1:8" ht="13.5">
      <c r="A108" s="754"/>
      <c r="B108" s="754"/>
      <c r="C108" s="754"/>
      <c r="D108" s="754"/>
      <c r="E108" s="754"/>
      <c r="F108" s="754"/>
      <c r="G108" s="754"/>
      <c r="H108" s="754"/>
    </row>
    <row r="109" spans="1:8">
      <c r="A109" s="753" t="s">
        <v>861</v>
      </c>
      <c r="B109" s="753"/>
      <c r="C109" s="753"/>
      <c r="D109" s="753"/>
      <c r="E109" s="753"/>
      <c r="F109" s="753"/>
      <c r="G109" s="753"/>
      <c r="H109" s="753"/>
    </row>
    <row r="110" spans="1:8">
      <c r="A110" s="750" t="s">
        <v>862</v>
      </c>
      <c r="B110" s="750"/>
      <c r="C110" s="750"/>
      <c r="D110" s="750"/>
      <c r="E110" s="750"/>
      <c r="F110" s="750"/>
      <c r="G110" s="750"/>
      <c r="H110" s="750"/>
    </row>
    <row r="111" spans="1:8" ht="13.5">
      <c r="A111" s="754"/>
      <c r="B111" s="754"/>
      <c r="C111" s="754"/>
      <c r="D111" s="754"/>
      <c r="E111" s="754"/>
      <c r="F111" s="754"/>
      <c r="G111" s="754"/>
      <c r="H111" s="754"/>
    </row>
    <row r="112" spans="1:8">
      <c r="A112" s="753" t="s">
        <v>854</v>
      </c>
      <c r="B112" s="753"/>
      <c r="C112" s="753"/>
      <c r="D112" s="753"/>
      <c r="E112" s="753"/>
      <c r="F112" s="753"/>
      <c r="G112" s="753"/>
      <c r="H112" s="753"/>
    </row>
    <row r="113" spans="1:8">
      <c r="A113" s="750" t="s">
        <v>855</v>
      </c>
      <c r="B113" s="750"/>
      <c r="C113" s="750"/>
      <c r="D113" s="750"/>
      <c r="E113" s="750"/>
      <c r="F113" s="750"/>
      <c r="G113" s="750"/>
      <c r="H113" s="750"/>
    </row>
    <row r="114" spans="1:8">
      <c r="A114" s="750" t="s">
        <v>856</v>
      </c>
      <c r="B114" s="750"/>
      <c r="C114" s="750"/>
      <c r="D114" s="750"/>
      <c r="E114" s="750"/>
      <c r="F114" s="750"/>
      <c r="G114" s="750"/>
      <c r="H114" s="750"/>
    </row>
    <row r="115" spans="1:8">
      <c r="A115" s="750" t="s">
        <v>857</v>
      </c>
      <c r="B115" s="750"/>
      <c r="C115" s="750"/>
      <c r="D115" s="750"/>
      <c r="E115" s="750"/>
      <c r="F115" s="750"/>
      <c r="G115" s="750"/>
      <c r="H115" s="750"/>
    </row>
    <row r="116" spans="1:8">
      <c r="A116" s="750" t="s">
        <v>858</v>
      </c>
      <c r="B116" s="750"/>
      <c r="C116" s="750"/>
      <c r="D116" s="750"/>
      <c r="E116" s="750"/>
      <c r="F116" s="750"/>
      <c r="G116" s="750"/>
      <c r="H116" s="750"/>
    </row>
    <row r="117" spans="1:8">
      <c r="A117" s="750" t="s">
        <v>859</v>
      </c>
      <c r="B117" s="750"/>
      <c r="C117" s="750"/>
      <c r="D117" s="750"/>
      <c r="E117" s="750"/>
      <c r="F117" s="750"/>
      <c r="G117" s="750"/>
      <c r="H117" s="750"/>
    </row>
    <row r="118" spans="1:8">
      <c r="A118" s="750" t="s">
        <v>860</v>
      </c>
      <c r="B118" s="750"/>
      <c r="C118" s="750"/>
      <c r="D118" s="750"/>
      <c r="E118" s="750"/>
      <c r="F118" s="750"/>
      <c r="G118" s="750"/>
      <c r="H118" s="750"/>
    </row>
    <row r="119" spans="1:8" ht="13.5">
      <c r="A119" s="755"/>
      <c r="B119" s="755"/>
      <c r="C119" s="755"/>
      <c r="D119" s="755"/>
      <c r="E119" s="755"/>
      <c r="F119" s="755"/>
      <c r="G119" s="755"/>
      <c r="H119" s="755"/>
    </row>
    <row r="120" spans="1:8">
      <c r="A120" s="756"/>
      <c r="B120" s="757" t="s">
        <v>647</v>
      </c>
      <c r="C120" s="758"/>
      <c r="D120" s="757" t="s">
        <v>648</v>
      </c>
      <c r="E120" s="759"/>
      <c r="F120" s="758"/>
      <c r="G120" s="757" t="s">
        <v>649</v>
      </c>
      <c r="H120" s="758"/>
    </row>
    <row r="121" spans="1:8">
      <c r="A121" s="756" t="s">
        <v>650</v>
      </c>
      <c r="B121" s="756" t="s">
        <v>533</v>
      </c>
      <c r="C121" s="756" t="s">
        <v>651</v>
      </c>
      <c r="D121" s="756" t="s">
        <v>533</v>
      </c>
      <c r="E121" s="756" t="s">
        <v>652</v>
      </c>
      <c r="F121" s="756" t="s">
        <v>653</v>
      </c>
      <c r="G121" s="756" t="s">
        <v>533</v>
      </c>
      <c r="H121" s="756" t="s">
        <v>654</v>
      </c>
    </row>
    <row r="122" spans="1:8">
      <c r="A122" s="756" t="s">
        <v>655</v>
      </c>
      <c r="B122" s="756">
        <v>1189</v>
      </c>
      <c r="C122" s="760">
        <v>0.38</v>
      </c>
      <c r="D122" s="756">
        <v>315</v>
      </c>
      <c r="E122" s="760">
        <v>0.41</v>
      </c>
      <c r="F122" s="760">
        <v>0.26</v>
      </c>
      <c r="G122" s="756">
        <v>555</v>
      </c>
      <c r="H122" s="760">
        <v>0.39</v>
      </c>
    </row>
    <row r="123" spans="1:8">
      <c r="A123" s="756" t="s">
        <v>656</v>
      </c>
      <c r="B123" s="756">
        <v>1355</v>
      </c>
      <c r="C123" s="760">
        <v>0.43</v>
      </c>
      <c r="D123" s="756">
        <v>364</v>
      </c>
      <c r="E123" s="760">
        <v>0.47</v>
      </c>
      <c r="F123" s="760">
        <v>0.27</v>
      </c>
      <c r="G123" s="756">
        <v>644</v>
      </c>
      <c r="H123" s="760">
        <v>0.45</v>
      </c>
    </row>
    <row r="124" spans="1:8">
      <c r="A124" s="756" t="s">
        <v>657</v>
      </c>
      <c r="B124" s="756">
        <v>53</v>
      </c>
      <c r="C124" s="760">
        <v>0.02</v>
      </c>
      <c r="D124" s="756">
        <v>4</v>
      </c>
      <c r="E124" s="760">
        <v>0.01</v>
      </c>
      <c r="F124" s="760">
        <v>0.08</v>
      </c>
      <c r="G124" s="756">
        <v>7</v>
      </c>
      <c r="H124" s="760">
        <v>0</v>
      </c>
    </row>
    <row r="125" spans="1:8">
      <c r="A125" s="756" t="s">
        <v>658</v>
      </c>
      <c r="B125" s="756">
        <v>545</v>
      </c>
      <c r="C125" s="760">
        <v>0.17</v>
      </c>
      <c r="D125" s="756">
        <v>84</v>
      </c>
      <c r="E125" s="760">
        <v>0.11</v>
      </c>
      <c r="F125" s="760">
        <v>0.15</v>
      </c>
      <c r="G125" s="756">
        <v>214</v>
      </c>
      <c r="H125" s="760">
        <v>0.15</v>
      </c>
    </row>
    <row r="126" spans="1:8">
      <c r="A126" s="756" t="s">
        <v>72</v>
      </c>
      <c r="B126" s="761">
        <v>3142</v>
      </c>
      <c r="C126" s="756"/>
      <c r="D126" s="756">
        <v>767</v>
      </c>
      <c r="E126" s="756"/>
      <c r="F126" s="756"/>
      <c r="G126" s="756">
        <v>1420</v>
      </c>
      <c r="H126" s="756"/>
    </row>
    <row r="127" spans="1:8" ht="13.5">
      <c r="A127" s="762"/>
      <c r="B127" s="762"/>
      <c r="C127" s="762"/>
      <c r="D127" s="762"/>
      <c r="E127" s="762"/>
      <c r="F127" s="762"/>
      <c r="G127" s="762"/>
      <c r="H127" s="762"/>
    </row>
    <row r="128" spans="1:8">
      <c r="A128" s="753" t="s">
        <v>850</v>
      </c>
      <c r="B128" s="753"/>
      <c r="C128" s="753"/>
      <c r="D128" s="753"/>
      <c r="E128" s="753"/>
      <c r="F128" s="753"/>
      <c r="G128" s="753"/>
      <c r="H128" s="753"/>
    </row>
    <row r="129" spans="1:8">
      <c r="A129" s="750" t="s">
        <v>851</v>
      </c>
      <c r="B129" s="750"/>
      <c r="C129" s="750"/>
      <c r="D129" s="750"/>
      <c r="E129" s="750"/>
      <c r="F129" s="750"/>
      <c r="G129" s="750"/>
      <c r="H129" s="750"/>
    </row>
    <row r="130" spans="1:8">
      <c r="A130" s="750" t="s">
        <v>852</v>
      </c>
      <c r="B130" s="750"/>
      <c r="C130" s="750"/>
      <c r="D130" s="750"/>
      <c r="E130" s="750"/>
      <c r="F130" s="750"/>
      <c r="G130" s="750"/>
      <c r="H130" s="750"/>
    </row>
    <row r="131" spans="1:8">
      <c r="A131" s="750" t="s">
        <v>853</v>
      </c>
      <c r="B131" s="750"/>
      <c r="C131" s="750"/>
      <c r="D131" s="750"/>
      <c r="E131" s="750"/>
      <c r="F131" s="750"/>
      <c r="G131" s="750"/>
      <c r="H131" s="750"/>
    </row>
    <row r="132" spans="1:8" ht="13.5">
      <c r="A132" s="749"/>
      <c r="B132" s="749"/>
      <c r="C132" s="749"/>
      <c r="D132" s="749"/>
      <c r="E132" s="749"/>
      <c r="F132" s="749"/>
      <c r="G132" s="749"/>
      <c r="H132" s="749"/>
    </row>
    <row r="133" spans="1:8" ht="15.75">
      <c r="A133" s="751" t="s">
        <v>659</v>
      </c>
      <c r="B133" s="749"/>
      <c r="C133" s="749"/>
      <c r="D133" s="749"/>
      <c r="E133" s="749"/>
      <c r="F133" s="749"/>
      <c r="G133" s="749"/>
      <c r="H133" s="749"/>
    </row>
    <row r="134" spans="1:8" ht="13.5">
      <c r="A134" s="749"/>
      <c r="B134" s="749"/>
      <c r="C134" s="749"/>
      <c r="D134" s="749"/>
      <c r="E134" s="749"/>
      <c r="F134" s="749"/>
      <c r="G134" s="749"/>
      <c r="H134" s="749"/>
    </row>
    <row r="135" spans="1:8" ht="13.5">
      <c r="A135" s="750" t="s">
        <v>848</v>
      </c>
      <c r="B135" s="749"/>
      <c r="C135" s="749"/>
      <c r="D135" s="749"/>
      <c r="E135" s="749"/>
      <c r="F135" s="749"/>
      <c r="G135" s="749"/>
      <c r="H135" s="749"/>
    </row>
    <row r="136" spans="1:8" ht="13.5">
      <c r="A136" s="750" t="s">
        <v>849</v>
      </c>
      <c r="B136" s="749"/>
      <c r="C136" s="749"/>
      <c r="D136" s="749"/>
      <c r="E136" s="749"/>
      <c r="F136" s="749"/>
      <c r="G136" s="749"/>
      <c r="H136" s="749"/>
    </row>
    <row r="137" spans="1:8" ht="13.5">
      <c r="A137" s="749"/>
      <c r="B137" s="749"/>
      <c r="C137" s="749"/>
      <c r="D137" s="749"/>
      <c r="E137" s="749"/>
      <c r="F137" s="749"/>
      <c r="G137" s="749"/>
      <c r="H137" s="749"/>
    </row>
    <row r="138" spans="1:8" ht="13.5">
      <c r="A138" s="750" t="s">
        <v>845</v>
      </c>
      <c r="B138" s="749"/>
      <c r="C138" s="749"/>
      <c r="D138" s="749"/>
      <c r="E138" s="749"/>
      <c r="F138" s="749"/>
      <c r="G138" s="749"/>
      <c r="H138" s="749"/>
    </row>
    <row r="139" spans="1:8" ht="13.5">
      <c r="A139" s="750" t="s">
        <v>846</v>
      </c>
      <c r="B139" s="749"/>
      <c r="C139" s="749"/>
      <c r="D139" s="749"/>
      <c r="E139" s="749"/>
      <c r="F139" s="749"/>
      <c r="G139" s="749"/>
      <c r="H139" s="749"/>
    </row>
    <row r="140" spans="1:8" ht="13.5">
      <c r="A140" s="750" t="s">
        <v>847</v>
      </c>
      <c r="B140" s="749"/>
      <c r="C140" s="749"/>
      <c r="D140" s="749"/>
      <c r="E140" s="749"/>
      <c r="F140" s="749"/>
      <c r="G140" s="749"/>
      <c r="H140" s="749"/>
    </row>
    <row r="141" spans="1:8" ht="13.5">
      <c r="A141" s="749"/>
      <c r="B141" s="749"/>
      <c r="C141" s="749"/>
      <c r="D141" s="749"/>
      <c r="E141" s="749"/>
      <c r="F141" s="749"/>
      <c r="G141" s="749"/>
      <c r="H141" s="749"/>
    </row>
    <row r="142" spans="1:8" ht="13.5">
      <c r="A142" s="750" t="s">
        <v>842</v>
      </c>
      <c r="B142" s="749"/>
      <c r="C142" s="749"/>
      <c r="D142" s="749"/>
      <c r="E142" s="749"/>
      <c r="F142" s="749"/>
      <c r="G142" s="749"/>
      <c r="H142" s="749"/>
    </row>
    <row r="143" spans="1:8" ht="13.5">
      <c r="A143" s="750" t="s">
        <v>843</v>
      </c>
      <c r="B143" s="749"/>
      <c r="C143" s="749"/>
      <c r="D143" s="749"/>
      <c r="E143" s="749"/>
      <c r="F143" s="749"/>
      <c r="G143" s="749"/>
      <c r="H143" s="749"/>
    </row>
    <row r="144" spans="1:8" ht="13.5">
      <c r="A144" s="750" t="s">
        <v>844</v>
      </c>
      <c r="B144" s="749"/>
      <c r="C144" s="749"/>
      <c r="D144" s="749"/>
      <c r="E144" s="749"/>
      <c r="F144" s="749"/>
      <c r="G144" s="749"/>
      <c r="H144" s="749"/>
    </row>
    <row r="145" spans="1:8" ht="13.5">
      <c r="A145" s="749"/>
      <c r="B145" s="749"/>
      <c r="C145" s="749"/>
      <c r="D145" s="749"/>
      <c r="E145" s="749"/>
      <c r="F145" s="749"/>
      <c r="G145" s="749"/>
      <c r="H145" s="749"/>
    </row>
    <row r="146" spans="1:8" ht="13.5">
      <c r="A146" s="750" t="s">
        <v>839</v>
      </c>
      <c r="B146" s="749"/>
      <c r="C146" s="749"/>
      <c r="D146" s="749"/>
      <c r="E146" s="749"/>
      <c r="F146" s="749"/>
      <c r="G146" s="749"/>
      <c r="H146" s="749"/>
    </row>
    <row r="147" spans="1:8" ht="13.5">
      <c r="A147" s="750" t="s">
        <v>840</v>
      </c>
      <c r="B147" s="749"/>
      <c r="C147" s="749"/>
      <c r="D147" s="749"/>
      <c r="E147" s="749"/>
      <c r="F147" s="749"/>
      <c r="G147" s="749"/>
      <c r="H147" s="749"/>
    </row>
    <row r="148" spans="1:8" ht="13.5">
      <c r="A148" s="750" t="s">
        <v>841</v>
      </c>
      <c r="B148" s="749"/>
      <c r="C148" s="749"/>
      <c r="D148" s="749"/>
      <c r="E148" s="749"/>
      <c r="F148" s="749"/>
      <c r="G148" s="749"/>
      <c r="H148" s="749"/>
    </row>
    <row r="149" spans="1:8" ht="13.5">
      <c r="A149" s="749"/>
      <c r="B149" s="749"/>
      <c r="C149" s="749"/>
      <c r="D149" s="749"/>
      <c r="E149" s="749"/>
      <c r="F149" s="749"/>
      <c r="G149" s="749"/>
      <c r="H149" s="749"/>
    </row>
    <row r="150" spans="1:8" ht="13.5">
      <c r="A150" s="750" t="s">
        <v>837</v>
      </c>
      <c r="B150" s="749"/>
      <c r="C150" s="749"/>
      <c r="D150" s="749"/>
      <c r="E150" s="749"/>
      <c r="F150" s="749"/>
      <c r="G150" s="749"/>
      <c r="H150" s="749"/>
    </row>
    <row r="151" spans="1:8" ht="13.5">
      <c r="A151" s="750" t="s">
        <v>838</v>
      </c>
      <c r="B151" s="749"/>
      <c r="C151" s="749"/>
      <c r="D151" s="749"/>
      <c r="E151" s="749"/>
      <c r="F151" s="749"/>
      <c r="G151" s="749"/>
      <c r="H151" s="749"/>
    </row>
    <row r="152" spans="1:8" ht="13.5">
      <c r="A152" s="749"/>
      <c r="B152" s="749"/>
      <c r="C152" s="749"/>
      <c r="D152" s="749"/>
      <c r="E152" s="749"/>
      <c r="F152" s="749"/>
      <c r="G152" s="749"/>
      <c r="H152" s="749"/>
    </row>
    <row r="153" spans="1:8" ht="15.75">
      <c r="A153" s="751" t="s">
        <v>660</v>
      </c>
      <c r="B153" s="749"/>
      <c r="C153" s="749"/>
      <c r="D153" s="749"/>
      <c r="E153" s="749"/>
      <c r="F153" s="749"/>
      <c r="G153" s="749"/>
      <c r="H153" s="749"/>
    </row>
    <row r="154" spans="1:8" ht="13.5">
      <c r="A154" s="749"/>
      <c r="B154" s="749"/>
      <c r="C154" s="749"/>
      <c r="D154" s="749"/>
      <c r="E154" s="749"/>
      <c r="F154" s="749"/>
      <c r="G154" s="749"/>
      <c r="H154" s="749"/>
    </row>
    <row r="155" spans="1:8" ht="13.5">
      <c r="A155" s="750" t="s">
        <v>835</v>
      </c>
      <c r="B155" s="749"/>
      <c r="C155" s="749"/>
      <c r="D155" s="749"/>
      <c r="E155" s="749"/>
      <c r="F155" s="749"/>
      <c r="G155" s="749"/>
      <c r="H155" s="749"/>
    </row>
    <row r="156" spans="1:8" ht="13.5">
      <c r="A156" s="750" t="s">
        <v>836</v>
      </c>
      <c r="B156" s="749"/>
      <c r="C156" s="749"/>
      <c r="D156" s="749"/>
      <c r="E156" s="749"/>
      <c r="F156" s="749"/>
      <c r="G156" s="749"/>
      <c r="H156" s="749"/>
    </row>
    <row r="157" spans="1:8" ht="13.5">
      <c r="A157" s="749"/>
      <c r="B157" s="749"/>
      <c r="C157" s="749"/>
      <c r="D157" s="749"/>
      <c r="E157" s="749"/>
      <c r="F157" s="749"/>
      <c r="G157" s="749"/>
      <c r="H157" s="749"/>
    </row>
    <row r="158" spans="1:8" ht="13.5">
      <c r="A158" s="750" t="s">
        <v>833</v>
      </c>
      <c r="B158" s="749"/>
      <c r="C158" s="749"/>
      <c r="D158" s="749"/>
      <c r="E158" s="749"/>
      <c r="F158" s="749"/>
      <c r="G158" s="749"/>
      <c r="H158" s="749"/>
    </row>
    <row r="159" spans="1:8" ht="13.5">
      <c r="A159" s="750" t="s">
        <v>834</v>
      </c>
      <c r="B159" s="749"/>
      <c r="C159" s="749"/>
      <c r="D159" s="749"/>
      <c r="E159" s="749"/>
      <c r="F159" s="749"/>
      <c r="G159" s="749"/>
      <c r="H159" s="749"/>
    </row>
    <row r="160" spans="1:8" ht="13.5">
      <c r="A160" s="749"/>
      <c r="B160" s="749"/>
      <c r="C160" s="749"/>
      <c r="D160" s="749"/>
      <c r="E160" s="749"/>
      <c r="F160" s="749"/>
      <c r="G160" s="749"/>
      <c r="H160" s="749"/>
    </row>
    <row r="161" spans="1:8" ht="13.5">
      <c r="A161" s="750" t="s">
        <v>831</v>
      </c>
      <c r="B161" s="749"/>
      <c r="C161" s="749"/>
      <c r="D161" s="749"/>
      <c r="E161" s="749"/>
      <c r="F161" s="749"/>
      <c r="G161" s="749"/>
      <c r="H161" s="749"/>
    </row>
    <row r="162" spans="1:8" ht="13.5">
      <c r="A162" s="750" t="s">
        <v>832</v>
      </c>
      <c r="B162" s="749"/>
      <c r="C162" s="749"/>
      <c r="D162" s="749"/>
      <c r="E162" s="749"/>
      <c r="F162" s="749"/>
      <c r="G162" s="749"/>
      <c r="H162" s="749"/>
    </row>
    <row r="163" spans="1:8" ht="13.5">
      <c r="A163" s="749"/>
      <c r="B163" s="749"/>
      <c r="C163" s="749"/>
      <c r="D163" s="749"/>
      <c r="E163" s="749"/>
      <c r="F163" s="749"/>
      <c r="G163" s="749"/>
      <c r="H163" s="749"/>
    </row>
    <row r="164" spans="1:8" ht="13.5">
      <c r="A164" s="750" t="s">
        <v>828</v>
      </c>
      <c r="B164" s="749"/>
      <c r="C164" s="749"/>
      <c r="D164" s="749"/>
      <c r="E164" s="749"/>
      <c r="F164" s="749"/>
      <c r="G164" s="749"/>
      <c r="H164" s="749"/>
    </row>
    <row r="165" spans="1:8" ht="13.5">
      <c r="A165" s="750" t="s">
        <v>829</v>
      </c>
      <c r="B165" s="749"/>
      <c r="C165" s="749"/>
      <c r="D165" s="749"/>
      <c r="E165" s="749"/>
      <c r="F165" s="749"/>
      <c r="G165" s="749"/>
      <c r="H165" s="749"/>
    </row>
    <row r="166" spans="1:8" ht="13.5">
      <c r="A166" s="750" t="s">
        <v>830</v>
      </c>
      <c r="B166" s="749"/>
      <c r="C166" s="749"/>
      <c r="D166" s="749"/>
      <c r="E166" s="749"/>
      <c r="F166" s="749"/>
      <c r="G166" s="749"/>
      <c r="H166" s="749"/>
    </row>
    <row r="167" spans="1:8" ht="13.5">
      <c r="A167" s="749"/>
      <c r="B167" s="749"/>
      <c r="C167" s="749"/>
      <c r="D167" s="749"/>
      <c r="E167" s="749"/>
      <c r="F167" s="749"/>
      <c r="G167" s="749"/>
      <c r="H167" s="749"/>
    </row>
    <row r="168" spans="1:8" ht="13.5">
      <c r="A168" s="749"/>
      <c r="B168" s="749"/>
      <c r="C168" s="749"/>
      <c r="D168" s="749"/>
      <c r="E168" s="749"/>
      <c r="F168" s="749"/>
      <c r="G168" s="749"/>
      <c r="H168" s="749"/>
    </row>
    <row r="169" spans="1:8" ht="13.5">
      <c r="A169" s="750" t="s">
        <v>467</v>
      </c>
      <c r="B169" s="749"/>
      <c r="C169" s="749"/>
      <c r="D169" s="749"/>
      <c r="E169" s="749"/>
      <c r="F169" s="749"/>
      <c r="G169" s="749"/>
      <c r="H169" s="749"/>
    </row>
    <row r="170" spans="1:8" ht="13.5">
      <c r="A170" s="749"/>
      <c r="B170" s="749"/>
      <c r="C170" s="749"/>
      <c r="D170" s="749"/>
      <c r="E170" s="749"/>
      <c r="F170" s="749"/>
      <c r="G170" s="749"/>
      <c r="H170" s="749"/>
    </row>
    <row r="171" spans="1:8" ht="15.75">
      <c r="A171" s="751" t="s">
        <v>661</v>
      </c>
      <c r="B171" s="749"/>
      <c r="C171" s="749"/>
      <c r="D171" s="749"/>
      <c r="E171" s="749"/>
      <c r="F171" s="749"/>
      <c r="G171" s="749"/>
      <c r="H171" s="749"/>
    </row>
    <row r="172" spans="1:8" ht="13.5">
      <c r="A172" s="749"/>
      <c r="B172" s="749"/>
      <c r="C172" s="749"/>
      <c r="D172" s="749"/>
      <c r="E172" s="749"/>
      <c r="F172" s="749"/>
      <c r="G172" s="749"/>
      <c r="H172" s="749"/>
    </row>
    <row r="173" spans="1:8" ht="13.5">
      <c r="A173" s="749"/>
      <c r="B173" s="749"/>
      <c r="C173" s="749"/>
      <c r="D173" s="749"/>
      <c r="E173" s="749"/>
      <c r="F173" s="749"/>
      <c r="G173" s="749"/>
      <c r="H173" s="749"/>
    </row>
    <row r="174" spans="1:8" ht="13.5">
      <c r="A174" s="749"/>
      <c r="B174" s="749"/>
      <c r="C174" s="749"/>
      <c r="D174" s="749"/>
      <c r="E174" s="749"/>
      <c r="F174" s="749"/>
      <c r="G174" s="749"/>
      <c r="H174" s="749"/>
    </row>
    <row r="175" spans="1:8" ht="13.5">
      <c r="A175" s="749"/>
      <c r="B175" s="749"/>
      <c r="C175" s="749"/>
      <c r="D175" s="749"/>
      <c r="E175" s="749"/>
      <c r="F175" s="749"/>
      <c r="G175" s="749"/>
      <c r="H175" s="749"/>
    </row>
    <row r="176" spans="1:8" ht="13.5">
      <c r="A176" s="749"/>
      <c r="B176" s="749"/>
      <c r="C176" s="749"/>
      <c r="D176" s="749"/>
      <c r="E176" s="749"/>
      <c r="F176" s="749"/>
      <c r="G176" s="749"/>
      <c r="H176" s="749"/>
    </row>
    <row r="177" spans="1:8" ht="13.5">
      <c r="A177" s="749"/>
      <c r="B177" s="749"/>
      <c r="C177" s="749"/>
      <c r="D177" s="749"/>
      <c r="E177" s="749"/>
      <c r="F177" s="749"/>
      <c r="G177" s="749"/>
      <c r="H177" s="749"/>
    </row>
    <row r="178" spans="1:8" ht="13.5">
      <c r="A178" s="749"/>
      <c r="B178" s="749"/>
      <c r="C178" s="749"/>
      <c r="D178" s="749"/>
      <c r="E178" s="749"/>
      <c r="F178" s="749"/>
      <c r="G178" s="749"/>
      <c r="H178" s="749"/>
    </row>
    <row r="179" spans="1:8" ht="13.5">
      <c r="A179" s="749"/>
      <c r="B179" s="749"/>
      <c r="C179" s="749"/>
      <c r="D179" s="749"/>
      <c r="E179" s="749"/>
      <c r="F179" s="749"/>
      <c r="G179" s="749"/>
      <c r="H179" s="749"/>
    </row>
    <row r="180" spans="1:8" ht="13.5">
      <c r="A180" s="749"/>
      <c r="B180" s="749"/>
      <c r="C180" s="749"/>
      <c r="D180" s="749"/>
      <c r="E180" s="749"/>
      <c r="F180" s="749"/>
      <c r="G180" s="749"/>
      <c r="H180" s="749"/>
    </row>
    <row r="181" spans="1:8" ht="13.5">
      <c r="A181" s="749"/>
      <c r="B181" s="749"/>
      <c r="C181" s="749"/>
      <c r="D181" s="749"/>
      <c r="E181" s="749"/>
      <c r="F181" s="749"/>
      <c r="G181" s="749"/>
      <c r="H181" s="749"/>
    </row>
    <row r="182" spans="1:8" ht="13.5">
      <c r="A182" s="749"/>
      <c r="B182" s="749"/>
      <c r="C182" s="749"/>
      <c r="D182" s="749"/>
      <c r="E182" s="749"/>
      <c r="F182" s="749"/>
      <c r="G182" s="749"/>
      <c r="H182" s="749"/>
    </row>
    <row r="183" spans="1:8" ht="13.5">
      <c r="A183" s="749"/>
      <c r="B183" s="749"/>
      <c r="C183" s="749"/>
      <c r="D183" s="749"/>
      <c r="E183" s="749"/>
      <c r="F183" s="749"/>
      <c r="G183" s="749"/>
      <c r="H183" s="749"/>
    </row>
    <row r="184" spans="1:8" ht="13.5">
      <c r="A184" s="749"/>
      <c r="B184" s="749"/>
      <c r="C184" s="749"/>
      <c r="D184" s="749"/>
      <c r="E184" s="749"/>
      <c r="F184" s="749"/>
      <c r="G184" s="749"/>
      <c r="H184" s="749"/>
    </row>
    <row r="185" spans="1:8" ht="13.5">
      <c r="A185" s="749"/>
      <c r="B185" s="749"/>
      <c r="C185" s="749"/>
      <c r="D185" s="749"/>
      <c r="E185" s="749"/>
      <c r="F185" s="749"/>
      <c r="G185" s="749"/>
      <c r="H185" s="749"/>
    </row>
    <row r="186" spans="1:8" ht="13.5">
      <c r="A186" s="749"/>
      <c r="B186" s="749"/>
      <c r="C186" s="749"/>
      <c r="D186" s="749"/>
      <c r="E186" s="749"/>
      <c r="F186" s="749"/>
      <c r="G186" s="749"/>
      <c r="H186" s="749"/>
    </row>
    <row r="187" spans="1:8" ht="13.5">
      <c r="A187" s="749"/>
      <c r="B187" s="749"/>
      <c r="C187" s="749"/>
      <c r="D187" s="749"/>
      <c r="E187" s="749"/>
      <c r="F187" s="749"/>
      <c r="G187" s="749"/>
      <c r="H187" s="749"/>
    </row>
    <row r="188" spans="1:8" ht="13.5">
      <c r="A188" s="749"/>
      <c r="B188" s="749"/>
      <c r="C188" s="749"/>
      <c r="D188" s="749"/>
      <c r="E188" s="749"/>
      <c r="F188" s="749"/>
      <c r="G188" s="749"/>
      <c r="H188" s="749"/>
    </row>
    <row r="189" spans="1:8" ht="13.5">
      <c r="A189" s="749"/>
      <c r="B189" s="749"/>
      <c r="C189" s="749"/>
      <c r="D189" s="749"/>
      <c r="E189" s="749"/>
      <c r="F189" s="749"/>
      <c r="G189" s="749"/>
      <c r="H189" s="749"/>
    </row>
    <row r="190" spans="1:8" ht="13.5">
      <c r="A190" s="749"/>
      <c r="B190" s="749"/>
      <c r="C190" s="749"/>
      <c r="D190" s="749"/>
      <c r="E190" s="749"/>
      <c r="F190" s="749"/>
      <c r="G190" s="749"/>
      <c r="H190" s="749"/>
    </row>
    <row r="191" spans="1:8" ht="13.5">
      <c r="A191" s="749"/>
      <c r="B191" s="749"/>
      <c r="C191" s="749"/>
      <c r="D191" s="749"/>
      <c r="E191" s="749"/>
      <c r="F191" s="749"/>
      <c r="G191" s="749"/>
      <c r="H191" s="749"/>
    </row>
    <row r="192" spans="1:8" ht="13.5">
      <c r="A192" s="749"/>
      <c r="B192" s="749"/>
      <c r="C192" s="749"/>
      <c r="D192" s="749"/>
      <c r="E192" s="749"/>
      <c r="F192" s="749"/>
      <c r="G192" s="749"/>
      <c r="H192" s="749"/>
    </row>
    <row r="193" spans="1:8" ht="13.5">
      <c r="A193" s="749"/>
      <c r="B193" s="749"/>
      <c r="C193" s="749"/>
      <c r="D193" s="749"/>
      <c r="E193" s="749"/>
      <c r="F193" s="749"/>
      <c r="G193" s="749"/>
      <c r="H193" s="749"/>
    </row>
    <row r="194" spans="1:8" ht="13.5">
      <c r="A194" s="749"/>
      <c r="B194" s="749"/>
      <c r="C194" s="749"/>
      <c r="D194" s="749"/>
      <c r="E194" s="749"/>
      <c r="F194" s="749"/>
      <c r="G194" s="749"/>
      <c r="H194" s="749"/>
    </row>
    <row r="195" spans="1:8" ht="13.5">
      <c r="A195" s="749"/>
      <c r="B195" s="749"/>
      <c r="C195" s="749"/>
      <c r="D195" s="749"/>
      <c r="E195" s="749"/>
      <c r="F195" s="749"/>
      <c r="G195" s="749"/>
      <c r="H195" s="749"/>
    </row>
    <row r="196" spans="1:8" ht="13.5">
      <c r="A196" s="749"/>
      <c r="B196" s="749"/>
      <c r="C196" s="749"/>
      <c r="D196" s="749"/>
      <c r="E196" s="749"/>
      <c r="F196" s="749"/>
      <c r="G196" s="749"/>
      <c r="H196" s="749"/>
    </row>
    <row r="197" spans="1:8" ht="13.5">
      <c r="A197" s="749"/>
      <c r="B197" s="749"/>
      <c r="C197" s="749"/>
      <c r="D197" s="749"/>
      <c r="E197" s="749"/>
      <c r="F197" s="749"/>
      <c r="G197" s="749"/>
      <c r="H197" s="749"/>
    </row>
    <row r="198" spans="1:8" ht="15.75">
      <c r="A198" s="751" t="s">
        <v>662</v>
      </c>
      <c r="B198" s="749"/>
      <c r="C198" s="749"/>
      <c r="D198" s="749"/>
      <c r="E198" s="749"/>
      <c r="F198" s="749"/>
      <c r="G198" s="749"/>
      <c r="H198" s="749"/>
    </row>
    <row r="199" spans="1:8" ht="13.5">
      <c r="A199" s="749"/>
      <c r="B199" s="749"/>
      <c r="C199" s="749"/>
      <c r="D199" s="749"/>
      <c r="E199" s="749"/>
      <c r="F199" s="749"/>
      <c r="G199" s="749"/>
      <c r="H199" s="749"/>
    </row>
    <row r="200" spans="1:8" ht="13.5">
      <c r="A200" s="750" t="s">
        <v>823</v>
      </c>
      <c r="B200" s="749"/>
      <c r="C200" s="749"/>
      <c r="D200" s="749"/>
      <c r="E200" s="749"/>
      <c r="F200" s="749"/>
      <c r="G200" s="749"/>
      <c r="H200" s="749"/>
    </row>
    <row r="201" spans="1:8" ht="13.5">
      <c r="A201" s="750" t="s">
        <v>824</v>
      </c>
      <c r="B201" s="749"/>
      <c r="C201" s="749"/>
      <c r="D201" s="749"/>
      <c r="E201" s="749"/>
      <c r="F201" s="749"/>
      <c r="G201" s="749"/>
      <c r="H201" s="749"/>
    </row>
    <row r="202" spans="1:8" ht="13.5">
      <c r="A202" s="750" t="s">
        <v>825</v>
      </c>
      <c r="B202" s="749"/>
      <c r="C202" s="749"/>
      <c r="D202" s="749"/>
      <c r="E202" s="749"/>
      <c r="F202" s="749"/>
      <c r="G202" s="749"/>
      <c r="H202" s="749"/>
    </row>
    <row r="203" spans="1:8" ht="13.5">
      <c r="A203" s="750" t="s">
        <v>826</v>
      </c>
      <c r="B203" s="749"/>
      <c r="C203" s="749"/>
      <c r="D203" s="749"/>
      <c r="E203" s="749"/>
      <c r="F203" s="749"/>
      <c r="G203" s="749"/>
      <c r="H203" s="749"/>
    </row>
    <row r="204" spans="1:8" ht="13.5">
      <c r="A204" s="750" t="s">
        <v>827</v>
      </c>
      <c r="B204" s="749"/>
      <c r="C204" s="749"/>
      <c r="D204" s="749"/>
      <c r="E204" s="749"/>
      <c r="F204" s="749"/>
      <c r="G204" s="749"/>
      <c r="H204" s="749"/>
    </row>
    <row r="205" spans="1:8" ht="13.5">
      <c r="A205" s="749"/>
      <c r="B205" s="749"/>
      <c r="C205" s="749"/>
      <c r="D205" s="749"/>
      <c r="E205" s="749"/>
      <c r="F205" s="749"/>
      <c r="G205" s="749"/>
      <c r="H205" s="749"/>
    </row>
    <row r="206" spans="1:8" ht="13.5">
      <c r="A206" s="750" t="s">
        <v>820</v>
      </c>
      <c r="B206" s="749"/>
      <c r="C206" s="749"/>
      <c r="D206" s="749"/>
      <c r="E206" s="749"/>
      <c r="F206" s="749"/>
      <c r="G206" s="749"/>
      <c r="H206" s="749"/>
    </row>
    <row r="207" spans="1:8" ht="13.5">
      <c r="A207" s="750" t="s">
        <v>821</v>
      </c>
      <c r="B207" s="749"/>
      <c r="C207" s="749"/>
      <c r="D207" s="749"/>
      <c r="E207" s="749"/>
      <c r="F207" s="749"/>
      <c r="G207" s="749"/>
      <c r="H207" s="749"/>
    </row>
    <row r="208" spans="1:8" ht="13.5">
      <c r="A208" s="750" t="s">
        <v>822</v>
      </c>
      <c r="B208" s="749"/>
      <c r="C208" s="749"/>
      <c r="D208" s="749"/>
      <c r="E208" s="749"/>
      <c r="F208" s="749"/>
      <c r="G208" s="749"/>
      <c r="H208" s="749"/>
    </row>
    <row r="209" spans="1:8" ht="15.75">
      <c r="A209" s="751" t="s">
        <v>663</v>
      </c>
      <c r="B209" s="749"/>
      <c r="C209" s="749"/>
      <c r="D209" s="749"/>
      <c r="E209" s="749"/>
      <c r="F209" s="749"/>
      <c r="G209" s="749"/>
      <c r="H209" s="749"/>
    </row>
    <row r="210" spans="1:8" ht="13.5">
      <c r="A210" s="749"/>
      <c r="B210" s="749"/>
      <c r="C210" s="749"/>
      <c r="D210" s="749"/>
      <c r="E210" s="749"/>
      <c r="F210" s="749"/>
      <c r="G210" s="749"/>
      <c r="H210" s="749"/>
    </row>
    <row r="211" spans="1:8" ht="13.5">
      <c r="A211" s="750" t="s">
        <v>818</v>
      </c>
      <c r="B211" s="749"/>
      <c r="C211" s="749"/>
      <c r="D211" s="749"/>
      <c r="E211" s="749"/>
      <c r="F211" s="749"/>
      <c r="G211" s="749"/>
      <c r="H211" s="749"/>
    </row>
    <row r="212" spans="1:8" ht="13.5">
      <c r="A212" s="750" t="s">
        <v>819</v>
      </c>
      <c r="B212" s="749"/>
      <c r="C212" s="749"/>
      <c r="D212" s="749"/>
      <c r="E212" s="749"/>
      <c r="F212" s="749"/>
      <c r="G212" s="749"/>
      <c r="H212" s="749"/>
    </row>
    <row r="213" spans="1:8" ht="13.5">
      <c r="A213" s="749"/>
      <c r="B213" s="749"/>
      <c r="C213" s="749"/>
      <c r="D213" s="749"/>
      <c r="E213" s="749"/>
      <c r="F213" s="749"/>
      <c r="G213" s="749"/>
      <c r="H213" s="749"/>
    </row>
    <row r="214" spans="1:8" ht="13.5">
      <c r="A214" s="750" t="s">
        <v>811</v>
      </c>
      <c r="B214" s="749"/>
      <c r="C214" s="749"/>
      <c r="D214" s="749"/>
      <c r="E214" s="749"/>
      <c r="F214" s="749"/>
      <c r="G214" s="749"/>
      <c r="H214" s="749"/>
    </row>
    <row r="215" spans="1:8" ht="13.5">
      <c r="A215" s="750" t="s">
        <v>812</v>
      </c>
      <c r="B215" s="749"/>
      <c r="C215" s="749"/>
      <c r="D215" s="749"/>
      <c r="E215" s="749"/>
      <c r="F215" s="749"/>
      <c r="G215" s="749"/>
      <c r="H215" s="749"/>
    </row>
    <row r="216" spans="1:8" ht="13.5">
      <c r="A216" s="750" t="s">
        <v>813</v>
      </c>
      <c r="B216" s="749"/>
      <c r="C216" s="749"/>
      <c r="D216" s="749"/>
      <c r="E216" s="749"/>
      <c r="F216" s="749"/>
      <c r="G216" s="749"/>
      <c r="H216" s="749"/>
    </row>
    <row r="217" spans="1:8" ht="13.5">
      <c r="A217" s="750" t="s">
        <v>814</v>
      </c>
      <c r="B217" s="749"/>
      <c r="C217" s="749"/>
      <c r="D217" s="749"/>
      <c r="E217" s="749"/>
      <c r="F217" s="749"/>
      <c r="G217" s="749"/>
      <c r="H217" s="749"/>
    </row>
    <row r="218" spans="1:8" ht="13.5">
      <c r="A218" s="750" t="s">
        <v>815</v>
      </c>
      <c r="B218" s="749"/>
      <c r="C218" s="749"/>
      <c r="D218" s="749"/>
      <c r="E218" s="749"/>
      <c r="F218" s="749"/>
      <c r="G218" s="749"/>
      <c r="H218" s="749"/>
    </row>
    <row r="219" spans="1:8" ht="13.5">
      <c r="A219" s="750" t="s">
        <v>816</v>
      </c>
      <c r="B219" s="749"/>
      <c r="C219" s="749"/>
      <c r="D219" s="749"/>
      <c r="E219" s="749"/>
      <c r="F219" s="749"/>
      <c r="G219" s="749"/>
      <c r="H219" s="749"/>
    </row>
    <row r="220" spans="1:8" ht="13.5">
      <c r="A220" s="750" t="s">
        <v>817</v>
      </c>
      <c r="B220" s="749"/>
      <c r="C220" s="749"/>
      <c r="D220" s="749"/>
      <c r="E220" s="749"/>
      <c r="F220" s="749"/>
      <c r="G220" s="749"/>
      <c r="H220" s="749"/>
    </row>
    <row r="221" spans="1:8" ht="13.5">
      <c r="A221" s="749"/>
      <c r="B221" s="749"/>
      <c r="C221" s="749"/>
      <c r="D221" s="749"/>
      <c r="E221" s="749"/>
      <c r="F221" s="749"/>
      <c r="G221" s="749"/>
      <c r="H221" s="749"/>
    </row>
    <row r="222" spans="1:8" ht="13.5">
      <c r="A222" s="750" t="s">
        <v>808</v>
      </c>
      <c r="B222" s="749"/>
      <c r="C222" s="749"/>
      <c r="D222" s="749"/>
      <c r="E222" s="749"/>
      <c r="F222" s="749"/>
      <c r="G222" s="749"/>
      <c r="H222" s="749"/>
    </row>
    <row r="223" spans="1:8" ht="13.5">
      <c r="A223" s="750" t="s">
        <v>809</v>
      </c>
      <c r="B223" s="749"/>
      <c r="C223" s="749"/>
      <c r="D223" s="749"/>
      <c r="E223" s="749"/>
      <c r="F223" s="749"/>
      <c r="G223" s="749"/>
      <c r="H223" s="749"/>
    </row>
    <row r="224" spans="1:8" ht="13.5">
      <c r="A224" s="750" t="s">
        <v>810</v>
      </c>
      <c r="B224" s="749"/>
      <c r="C224" s="749"/>
      <c r="D224" s="749"/>
      <c r="E224" s="749"/>
      <c r="F224" s="749"/>
      <c r="G224" s="749"/>
      <c r="H224" s="749"/>
    </row>
    <row r="225" spans="1:8" ht="13.5">
      <c r="A225" s="749"/>
      <c r="B225" s="749"/>
      <c r="C225" s="749"/>
      <c r="D225" s="749"/>
      <c r="E225" s="749"/>
      <c r="F225" s="749"/>
      <c r="G225" s="749"/>
      <c r="H225" s="749"/>
    </row>
    <row r="226" spans="1:8" ht="13.5">
      <c r="A226" s="750" t="s">
        <v>803</v>
      </c>
      <c r="B226" s="749"/>
      <c r="C226" s="749"/>
      <c r="D226" s="749"/>
      <c r="E226" s="749"/>
      <c r="F226" s="749"/>
      <c r="G226" s="749"/>
      <c r="H226" s="749"/>
    </row>
    <row r="227" spans="1:8" ht="13.5">
      <c r="A227" s="750" t="s">
        <v>804</v>
      </c>
      <c r="B227" s="749"/>
      <c r="C227" s="749"/>
      <c r="D227" s="749"/>
      <c r="E227" s="749"/>
      <c r="F227" s="749"/>
      <c r="G227" s="749"/>
      <c r="H227" s="749"/>
    </row>
    <row r="228" spans="1:8" ht="13.5">
      <c r="A228" s="750" t="s">
        <v>805</v>
      </c>
      <c r="B228" s="749"/>
      <c r="C228" s="749"/>
      <c r="D228" s="749"/>
      <c r="E228" s="749"/>
      <c r="F228" s="749"/>
      <c r="G228" s="749"/>
      <c r="H228" s="749"/>
    </row>
    <row r="229" spans="1:8" ht="13.5">
      <c r="A229" s="750" t="s">
        <v>806</v>
      </c>
      <c r="B229" s="749"/>
      <c r="C229" s="749"/>
      <c r="D229" s="749"/>
      <c r="E229" s="749"/>
      <c r="F229" s="749"/>
      <c r="G229" s="749"/>
      <c r="H229" s="749"/>
    </row>
    <row r="230" spans="1:8" ht="13.5">
      <c r="A230" s="750" t="s">
        <v>807</v>
      </c>
      <c r="B230" s="749"/>
      <c r="C230" s="749"/>
      <c r="D230" s="749"/>
      <c r="E230" s="749"/>
      <c r="F230" s="749"/>
      <c r="G230" s="749"/>
      <c r="H230" s="749"/>
    </row>
    <row r="231" spans="1:8" ht="13.5">
      <c r="A231" s="749"/>
      <c r="B231" s="749"/>
      <c r="C231" s="749"/>
      <c r="D231" s="749"/>
      <c r="E231" s="749"/>
      <c r="F231" s="749"/>
      <c r="G231" s="749"/>
      <c r="H231" s="749"/>
    </row>
    <row r="232" spans="1:8" ht="13.5">
      <c r="A232" s="750" t="s">
        <v>797</v>
      </c>
      <c r="B232" s="749"/>
      <c r="C232" s="749"/>
      <c r="D232" s="749"/>
      <c r="E232" s="749"/>
      <c r="F232" s="749"/>
      <c r="G232" s="749"/>
      <c r="H232" s="749"/>
    </row>
    <row r="233" spans="1:8" ht="13.5">
      <c r="A233" s="750" t="s">
        <v>798</v>
      </c>
      <c r="B233" s="749"/>
      <c r="C233" s="749"/>
      <c r="D233" s="749"/>
      <c r="E233" s="749"/>
      <c r="F233" s="749"/>
      <c r="G233" s="749"/>
      <c r="H233" s="749"/>
    </row>
    <row r="234" spans="1:8" ht="13.5">
      <c r="A234" s="750" t="s">
        <v>799</v>
      </c>
      <c r="B234" s="749"/>
      <c r="C234" s="749"/>
      <c r="D234" s="749"/>
      <c r="E234" s="749"/>
      <c r="F234" s="749"/>
      <c r="G234" s="749"/>
      <c r="H234" s="749"/>
    </row>
    <row r="235" spans="1:8" ht="13.5">
      <c r="A235" s="750" t="s">
        <v>800</v>
      </c>
      <c r="B235" s="749"/>
      <c r="C235" s="749"/>
      <c r="D235" s="749"/>
      <c r="E235" s="749"/>
      <c r="F235" s="749"/>
      <c r="G235" s="749"/>
      <c r="H235" s="749"/>
    </row>
    <row r="236" spans="1:8" ht="13.5">
      <c r="A236" s="750" t="s">
        <v>801</v>
      </c>
      <c r="B236" s="749"/>
      <c r="C236" s="749"/>
      <c r="D236" s="749"/>
      <c r="E236" s="749"/>
      <c r="F236" s="749"/>
      <c r="G236" s="749"/>
      <c r="H236" s="749"/>
    </row>
    <row r="237" spans="1:8" ht="13.5">
      <c r="A237" s="750" t="s">
        <v>802</v>
      </c>
      <c r="B237" s="749"/>
      <c r="C237" s="749"/>
      <c r="D237" s="749"/>
      <c r="E237" s="749"/>
      <c r="F237" s="749"/>
      <c r="G237" s="749"/>
      <c r="H237" s="749"/>
    </row>
    <row r="238" spans="1:8" ht="13.5">
      <c r="A238" s="749"/>
      <c r="B238" s="749"/>
      <c r="C238" s="749"/>
      <c r="D238" s="749"/>
      <c r="E238" s="749"/>
      <c r="F238" s="749"/>
      <c r="G238" s="749"/>
      <c r="H238" s="749"/>
    </row>
    <row r="239" spans="1:8" ht="13.5">
      <c r="A239" s="750" t="s">
        <v>787</v>
      </c>
      <c r="B239" s="749"/>
      <c r="C239" s="749"/>
      <c r="D239" s="749"/>
      <c r="E239" s="749"/>
      <c r="F239" s="749"/>
      <c r="G239" s="749"/>
      <c r="H239" s="749"/>
    </row>
    <row r="240" spans="1:8" ht="13.5">
      <c r="A240" s="750" t="s">
        <v>788</v>
      </c>
      <c r="B240" s="749"/>
      <c r="C240" s="749"/>
      <c r="D240" s="749"/>
      <c r="E240" s="749"/>
      <c r="F240" s="749"/>
      <c r="G240" s="749"/>
      <c r="H240" s="749"/>
    </row>
    <row r="241" spans="1:8" ht="13.5">
      <c r="A241" s="750" t="s">
        <v>789</v>
      </c>
      <c r="B241" s="749"/>
      <c r="C241" s="749"/>
      <c r="D241" s="749"/>
      <c r="E241" s="749"/>
      <c r="F241" s="749"/>
      <c r="G241" s="749"/>
      <c r="H241" s="749"/>
    </row>
    <row r="242" spans="1:8" ht="13.5">
      <c r="A242" s="750" t="s">
        <v>790</v>
      </c>
      <c r="B242" s="749"/>
      <c r="C242" s="749"/>
      <c r="D242" s="749"/>
      <c r="E242" s="749"/>
      <c r="F242" s="749"/>
      <c r="G242" s="749"/>
      <c r="H242" s="749"/>
    </row>
    <row r="243" spans="1:8" ht="13.5">
      <c r="A243" s="750" t="s">
        <v>791</v>
      </c>
      <c r="B243" s="749"/>
      <c r="C243" s="749"/>
      <c r="D243" s="749"/>
      <c r="E243" s="749"/>
      <c r="F243" s="749"/>
      <c r="G243" s="749"/>
      <c r="H243" s="749"/>
    </row>
    <row r="244" spans="1:8" ht="13.5">
      <c r="A244" s="750" t="s">
        <v>792</v>
      </c>
      <c r="B244" s="749"/>
      <c r="C244" s="749"/>
      <c r="D244" s="749"/>
      <c r="E244" s="749"/>
      <c r="F244" s="749"/>
      <c r="G244" s="749"/>
      <c r="H244" s="749"/>
    </row>
    <row r="245" spans="1:8" ht="13.5">
      <c r="A245" s="750" t="s">
        <v>793</v>
      </c>
      <c r="B245" s="749"/>
      <c r="C245" s="749"/>
      <c r="D245" s="749"/>
      <c r="E245" s="749"/>
      <c r="F245" s="749"/>
      <c r="G245" s="749"/>
      <c r="H245" s="749"/>
    </row>
    <row r="246" spans="1:8" ht="13.5">
      <c r="A246" s="750" t="s">
        <v>794</v>
      </c>
      <c r="B246" s="749"/>
      <c r="C246" s="749"/>
      <c r="D246" s="749"/>
      <c r="E246" s="749"/>
      <c r="F246" s="749"/>
      <c r="G246" s="749"/>
      <c r="H246" s="749"/>
    </row>
    <row r="247" spans="1:8" ht="13.5">
      <c r="A247" s="750" t="s">
        <v>795</v>
      </c>
      <c r="B247" s="749"/>
      <c r="C247" s="749"/>
      <c r="D247" s="749"/>
      <c r="E247" s="749"/>
      <c r="F247" s="749"/>
      <c r="G247" s="749"/>
      <c r="H247" s="749"/>
    </row>
    <row r="248" spans="1:8" ht="13.5">
      <c r="A248" s="750" t="s">
        <v>796</v>
      </c>
      <c r="B248" s="749"/>
      <c r="C248" s="749"/>
      <c r="D248" s="749"/>
      <c r="E248" s="749"/>
      <c r="F248" s="749"/>
      <c r="G248" s="749"/>
      <c r="H248" s="749"/>
    </row>
    <row r="249" spans="1:8" ht="13.5">
      <c r="A249" s="749"/>
      <c r="B249" s="749"/>
      <c r="C249" s="749"/>
      <c r="D249" s="749"/>
      <c r="E249" s="749"/>
      <c r="F249" s="749"/>
      <c r="G249" s="749"/>
      <c r="H249" s="749"/>
    </row>
    <row r="250" spans="1:8" ht="13.5">
      <c r="A250" s="750" t="s">
        <v>785</v>
      </c>
      <c r="B250" s="749"/>
      <c r="C250" s="749"/>
      <c r="D250" s="749"/>
      <c r="E250" s="749"/>
      <c r="F250" s="749"/>
      <c r="G250" s="749"/>
      <c r="H250" s="749"/>
    </row>
    <row r="251" spans="1:8" ht="13.5">
      <c r="A251" s="750" t="s">
        <v>786</v>
      </c>
      <c r="B251" s="749"/>
      <c r="C251" s="749"/>
      <c r="D251" s="749"/>
      <c r="E251" s="749"/>
      <c r="F251" s="749"/>
      <c r="G251" s="749"/>
      <c r="H251" s="749"/>
    </row>
    <row r="252" spans="1:8" ht="13.5">
      <c r="A252" s="749"/>
      <c r="B252" s="749"/>
      <c r="C252" s="749"/>
      <c r="D252" s="749"/>
      <c r="E252" s="749"/>
      <c r="F252" s="749"/>
      <c r="G252" s="749"/>
      <c r="H252" s="749"/>
    </row>
    <row r="253" spans="1:8" ht="13.5">
      <c r="A253" s="750" t="s">
        <v>769</v>
      </c>
      <c r="B253" s="749"/>
      <c r="C253" s="749"/>
      <c r="D253" s="749"/>
      <c r="E253" s="749"/>
      <c r="F253" s="749"/>
      <c r="G253" s="749"/>
      <c r="H253" s="749"/>
    </row>
    <row r="254" spans="1:8" ht="13.5">
      <c r="A254" s="750" t="s">
        <v>770</v>
      </c>
      <c r="B254" s="749"/>
      <c r="C254" s="749"/>
      <c r="D254" s="749"/>
      <c r="E254" s="749"/>
      <c r="F254" s="749"/>
      <c r="G254" s="749"/>
      <c r="H254" s="749"/>
    </row>
    <row r="255" spans="1:8" ht="13.5">
      <c r="A255" s="750" t="s">
        <v>771</v>
      </c>
      <c r="B255" s="749"/>
      <c r="C255" s="749"/>
      <c r="D255" s="749"/>
      <c r="E255" s="749"/>
      <c r="F255" s="749"/>
      <c r="G255" s="749"/>
      <c r="H255" s="749"/>
    </row>
    <row r="256" spans="1:8" ht="13.5">
      <c r="A256" s="750" t="s">
        <v>772</v>
      </c>
      <c r="B256" s="749"/>
      <c r="C256" s="749"/>
      <c r="D256" s="749"/>
      <c r="E256" s="749"/>
      <c r="F256" s="749"/>
      <c r="G256" s="749"/>
      <c r="H256" s="749"/>
    </row>
    <row r="257" spans="1:8" ht="13.5">
      <c r="A257" s="750" t="s">
        <v>773</v>
      </c>
      <c r="B257" s="749"/>
      <c r="C257" s="749"/>
      <c r="D257" s="749"/>
      <c r="E257" s="749"/>
      <c r="F257" s="749"/>
      <c r="G257" s="749"/>
      <c r="H257" s="749"/>
    </row>
    <row r="258" spans="1:8" ht="13.5">
      <c r="A258" s="750" t="s">
        <v>774</v>
      </c>
      <c r="B258" s="749"/>
      <c r="C258" s="749"/>
      <c r="D258" s="749"/>
      <c r="E258" s="749"/>
      <c r="F258" s="749"/>
      <c r="G258" s="749"/>
      <c r="H258" s="749"/>
    </row>
    <row r="259" spans="1:8" ht="13.5">
      <c r="A259" s="750" t="s">
        <v>775</v>
      </c>
      <c r="B259" s="749"/>
      <c r="C259" s="749"/>
      <c r="D259" s="749"/>
      <c r="E259" s="749"/>
      <c r="F259" s="749"/>
      <c r="G259" s="749"/>
      <c r="H259" s="749"/>
    </row>
    <row r="260" spans="1:8" ht="13.5">
      <c r="A260" s="750" t="s">
        <v>776</v>
      </c>
      <c r="B260" s="749"/>
      <c r="C260" s="749"/>
      <c r="D260" s="749"/>
      <c r="E260" s="749"/>
      <c r="F260" s="749"/>
      <c r="G260" s="749"/>
      <c r="H260" s="749"/>
    </row>
    <row r="261" spans="1:8" ht="13.5">
      <c r="A261" s="750" t="s">
        <v>777</v>
      </c>
      <c r="B261" s="749"/>
      <c r="C261" s="749"/>
      <c r="D261" s="749"/>
      <c r="E261" s="749"/>
      <c r="F261" s="749"/>
      <c r="G261" s="749"/>
      <c r="H261" s="749"/>
    </row>
    <row r="262" spans="1:8" ht="13.5">
      <c r="A262" s="750" t="s">
        <v>778</v>
      </c>
      <c r="B262" s="749"/>
      <c r="C262" s="749"/>
      <c r="D262" s="749"/>
      <c r="E262" s="749"/>
      <c r="F262" s="749"/>
      <c r="G262" s="749"/>
      <c r="H262" s="749"/>
    </row>
    <row r="263" spans="1:8" ht="13.5">
      <c r="A263" s="750" t="s">
        <v>779</v>
      </c>
      <c r="B263" s="749"/>
      <c r="C263" s="749"/>
      <c r="D263" s="749"/>
      <c r="E263" s="749"/>
      <c r="F263" s="749"/>
      <c r="G263" s="749"/>
      <c r="H263" s="749"/>
    </row>
    <row r="264" spans="1:8" ht="13.5">
      <c r="A264" s="750" t="s">
        <v>780</v>
      </c>
      <c r="B264" s="749"/>
      <c r="C264" s="749"/>
      <c r="D264" s="749"/>
      <c r="E264" s="749"/>
      <c r="F264" s="749"/>
      <c r="G264" s="749"/>
      <c r="H264" s="749"/>
    </row>
    <row r="265" spans="1:8" ht="13.5">
      <c r="A265" s="750" t="s">
        <v>781</v>
      </c>
      <c r="B265" s="749"/>
      <c r="C265" s="749"/>
      <c r="D265" s="749"/>
      <c r="E265" s="749"/>
      <c r="F265" s="749"/>
      <c r="G265" s="749"/>
      <c r="H265" s="749"/>
    </row>
    <row r="266" spans="1:8" ht="13.5">
      <c r="A266" s="750" t="s">
        <v>782</v>
      </c>
      <c r="B266" s="749"/>
      <c r="C266" s="749"/>
      <c r="D266" s="749"/>
      <c r="E266" s="749"/>
      <c r="F266" s="749"/>
      <c r="G266" s="749"/>
      <c r="H266" s="749"/>
    </row>
    <row r="267" spans="1:8" ht="13.5">
      <c r="A267" s="750" t="s">
        <v>783</v>
      </c>
      <c r="B267" s="749"/>
      <c r="C267" s="749"/>
      <c r="D267" s="749"/>
      <c r="E267" s="749"/>
      <c r="F267" s="749"/>
      <c r="G267" s="749"/>
      <c r="H267" s="749"/>
    </row>
    <row r="268" spans="1:8" ht="13.5">
      <c r="A268" s="750" t="s">
        <v>784</v>
      </c>
      <c r="B268" s="749"/>
      <c r="C268" s="749"/>
      <c r="D268" s="749"/>
      <c r="E268" s="749"/>
      <c r="F268" s="749"/>
      <c r="G268" s="749"/>
      <c r="H268" s="749"/>
    </row>
    <row r="269" spans="1:8" ht="13.5">
      <c r="A269" s="749"/>
      <c r="B269" s="749"/>
      <c r="C269" s="749"/>
      <c r="D269" s="749"/>
      <c r="E269" s="749"/>
      <c r="F269" s="749"/>
      <c r="G269" s="749"/>
      <c r="H269" s="749"/>
    </row>
    <row r="270" spans="1:8" ht="13.5">
      <c r="A270" s="750" t="s">
        <v>762</v>
      </c>
      <c r="B270" s="749"/>
      <c r="C270" s="749"/>
      <c r="D270" s="749"/>
      <c r="E270" s="749"/>
      <c r="F270" s="749"/>
      <c r="G270" s="749"/>
      <c r="H270" s="749"/>
    </row>
    <row r="271" spans="1:8" ht="13.5">
      <c r="A271" s="750" t="s">
        <v>763</v>
      </c>
      <c r="B271" s="749"/>
      <c r="C271" s="749"/>
      <c r="D271" s="749"/>
      <c r="E271" s="749"/>
      <c r="F271" s="749"/>
      <c r="G271" s="749"/>
      <c r="H271" s="749"/>
    </row>
    <row r="272" spans="1:8" ht="13.5">
      <c r="A272" s="750" t="s">
        <v>764</v>
      </c>
      <c r="B272" s="749"/>
      <c r="C272" s="749"/>
      <c r="D272" s="749"/>
      <c r="E272" s="749"/>
      <c r="F272" s="749"/>
      <c r="G272" s="749"/>
      <c r="H272" s="749"/>
    </row>
    <row r="273" spans="1:8" ht="13.5">
      <c r="A273" s="750" t="s">
        <v>765</v>
      </c>
      <c r="B273" s="749"/>
      <c r="C273" s="749"/>
      <c r="D273" s="749"/>
      <c r="E273" s="749"/>
      <c r="F273" s="749"/>
      <c r="G273" s="749"/>
      <c r="H273" s="749"/>
    </row>
    <row r="274" spans="1:8" ht="13.5">
      <c r="A274" s="750" t="s">
        <v>766</v>
      </c>
      <c r="B274" s="749"/>
      <c r="C274" s="749"/>
      <c r="D274" s="749"/>
      <c r="E274" s="749"/>
      <c r="F274" s="749"/>
      <c r="G274" s="749"/>
      <c r="H274" s="749"/>
    </row>
    <row r="275" spans="1:8" ht="13.5">
      <c r="A275" s="750" t="s">
        <v>767</v>
      </c>
      <c r="B275" s="749"/>
      <c r="C275" s="749"/>
      <c r="D275" s="749"/>
      <c r="E275" s="749"/>
      <c r="F275" s="749"/>
      <c r="G275" s="749"/>
      <c r="H275" s="749"/>
    </row>
    <row r="276" spans="1:8" ht="13.5">
      <c r="A276" s="750" t="s">
        <v>768</v>
      </c>
      <c r="B276" s="749"/>
      <c r="C276" s="749"/>
      <c r="D276" s="749"/>
      <c r="E276" s="749"/>
      <c r="F276" s="749"/>
      <c r="G276" s="749"/>
      <c r="H276" s="749"/>
    </row>
    <row r="277" spans="1:8" ht="13.5">
      <c r="A277" s="749"/>
      <c r="B277" s="749"/>
      <c r="C277" s="749"/>
      <c r="D277" s="749"/>
      <c r="E277" s="749"/>
      <c r="F277" s="749"/>
      <c r="G277" s="749"/>
      <c r="H277" s="749"/>
    </row>
    <row r="278" spans="1:8" ht="13.5">
      <c r="A278" s="750" t="s">
        <v>753</v>
      </c>
      <c r="B278" s="749"/>
      <c r="C278" s="749"/>
      <c r="D278" s="749"/>
      <c r="E278" s="749"/>
      <c r="F278" s="749"/>
      <c r="G278" s="749"/>
      <c r="H278" s="749"/>
    </row>
    <row r="279" spans="1:8" ht="13.5">
      <c r="A279" s="750" t="s">
        <v>754</v>
      </c>
      <c r="B279" s="749"/>
      <c r="C279" s="749"/>
      <c r="D279" s="749"/>
      <c r="E279" s="749"/>
      <c r="F279" s="749"/>
      <c r="G279" s="749"/>
      <c r="H279" s="749"/>
    </row>
    <row r="280" spans="1:8" ht="13.5">
      <c r="A280" s="750" t="s">
        <v>755</v>
      </c>
      <c r="B280" s="749"/>
      <c r="C280" s="749"/>
      <c r="D280" s="749"/>
      <c r="E280" s="749"/>
      <c r="F280" s="749"/>
      <c r="G280" s="749"/>
      <c r="H280" s="749"/>
    </row>
    <row r="281" spans="1:8" ht="13.5">
      <c r="A281" s="750" t="s">
        <v>756</v>
      </c>
      <c r="B281" s="749"/>
      <c r="C281" s="749"/>
      <c r="D281" s="749"/>
      <c r="E281" s="749"/>
      <c r="F281" s="749"/>
      <c r="G281" s="749"/>
      <c r="H281" s="749"/>
    </row>
    <row r="282" spans="1:8" ht="13.5">
      <c r="A282" s="750" t="s">
        <v>757</v>
      </c>
      <c r="B282" s="749"/>
      <c r="C282" s="749"/>
      <c r="D282" s="749"/>
      <c r="E282" s="749"/>
      <c r="F282" s="749"/>
      <c r="G282" s="749"/>
      <c r="H282" s="749"/>
    </row>
    <row r="283" spans="1:8" ht="13.5">
      <c r="A283" s="750" t="s">
        <v>758</v>
      </c>
      <c r="B283" s="749"/>
      <c r="C283" s="749"/>
      <c r="D283" s="749"/>
      <c r="E283" s="749"/>
      <c r="F283" s="749"/>
      <c r="G283" s="749"/>
      <c r="H283" s="749"/>
    </row>
    <row r="284" spans="1:8" ht="13.5">
      <c r="A284" s="750" t="s">
        <v>759</v>
      </c>
      <c r="B284" s="749"/>
      <c r="C284" s="749"/>
      <c r="D284" s="749"/>
      <c r="E284" s="749"/>
      <c r="F284" s="749"/>
      <c r="G284" s="749"/>
      <c r="H284" s="749"/>
    </row>
    <row r="285" spans="1:8" ht="13.5">
      <c r="A285" s="750" t="s">
        <v>760</v>
      </c>
      <c r="B285" s="749"/>
      <c r="C285" s="749"/>
      <c r="D285" s="749"/>
      <c r="E285" s="749"/>
      <c r="F285" s="749"/>
      <c r="G285" s="749"/>
      <c r="H285" s="749"/>
    </row>
    <row r="286" spans="1:8" ht="13.5">
      <c r="A286" s="750" t="s">
        <v>761</v>
      </c>
      <c r="B286" s="749"/>
      <c r="C286" s="749"/>
      <c r="D286" s="749"/>
      <c r="E286" s="749"/>
      <c r="F286" s="749"/>
      <c r="G286" s="749"/>
      <c r="H286" s="749"/>
    </row>
    <row r="287" spans="1:8" ht="13.5">
      <c r="A287" s="749"/>
      <c r="B287" s="749"/>
      <c r="C287" s="749"/>
      <c r="D287" s="749"/>
      <c r="E287" s="749"/>
      <c r="F287" s="749"/>
      <c r="G287" s="749"/>
      <c r="H287" s="749"/>
    </row>
    <row r="288" spans="1:8" ht="13.5">
      <c r="A288" s="750" t="s">
        <v>746</v>
      </c>
      <c r="B288" s="749"/>
      <c r="C288" s="749"/>
      <c r="D288" s="749"/>
      <c r="E288" s="749"/>
      <c r="F288" s="749"/>
      <c r="G288" s="749"/>
      <c r="H288" s="749"/>
    </row>
    <row r="289" spans="1:8" ht="13.5">
      <c r="A289" s="750" t="s">
        <v>747</v>
      </c>
      <c r="B289" s="749"/>
      <c r="C289" s="749"/>
      <c r="D289" s="749"/>
      <c r="E289" s="749"/>
      <c r="F289" s="749"/>
      <c r="G289" s="749"/>
      <c r="H289" s="749"/>
    </row>
    <row r="290" spans="1:8" ht="13.5">
      <c r="A290" s="750" t="s">
        <v>748</v>
      </c>
      <c r="B290" s="749"/>
      <c r="C290" s="749"/>
      <c r="D290" s="749"/>
      <c r="E290" s="749"/>
      <c r="F290" s="749"/>
      <c r="G290" s="749"/>
      <c r="H290" s="749"/>
    </row>
    <row r="291" spans="1:8" ht="13.5">
      <c r="A291" s="750" t="s">
        <v>749</v>
      </c>
      <c r="B291" s="749"/>
      <c r="C291" s="749"/>
      <c r="D291" s="749"/>
      <c r="E291" s="749"/>
      <c r="F291" s="749"/>
      <c r="G291" s="749"/>
      <c r="H291" s="749"/>
    </row>
    <row r="292" spans="1:8" ht="13.5">
      <c r="A292" s="750" t="s">
        <v>750</v>
      </c>
      <c r="B292" s="749"/>
      <c r="C292" s="749"/>
      <c r="D292" s="749"/>
      <c r="E292" s="749"/>
      <c r="F292" s="749"/>
      <c r="G292" s="749"/>
      <c r="H292" s="749"/>
    </row>
    <row r="293" spans="1:8" ht="13.5">
      <c r="A293" s="750" t="s">
        <v>751</v>
      </c>
      <c r="B293" s="749"/>
      <c r="C293" s="749"/>
      <c r="D293" s="749"/>
      <c r="E293" s="749"/>
      <c r="F293" s="749"/>
      <c r="G293" s="749"/>
      <c r="H293" s="749"/>
    </row>
    <row r="294" spans="1:8" ht="13.5">
      <c r="A294" s="750" t="s">
        <v>752</v>
      </c>
      <c r="B294" s="749"/>
      <c r="C294" s="749"/>
      <c r="D294" s="749"/>
      <c r="E294" s="749"/>
      <c r="F294" s="749"/>
      <c r="G294" s="749"/>
      <c r="H294" s="749"/>
    </row>
    <row r="295" spans="1:8" ht="13.5">
      <c r="A295" s="749"/>
      <c r="B295" s="749"/>
      <c r="C295" s="749"/>
      <c r="D295" s="749"/>
      <c r="E295" s="749"/>
      <c r="F295" s="749"/>
      <c r="G295" s="749"/>
      <c r="H295" s="749"/>
    </row>
    <row r="296" spans="1:8" ht="13.5">
      <c r="A296" s="750" t="s">
        <v>743</v>
      </c>
      <c r="B296" s="749"/>
      <c r="C296" s="749"/>
      <c r="D296" s="749"/>
      <c r="E296" s="749"/>
      <c r="F296" s="749"/>
      <c r="G296" s="749"/>
      <c r="H296" s="749"/>
    </row>
    <row r="297" spans="1:8" ht="13.5">
      <c r="A297" s="750" t="s">
        <v>744</v>
      </c>
      <c r="B297" s="749"/>
      <c r="C297" s="749"/>
      <c r="D297" s="749"/>
      <c r="E297" s="749"/>
      <c r="F297" s="749"/>
      <c r="G297" s="749"/>
      <c r="H297" s="749"/>
    </row>
    <row r="298" spans="1:8" ht="13.5">
      <c r="A298" s="750" t="s">
        <v>745</v>
      </c>
      <c r="B298" s="749"/>
      <c r="C298" s="749"/>
      <c r="D298" s="749"/>
      <c r="E298" s="749"/>
      <c r="F298" s="749"/>
      <c r="G298" s="749"/>
      <c r="H298" s="749"/>
    </row>
    <row r="299" spans="1:8" ht="13.5">
      <c r="A299" s="749"/>
      <c r="B299" s="749"/>
      <c r="C299" s="749"/>
      <c r="D299" s="749"/>
      <c r="E299" s="749"/>
      <c r="F299" s="749"/>
      <c r="G299" s="749"/>
      <c r="H299" s="749"/>
    </row>
    <row r="300" spans="1:8" ht="13.5">
      <c r="A300" s="750" t="s">
        <v>741</v>
      </c>
      <c r="B300" s="749"/>
      <c r="C300" s="749"/>
      <c r="D300" s="749"/>
      <c r="E300" s="749"/>
      <c r="F300" s="749"/>
      <c r="G300" s="749"/>
      <c r="H300" s="749"/>
    </row>
    <row r="301" spans="1:8" ht="13.5">
      <c r="A301" s="750" t="s">
        <v>742</v>
      </c>
      <c r="B301" s="749"/>
      <c r="C301" s="749"/>
      <c r="D301" s="749"/>
      <c r="E301" s="749"/>
      <c r="F301" s="749"/>
      <c r="G301" s="749"/>
      <c r="H301" s="749"/>
    </row>
    <row r="302" spans="1:8" ht="13.5">
      <c r="A302" s="749"/>
      <c r="B302" s="749"/>
      <c r="C302" s="749"/>
      <c r="D302" s="749"/>
      <c r="E302" s="749"/>
      <c r="F302" s="749"/>
      <c r="G302" s="749"/>
      <c r="H302" s="749"/>
    </row>
    <row r="303" spans="1:8" ht="13.5">
      <c r="A303" s="750" t="s">
        <v>728</v>
      </c>
      <c r="B303" s="749"/>
      <c r="C303" s="749"/>
      <c r="D303" s="749"/>
      <c r="E303" s="749"/>
      <c r="F303" s="749"/>
      <c r="G303" s="749"/>
      <c r="H303" s="749"/>
    </row>
    <row r="304" spans="1:8" ht="13.5">
      <c r="A304" s="750" t="s">
        <v>729</v>
      </c>
      <c r="B304" s="749"/>
      <c r="C304" s="749"/>
      <c r="D304" s="749"/>
      <c r="E304" s="749"/>
      <c r="F304" s="749"/>
      <c r="G304" s="749"/>
      <c r="H304" s="749"/>
    </row>
    <row r="305" spans="1:8" ht="13.5">
      <c r="A305" s="750" t="s">
        <v>730</v>
      </c>
      <c r="B305" s="749"/>
      <c r="C305" s="749"/>
      <c r="D305" s="749"/>
      <c r="E305" s="749"/>
      <c r="F305" s="749"/>
      <c r="G305" s="749"/>
      <c r="H305" s="749"/>
    </row>
    <row r="306" spans="1:8" ht="13.5">
      <c r="A306" s="750" t="s">
        <v>731</v>
      </c>
      <c r="B306" s="749"/>
      <c r="C306" s="749"/>
      <c r="D306" s="749"/>
      <c r="E306" s="749"/>
      <c r="F306" s="749"/>
      <c r="G306" s="749"/>
      <c r="H306" s="749"/>
    </row>
    <row r="307" spans="1:8" ht="13.5">
      <c r="A307" s="750" t="s">
        <v>732</v>
      </c>
      <c r="B307" s="749"/>
      <c r="C307" s="749"/>
      <c r="D307" s="749"/>
      <c r="E307" s="749"/>
      <c r="F307" s="749"/>
      <c r="G307" s="749"/>
      <c r="H307" s="749"/>
    </row>
    <row r="308" spans="1:8" ht="13.5">
      <c r="A308" s="750" t="s">
        <v>733</v>
      </c>
      <c r="B308" s="749"/>
      <c r="C308" s="749"/>
      <c r="D308" s="749"/>
      <c r="E308" s="749"/>
      <c r="F308" s="749"/>
      <c r="G308" s="749"/>
      <c r="H308" s="749"/>
    </row>
    <row r="309" spans="1:8" ht="13.5">
      <c r="A309" s="750" t="s">
        <v>734</v>
      </c>
      <c r="B309" s="749"/>
      <c r="C309" s="749"/>
      <c r="D309" s="749"/>
      <c r="E309" s="749"/>
      <c r="F309" s="749"/>
      <c r="G309" s="749"/>
      <c r="H309" s="749"/>
    </row>
    <row r="310" spans="1:8" ht="13.5">
      <c r="A310" s="750" t="s">
        <v>735</v>
      </c>
      <c r="B310" s="749"/>
      <c r="C310" s="749"/>
      <c r="D310" s="749"/>
      <c r="E310" s="749"/>
      <c r="F310" s="749"/>
      <c r="G310" s="749"/>
      <c r="H310" s="749"/>
    </row>
    <row r="311" spans="1:8" ht="13.5">
      <c r="A311" s="750" t="s">
        <v>736</v>
      </c>
      <c r="B311" s="749"/>
      <c r="C311" s="749"/>
      <c r="D311" s="749"/>
      <c r="E311" s="749"/>
      <c r="F311" s="749"/>
      <c r="G311" s="749"/>
      <c r="H311" s="749"/>
    </row>
    <row r="312" spans="1:8" ht="13.5">
      <c r="A312" s="750" t="s">
        <v>737</v>
      </c>
      <c r="B312" s="749"/>
      <c r="C312" s="749"/>
      <c r="D312" s="749"/>
      <c r="E312" s="749"/>
      <c r="F312" s="749"/>
      <c r="G312" s="749"/>
      <c r="H312" s="749"/>
    </row>
    <row r="313" spans="1:8" ht="13.5">
      <c r="A313" s="750" t="s">
        <v>738</v>
      </c>
      <c r="B313" s="749"/>
      <c r="C313" s="749"/>
      <c r="D313" s="749"/>
      <c r="E313" s="749"/>
      <c r="F313" s="749"/>
      <c r="G313" s="749"/>
      <c r="H313" s="749"/>
    </row>
    <row r="314" spans="1:8" ht="13.5">
      <c r="A314" s="750" t="s">
        <v>739</v>
      </c>
      <c r="B314" s="749"/>
      <c r="C314" s="749"/>
      <c r="D314" s="749"/>
      <c r="E314" s="749"/>
      <c r="F314" s="749"/>
      <c r="G314" s="749"/>
      <c r="H314" s="749"/>
    </row>
    <row r="315" spans="1:8" ht="13.5">
      <c r="A315" s="750" t="s">
        <v>740</v>
      </c>
      <c r="B315" s="749"/>
      <c r="C315" s="749"/>
      <c r="D315" s="749"/>
      <c r="E315" s="749"/>
      <c r="F315" s="749"/>
      <c r="G315" s="749"/>
      <c r="H315" s="749"/>
    </row>
    <row r="316" spans="1:8" ht="13.5">
      <c r="A316" s="749"/>
      <c r="B316" s="749"/>
      <c r="C316" s="749"/>
      <c r="D316" s="749"/>
      <c r="E316" s="749"/>
      <c r="F316" s="749"/>
      <c r="G316" s="749"/>
      <c r="H316" s="749"/>
    </row>
    <row r="317" spans="1:8" ht="13.5">
      <c r="A317" s="750" t="s">
        <v>720</v>
      </c>
      <c r="B317" s="749"/>
      <c r="C317" s="749"/>
      <c r="D317" s="749"/>
      <c r="E317" s="749"/>
      <c r="F317" s="749"/>
      <c r="G317" s="749"/>
      <c r="H317" s="749"/>
    </row>
    <row r="318" spans="1:8" ht="13.5">
      <c r="A318" s="750" t="s">
        <v>721</v>
      </c>
      <c r="B318" s="749"/>
      <c r="C318" s="749"/>
      <c r="D318" s="749"/>
      <c r="E318" s="749"/>
      <c r="F318" s="749"/>
      <c r="G318" s="749"/>
      <c r="H318" s="749"/>
    </row>
    <row r="319" spans="1:8" ht="13.5">
      <c r="A319" s="750" t="s">
        <v>722</v>
      </c>
      <c r="B319" s="749"/>
      <c r="C319" s="749"/>
      <c r="D319" s="749"/>
      <c r="E319" s="749"/>
      <c r="F319" s="749"/>
      <c r="G319" s="749"/>
      <c r="H319" s="749"/>
    </row>
    <row r="320" spans="1:8" ht="13.5">
      <c r="A320" s="750" t="s">
        <v>723</v>
      </c>
      <c r="B320" s="749"/>
      <c r="C320" s="749"/>
      <c r="D320" s="749"/>
      <c r="E320" s="749"/>
      <c r="F320" s="749"/>
      <c r="G320" s="749"/>
      <c r="H320" s="749"/>
    </row>
    <row r="321" spans="1:8" ht="13.5">
      <c r="A321" s="750" t="s">
        <v>724</v>
      </c>
      <c r="B321" s="749"/>
      <c r="C321" s="749"/>
      <c r="D321" s="749"/>
      <c r="E321" s="749"/>
      <c r="F321" s="749"/>
      <c r="G321" s="749"/>
      <c r="H321" s="749"/>
    </row>
    <row r="322" spans="1:8" ht="13.5">
      <c r="A322" s="750" t="s">
        <v>725</v>
      </c>
      <c r="B322" s="749"/>
      <c r="C322" s="749"/>
      <c r="D322" s="749"/>
      <c r="E322" s="749"/>
      <c r="F322" s="749"/>
      <c r="G322" s="749"/>
      <c r="H322" s="749"/>
    </row>
    <row r="323" spans="1:8" ht="13.5">
      <c r="A323" s="750" t="s">
        <v>726</v>
      </c>
      <c r="B323" s="749"/>
      <c r="C323" s="749"/>
      <c r="D323" s="749"/>
      <c r="E323" s="749"/>
      <c r="F323" s="749"/>
      <c r="G323" s="749"/>
      <c r="H323" s="749"/>
    </row>
    <row r="324" spans="1:8" ht="13.5">
      <c r="A324" s="750" t="s">
        <v>727</v>
      </c>
      <c r="B324" s="749"/>
      <c r="C324" s="749"/>
      <c r="D324" s="749"/>
      <c r="E324" s="749"/>
      <c r="F324" s="749"/>
      <c r="G324" s="749"/>
      <c r="H324" s="749"/>
    </row>
    <row r="325" spans="1:8" ht="13.5">
      <c r="A325" s="749"/>
      <c r="B325" s="749"/>
      <c r="C325" s="749"/>
      <c r="D325" s="749"/>
      <c r="E325" s="749"/>
      <c r="F325" s="749"/>
      <c r="G325" s="749"/>
      <c r="H325" s="749"/>
    </row>
    <row r="326" spans="1:8" ht="13.5">
      <c r="A326" s="750" t="s">
        <v>685</v>
      </c>
      <c r="B326" s="749"/>
      <c r="C326" s="749"/>
      <c r="D326" s="749"/>
      <c r="E326" s="749"/>
      <c r="F326" s="749"/>
      <c r="G326" s="749"/>
      <c r="H326" s="749"/>
    </row>
    <row r="327" spans="1:8" ht="13.5">
      <c r="A327" s="750" t="s">
        <v>686</v>
      </c>
      <c r="B327" s="749"/>
      <c r="C327" s="749"/>
      <c r="D327" s="749"/>
      <c r="E327" s="749"/>
      <c r="F327" s="749"/>
      <c r="G327" s="749"/>
      <c r="H327" s="749"/>
    </row>
    <row r="328" spans="1:8" ht="13.5">
      <c r="A328" s="750" t="s">
        <v>687</v>
      </c>
      <c r="B328" s="749"/>
      <c r="C328" s="749"/>
      <c r="D328" s="749"/>
      <c r="E328" s="749"/>
      <c r="F328" s="749"/>
      <c r="G328" s="749"/>
      <c r="H328" s="749"/>
    </row>
    <row r="329" spans="1:8" ht="13.5">
      <c r="A329" s="750" t="s">
        <v>688</v>
      </c>
      <c r="B329" s="749"/>
      <c r="C329" s="749"/>
      <c r="D329" s="749"/>
      <c r="E329" s="749"/>
      <c r="F329" s="749"/>
      <c r="G329" s="749"/>
      <c r="H329" s="749"/>
    </row>
    <row r="330" spans="1:8" ht="13.5">
      <c r="A330" s="750" t="s">
        <v>689</v>
      </c>
      <c r="B330" s="749"/>
      <c r="C330" s="749"/>
      <c r="D330" s="749"/>
      <c r="E330" s="749"/>
      <c r="F330" s="749"/>
      <c r="G330" s="749"/>
      <c r="H330" s="749"/>
    </row>
    <row r="331" spans="1:8" ht="13.5">
      <c r="A331" s="750" t="s">
        <v>690</v>
      </c>
      <c r="B331" s="749"/>
      <c r="C331" s="749"/>
      <c r="D331" s="749"/>
      <c r="E331" s="749"/>
      <c r="F331" s="749"/>
      <c r="G331" s="749"/>
      <c r="H331" s="749"/>
    </row>
    <row r="332" spans="1:8" ht="13.5">
      <c r="A332" s="750" t="s">
        <v>691</v>
      </c>
      <c r="B332" s="749"/>
      <c r="C332" s="749"/>
      <c r="D332" s="749"/>
      <c r="E332" s="749"/>
      <c r="F332" s="749"/>
      <c r="G332" s="749"/>
      <c r="H332" s="749"/>
    </row>
    <row r="333" spans="1:8" ht="13.5">
      <c r="A333" s="750" t="s">
        <v>692</v>
      </c>
      <c r="B333" s="749"/>
      <c r="C333" s="749"/>
      <c r="D333" s="749"/>
      <c r="E333" s="749"/>
      <c r="F333" s="749"/>
      <c r="G333" s="749"/>
      <c r="H333" s="749"/>
    </row>
    <row r="334" spans="1:8" ht="13.5">
      <c r="A334" s="750" t="s">
        <v>693</v>
      </c>
      <c r="B334" s="749"/>
      <c r="C334" s="749"/>
      <c r="D334" s="749"/>
      <c r="E334" s="749"/>
      <c r="F334" s="749"/>
      <c r="G334" s="749"/>
      <c r="H334" s="749"/>
    </row>
    <row r="335" spans="1:8" ht="13.5">
      <c r="A335" s="750" t="s">
        <v>694</v>
      </c>
      <c r="B335" s="749"/>
      <c r="C335" s="749"/>
      <c r="D335" s="749"/>
      <c r="E335" s="749"/>
      <c r="F335" s="749"/>
      <c r="G335" s="749"/>
      <c r="H335" s="749"/>
    </row>
    <row r="336" spans="1:8" ht="13.5">
      <c r="A336" s="750" t="s">
        <v>695</v>
      </c>
      <c r="B336" s="749"/>
      <c r="C336" s="749"/>
      <c r="D336" s="749"/>
      <c r="E336" s="749"/>
      <c r="F336" s="749"/>
      <c r="G336" s="749"/>
      <c r="H336" s="749"/>
    </row>
    <row r="337" spans="1:8" ht="13.5">
      <c r="A337" s="750" t="s">
        <v>696</v>
      </c>
      <c r="B337" s="749"/>
      <c r="C337" s="749"/>
      <c r="D337" s="749"/>
      <c r="E337" s="749"/>
      <c r="F337" s="749"/>
      <c r="G337" s="749"/>
      <c r="H337" s="749"/>
    </row>
    <row r="338" spans="1:8" ht="13.5">
      <c r="A338" s="750" t="s">
        <v>697</v>
      </c>
      <c r="B338" s="749"/>
      <c r="C338" s="749"/>
      <c r="D338" s="749"/>
      <c r="E338" s="749"/>
      <c r="F338" s="749"/>
      <c r="G338" s="749"/>
      <c r="H338" s="749"/>
    </row>
    <row r="339" spans="1:8" ht="13.5">
      <c r="A339" s="750" t="s">
        <v>698</v>
      </c>
      <c r="B339" s="749"/>
      <c r="C339" s="749"/>
      <c r="D339" s="749"/>
      <c r="E339" s="749"/>
      <c r="F339" s="749"/>
      <c r="G339" s="749"/>
      <c r="H339" s="749"/>
    </row>
    <row r="340" spans="1:8" ht="13.5">
      <c r="A340" s="750" t="s">
        <v>699</v>
      </c>
      <c r="B340" s="749"/>
      <c r="C340" s="749"/>
      <c r="D340" s="749"/>
      <c r="E340" s="749"/>
      <c r="F340" s="749"/>
      <c r="G340" s="749"/>
      <c r="H340" s="749"/>
    </row>
    <row r="341" spans="1:8" ht="13.5">
      <c r="A341" s="750" t="s">
        <v>700</v>
      </c>
      <c r="B341" s="749"/>
      <c r="C341" s="749"/>
      <c r="D341" s="749"/>
      <c r="E341" s="749"/>
      <c r="F341" s="749"/>
      <c r="G341" s="749"/>
      <c r="H341" s="749"/>
    </row>
    <row r="342" spans="1:8" ht="13.5">
      <c r="A342" s="750" t="s">
        <v>701</v>
      </c>
      <c r="B342" s="749"/>
      <c r="C342" s="749"/>
      <c r="D342" s="749"/>
      <c r="E342" s="749"/>
      <c r="F342" s="749"/>
      <c r="G342" s="749"/>
      <c r="H342" s="749"/>
    </row>
    <row r="343" spans="1:8" ht="13.5">
      <c r="A343" s="750" t="s">
        <v>702</v>
      </c>
      <c r="B343" s="749"/>
      <c r="C343" s="749"/>
      <c r="D343" s="749"/>
      <c r="E343" s="749"/>
      <c r="F343" s="749"/>
      <c r="G343" s="749"/>
      <c r="H343" s="749"/>
    </row>
    <row r="344" spans="1:8" ht="13.5">
      <c r="A344" s="750" t="s">
        <v>703</v>
      </c>
      <c r="B344" s="749"/>
      <c r="C344" s="749"/>
      <c r="D344" s="749"/>
      <c r="E344" s="749"/>
      <c r="F344" s="749"/>
      <c r="G344" s="749"/>
      <c r="H344" s="749"/>
    </row>
    <row r="345" spans="1:8" ht="13.5">
      <c r="A345" s="750" t="s">
        <v>704</v>
      </c>
      <c r="B345" s="749"/>
      <c r="C345" s="749"/>
      <c r="D345" s="749"/>
      <c r="E345" s="749"/>
      <c r="F345" s="749"/>
      <c r="G345" s="749"/>
      <c r="H345" s="749"/>
    </row>
    <row r="346" spans="1:8" ht="13.5">
      <c r="A346" s="750" t="s">
        <v>705</v>
      </c>
      <c r="B346" s="749"/>
      <c r="C346" s="749"/>
      <c r="D346" s="749"/>
      <c r="E346" s="749"/>
      <c r="F346" s="749"/>
      <c r="G346" s="749"/>
      <c r="H346" s="749"/>
    </row>
    <row r="347" spans="1:8" ht="13.5">
      <c r="A347" s="750" t="s">
        <v>706</v>
      </c>
      <c r="B347" s="749"/>
      <c r="C347" s="749"/>
      <c r="D347" s="749"/>
      <c r="E347" s="749"/>
      <c r="F347" s="749"/>
      <c r="G347" s="749"/>
      <c r="H347" s="749"/>
    </row>
    <row r="348" spans="1:8" ht="13.5">
      <c r="A348" s="750" t="s">
        <v>707</v>
      </c>
      <c r="B348" s="749"/>
      <c r="C348" s="749"/>
      <c r="D348" s="749"/>
      <c r="E348" s="749"/>
      <c r="F348" s="749"/>
      <c r="G348" s="749"/>
      <c r="H348" s="749"/>
    </row>
    <row r="349" spans="1:8" ht="13.5">
      <c r="A349" s="750" t="s">
        <v>708</v>
      </c>
      <c r="B349" s="749"/>
      <c r="C349" s="749"/>
      <c r="D349" s="749"/>
      <c r="E349" s="749"/>
      <c r="F349" s="749"/>
      <c r="G349" s="749"/>
      <c r="H349" s="749"/>
    </row>
    <row r="350" spans="1:8" ht="13.5">
      <c r="A350" s="750" t="s">
        <v>709</v>
      </c>
      <c r="B350" s="749"/>
      <c r="C350" s="749"/>
      <c r="D350" s="749"/>
      <c r="E350" s="749"/>
      <c r="F350" s="749"/>
      <c r="G350" s="749"/>
      <c r="H350" s="749"/>
    </row>
    <row r="351" spans="1:8" ht="13.5">
      <c r="A351" s="750" t="s">
        <v>710</v>
      </c>
      <c r="B351" s="749"/>
      <c r="C351" s="749"/>
      <c r="D351" s="749"/>
      <c r="E351" s="749"/>
      <c r="F351" s="749"/>
      <c r="G351" s="749"/>
      <c r="H351" s="749"/>
    </row>
    <row r="352" spans="1:8" ht="13.5">
      <c r="A352" s="750" t="s">
        <v>711</v>
      </c>
      <c r="B352" s="749"/>
      <c r="C352" s="749"/>
      <c r="D352" s="749"/>
      <c r="E352" s="749"/>
      <c r="F352" s="749"/>
      <c r="G352" s="749"/>
      <c r="H352" s="749"/>
    </row>
    <row r="353" spans="1:8" ht="13.5">
      <c r="A353" s="750" t="s">
        <v>712</v>
      </c>
      <c r="B353" s="749"/>
      <c r="C353" s="749"/>
      <c r="D353" s="749"/>
      <c r="E353" s="749"/>
      <c r="F353" s="749"/>
      <c r="G353" s="749"/>
      <c r="H353" s="749"/>
    </row>
    <row r="354" spans="1:8" ht="13.5">
      <c r="A354" s="750" t="s">
        <v>713</v>
      </c>
      <c r="B354" s="749"/>
      <c r="C354" s="749"/>
      <c r="D354" s="749"/>
      <c r="E354" s="749"/>
      <c r="F354" s="749"/>
      <c r="G354" s="749"/>
      <c r="H354" s="749"/>
    </row>
    <row r="355" spans="1:8" ht="13.5">
      <c r="A355" s="750" t="s">
        <v>714</v>
      </c>
      <c r="B355" s="749"/>
      <c r="C355" s="749"/>
      <c r="D355" s="749"/>
      <c r="E355" s="749"/>
      <c r="F355" s="749"/>
      <c r="G355" s="749"/>
      <c r="H355" s="749"/>
    </row>
    <row r="356" spans="1:8" ht="13.5">
      <c r="A356" s="750" t="s">
        <v>715</v>
      </c>
      <c r="B356" s="749"/>
      <c r="C356" s="749"/>
      <c r="D356" s="749"/>
      <c r="E356" s="749"/>
      <c r="F356" s="749"/>
      <c r="G356" s="749"/>
      <c r="H356" s="749"/>
    </row>
    <row r="357" spans="1:8" ht="13.5">
      <c r="A357" s="750" t="s">
        <v>716</v>
      </c>
      <c r="B357" s="749"/>
      <c r="C357" s="749"/>
      <c r="D357" s="749"/>
      <c r="E357" s="749"/>
      <c r="F357" s="749"/>
      <c r="G357" s="749"/>
      <c r="H357" s="749"/>
    </row>
    <row r="358" spans="1:8" ht="13.5">
      <c r="A358" s="750" t="s">
        <v>717</v>
      </c>
      <c r="B358" s="749"/>
      <c r="C358" s="749"/>
      <c r="D358" s="749"/>
      <c r="E358" s="749"/>
      <c r="F358" s="749"/>
      <c r="G358" s="749"/>
      <c r="H358" s="749"/>
    </row>
    <row r="359" spans="1:8" ht="13.5">
      <c r="A359" s="750" t="s">
        <v>718</v>
      </c>
      <c r="B359" s="749"/>
      <c r="C359" s="749"/>
      <c r="D359" s="749"/>
      <c r="E359" s="749"/>
      <c r="F359" s="749"/>
      <c r="G359" s="749"/>
      <c r="H359" s="749"/>
    </row>
    <row r="360" spans="1:8" ht="13.5">
      <c r="A360" s="750" t="s">
        <v>719</v>
      </c>
      <c r="B360" s="749"/>
      <c r="C360" s="749"/>
      <c r="D360" s="749"/>
      <c r="E360" s="749"/>
      <c r="F360" s="749"/>
      <c r="G360" s="749"/>
      <c r="H360" s="749"/>
    </row>
    <row r="361" spans="1:8" ht="13.5">
      <c r="A361" s="749"/>
      <c r="B361" s="749"/>
      <c r="C361" s="749"/>
      <c r="D361" s="749"/>
      <c r="E361" s="749"/>
      <c r="F361" s="749"/>
      <c r="G361" s="749"/>
      <c r="H361" s="749"/>
    </row>
    <row r="362" spans="1:8" ht="13.5">
      <c r="A362" s="750" t="s">
        <v>677</v>
      </c>
      <c r="B362" s="749"/>
      <c r="C362" s="749"/>
      <c r="D362" s="749"/>
      <c r="E362" s="749"/>
      <c r="F362" s="749"/>
      <c r="G362" s="749"/>
      <c r="H362" s="749"/>
    </row>
    <row r="363" spans="1:8" ht="13.5">
      <c r="A363" s="750" t="s">
        <v>681</v>
      </c>
      <c r="B363" s="749"/>
      <c r="C363" s="749"/>
      <c r="D363" s="749"/>
      <c r="E363" s="749"/>
      <c r="F363" s="749"/>
      <c r="G363" s="749"/>
      <c r="H363" s="749"/>
    </row>
    <row r="364" spans="1:8" ht="13.5">
      <c r="A364" s="750" t="s">
        <v>682</v>
      </c>
      <c r="B364" s="749"/>
      <c r="C364" s="749"/>
      <c r="D364" s="749"/>
      <c r="E364" s="749"/>
      <c r="F364" s="749"/>
      <c r="G364" s="749"/>
      <c r="H364" s="749"/>
    </row>
    <row r="365" spans="1:8" ht="13.5">
      <c r="A365" s="750" t="s">
        <v>683</v>
      </c>
      <c r="B365" s="749"/>
      <c r="C365" s="749"/>
      <c r="D365" s="749"/>
      <c r="E365" s="749"/>
      <c r="F365" s="749"/>
      <c r="G365" s="749"/>
      <c r="H365" s="749"/>
    </row>
    <row r="366" spans="1:8" ht="13.5">
      <c r="A366" s="750" t="s">
        <v>684</v>
      </c>
      <c r="B366" s="749"/>
      <c r="C366" s="749"/>
      <c r="D366" s="749"/>
      <c r="E366" s="749"/>
      <c r="F366" s="749"/>
      <c r="G366" s="749"/>
      <c r="H366" s="749"/>
    </row>
    <row r="367" spans="1:8" ht="13.5">
      <c r="A367" s="749"/>
      <c r="B367" s="749"/>
      <c r="C367" s="749"/>
      <c r="D367" s="749"/>
      <c r="E367" s="749"/>
      <c r="F367" s="749"/>
      <c r="G367" s="749"/>
      <c r="H367" s="749"/>
    </row>
    <row r="368" spans="1:8" ht="13.5">
      <c r="A368" s="750" t="s">
        <v>677</v>
      </c>
      <c r="B368" s="749"/>
      <c r="C368" s="749"/>
      <c r="D368" s="749"/>
      <c r="E368" s="749"/>
      <c r="F368" s="749"/>
      <c r="G368" s="749"/>
      <c r="H368" s="749"/>
    </row>
    <row r="369" spans="1:8" ht="13.5">
      <c r="A369" s="750" t="s">
        <v>678</v>
      </c>
      <c r="B369" s="749"/>
      <c r="C369" s="749"/>
      <c r="D369" s="749"/>
      <c r="E369" s="749"/>
      <c r="F369" s="749"/>
      <c r="G369" s="749"/>
      <c r="H369" s="749"/>
    </row>
    <row r="370" spans="1:8" ht="13.5">
      <c r="A370" s="750" t="s">
        <v>679</v>
      </c>
      <c r="B370" s="749"/>
      <c r="C370" s="749"/>
      <c r="D370" s="749"/>
      <c r="E370" s="749"/>
      <c r="F370" s="749"/>
      <c r="G370" s="749"/>
      <c r="H370" s="749"/>
    </row>
    <row r="371" spans="1:8" ht="13.5">
      <c r="A371" s="750" t="s">
        <v>680</v>
      </c>
      <c r="B371" s="749"/>
      <c r="C371" s="749"/>
      <c r="D371" s="749"/>
      <c r="E371" s="749"/>
      <c r="F371" s="749"/>
      <c r="G371" s="749"/>
      <c r="H371" s="749"/>
    </row>
    <row r="372" spans="1:8" ht="13.5">
      <c r="A372" s="749"/>
      <c r="B372" s="749"/>
      <c r="C372" s="749"/>
      <c r="D372" s="749"/>
      <c r="E372" s="749"/>
      <c r="F372" s="749"/>
      <c r="G372" s="749"/>
      <c r="H372" s="749"/>
    </row>
    <row r="373" spans="1:8" ht="13.5">
      <c r="A373" s="750" t="s">
        <v>671</v>
      </c>
      <c r="B373" s="749"/>
      <c r="C373" s="749"/>
      <c r="D373" s="749"/>
      <c r="E373" s="749"/>
      <c r="F373" s="749"/>
      <c r="G373" s="749"/>
      <c r="H373" s="749"/>
    </row>
    <row r="374" spans="1:8" ht="13.5">
      <c r="A374" s="750" t="s">
        <v>672</v>
      </c>
      <c r="B374" s="749"/>
      <c r="C374" s="749"/>
      <c r="D374" s="749"/>
      <c r="E374" s="749"/>
      <c r="F374" s="749"/>
      <c r="G374" s="749"/>
      <c r="H374" s="749"/>
    </row>
    <row r="375" spans="1:8" ht="13.5">
      <c r="A375" s="750" t="s">
        <v>673</v>
      </c>
      <c r="B375" s="749"/>
      <c r="C375" s="749"/>
      <c r="D375" s="749"/>
      <c r="E375" s="749"/>
      <c r="F375" s="749"/>
      <c r="G375" s="749"/>
      <c r="H375" s="749"/>
    </row>
    <row r="376" spans="1:8" ht="13.5">
      <c r="A376" s="750" t="s">
        <v>674</v>
      </c>
      <c r="B376" s="749"/>
      <c r="C376" s="749"/>
      <c r="D376" s="749"/>
      <c r="E376" s="749"/>
      <c r="F376" s="749"/>
      <c r="G376" s="749"/>
      <c r="H376" s="749"/>
    </row>
    <row r="377" spans="1:8" ht="13.5">
      <c r="A377" s="750" t="s">
        <v>675</v>
      </c>
      <c r="B377" s="749"/>
      <c r="C377" s="749"/>
      <c r="D377" s="749"/>
      <c r="E377" s="749"/>
      <c r="F377" s="749"/>
      <c r="G377" s="749"/>
      <c r="H377" s="749"/>
    </row>
    <row r="378" spans="1:8" ht="13.5">
      <c r="A378" s="750" t="s">
        <v>676</v>
      </c>
      <c r="B378" s="749"/>
      <c r="C378" s="749"/>
      <c r="D378" s="749"/>
      <c r="E378" s="749"/>
      <c r="F378" s="749"/>
      <c r="G378" s="749"/>
      <c r="H378" s="749"/>
    </row>
    <row r="379" spans="1:8" ht="13.5">
      <c r="A379" s="749"/>
      <c r="B379" s="749"/>
      <c r="C379" s="749"/>
      <c r="D379" s="749"/>
      <c r="E379" s="749"/>
      <c r="F379" s="749"/>
      <c r="G379" s="749"/>
      <c r="H379" s="749"/>
    </row>
    <row r="380" spans="1:8" ht="13.5">
      <c r="A380" s="750" t="s">
        <v>666</v>
      </c>
      <c r="B380" s="749"/>
      <c r="C380" s="749"/>
      <c r="D380" s="749"/>
      <c r="E380" s="749"/>
      <c r="F380" s="749"/>
      <c r="G380" s="749"/>
      <c r="H380" s="749"/>
    </row>
    <row r="381" spans="1:8" ht="13.5">
      <c r="A381" s="750" t="s">
        <v>667</v>
      </c>
      <c r="B381" s="749"/>
      <c r="C381" s="749"/>
      <c r="D381" s="749"/>
      <c r="E381" s="749"/>
      <c r="F381" s="749"/>
      <c r="G381" s="749"/>
      <c r="H381" s="749"/>
    </row>
    <row r="382" spans="1:8" ht="13.5">
      <c r="A382" s="750" t="s">
        <v>668</v>
      </c>
      <c r="B382" s="749"/>
      <c r="C382" s="749"/>
      <c r="D382" s="749"/>
      <c r="E382" s="749"/>
      <c r="F382" s="749"/>
      <c r="G382" s="749"/>
      <c r="H382" s="749"/>
    </row>
    <row r="383" spans="1:8" ht="13.5">
      <c r="A383" s="750" t="s">
        <v>669</v>
      </c>
      <c r="B383" s="749"/>
      <c r="C383" s="749"/>
      <c r="D383" s="749"/>
      <c r="E383" s="749"/>
      <c r="F383" s="749"/>
      <c r="G383" s="749"/>
      <c r="H383" s="749"/>
    </row>
    <row r="384" spans="1:8" ht="13.5">
      <c r="A384" s="750" t="s">
        <v>670</v>
      </c>
      <c r="B384" s="749"/>
      <c r="C384" s="749"/>
      <c r="D384" s="749"/>
      <c r="E384" s="749"/>
      <c r="F384" s="749"/>
      <c r="G384" s="749"/>
      <c r="H384" s="749"/>
    </row>
    <row r="385" spans="1:8" ht="13.5">
      <c r="A385" s="749"/>
      <c r="B385" s="749"/>
      <c r="C385" s="749"/>
      <c r="D385" s="749"/>
      <c r="E385" s="749"/>
      <c r="F385" s="749"/>
      <c r="G385" s="749"/>
      <c r="H385" s="749"/>
    </row>
    <row r="386" spans="1:8" ht="13.5">
      <c r="A386" s="750" t="s">
        <v>664</v>
      </c>
      <c r="B386" s="749"/>
      <c r="C386" s="749"/>
      <c r="D386" s="749"/>
      <c r="E386" s="749"/>
      <c r="F386" s="749"/>
      <c r="G386" s="749"/>
      <c r="H386" s="749"/>
    </row>
    <row r="387" spans="1:8" ht="13.5">
      <c r="A387" s="750" t="s">
        <v>665</v>
      </c>
      <c r="B387" s="749"/>
      <c r="C387" s="749"/>
      <c r="D387" s="749"/>
      <c r="E387" s="749"/>
      <c r="F387" s="749"/>
      <c r="G387" s="749"/>
      <c r="H387" s="749"/>
    </row>
    <row r="389" spans="1:8">
      <c r="A389" s="745" t="s">
        <v>919</v>
      </c>
    </row>
  </sheetData>
  <mergeCells count="12">
    <mergeCell ref="A127:H127"/>
    <mergeCell ref="A128:H128"/>
    <mergeCell ref="B120:C120"/>
    <mergeCell ref="D120:F120"/>
    <mergeCell ref="G120:H120"/>
    <mergeCell ref="A106:H106"/>
    <mergeCell ref="A107:H107"/>
    <mergeCell ref="A108:H108"/>
    <mergeCell ref="A109:H109"/>
    <mergeCell ref="A111:H111"/>
    <mergeCell ref="A112:H112"/>
    <mergeCell ref="A119:H119"/>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3:I80"/>
  <sheetViews>
    <sheetView zoomScaleNormal="100" workbookViewId="0">
      <selection activeCell="I30" sqref="I30"/>
    </sheetView>
  </sheetViews>
  <sheetFormatPr defaultRowHeight="12.75"/>
  <cols>
    <col min="1" max="2" width="9" style="8"/>
    <col min="3" max="3" width="20.5" style="8" bestFit="1" customWidth="1"/>
    <col min="4" max="4" width="20.5" style="650" customWidth="1"/>
    <col min="5" max="5" width="18.5" style="650" bestFit="1" customWidth="1"/>
    <col min="6" max="6" width="18.5" style="650" customWidth="1"/>
    <col min="7" max="7" width="11.375" style="650" customWidth="1"/>
    <col min="8" max="16384" width="9" style="8"/>
  </cols>
  <sheetData>
    <row r="3" spans="3:9" ht="13.5" thickBot="1"/>
    <row r="4" spans="3:9">
      <c r="C4" s="651" t="s">
        <v>540</v>
      </c>
      <c r="D4" s="652" t="s">
        <v>551</v>
      </c>
      <c r="E4" s="652" t="s">
        <v>541</v>
      </c>
      <c r="F4" s="652" t="s">
        <v>554</v>
      </c>
      <c r="G4" s="653" t="s">
        <v>542</v>
      </c>
    </row>
    <row r="5" spans="3:9" ht="3.75" customHeight="1">
      <c r="C5" s="654"/>
      <c r="D5" s="655"/>
      <c r="E5" s="655"/>
      <c r="F5" s="655"/>
      <c r="G5" s="656"/>
    </row>
    <row r="6" spans="3:9">
      <c r="C6" s="654" t="s">
        <v>2</v>
      </c>
      <c r="D6" s="655" t="s">
        <v>552</v>
      </c>
      <c r="E6" s="655" t="s">
        <v>545</v>
      </c>
      <c r="F6" s="660">
        <f t="shared" ref="F6:F11" si="0">G6/$G$23</f>
        <v>0.29608296608548951</v>
      </c>
      <c r="G6" s="667">
        <f>Vimizim!BE89</f>
        <v>33.201310805910538</v>
      </c>
      <c r="H6" s="666">
        <f>G6/88</f>
        <v>0.37728762279443795</v>
      </c>
    </row>
    <row r="7" spans="3:9">
      <c r="C7" s="654" t="s">
        <v>21</v>
      </c>
      <c r="D7" s="655" t="s">
        <v>552</v>
      </c>
      <c r="E7" s="655" t="s">
        <v>545</v>
      </c>
      <c r="F7" s="660">
        <f t="shared" si="0"/>
        <v>0.14181131720754286</v>
      </c>
      <c r="G7" s="667">
        <f>Naglazyme!AK89</f>
        <v>15.902034759553654</v>
      </c>
      <c r="H7" s="666">
        <f t="shared" ref="H7:H14" si="1">G7/88</f>
        <v>0.18070494044947336</v>
      </c>
    </row>
    <row r="8" spans="3:9">
      <c r="C8" s="654" t="s">
        <v>22</v>
      </c>
      <c r="D8" s="655" t="s">
        <v>552</v>
      </c>
      <c r="E8" s="655" t="s">
        <v>545</v>
      </c>
      <c r="F8" s="660">
        <f t="shared" si="0"/>
        <v>0.10841052463144123</v>
      </c>
      <c r="G8" s="667">
        <f>PKU!F197</f>
        <v>12.156631536449266</v>
      </c>
      <c r="H8" s="666">
        <f t="shared" si="1"/>
        <v>0.13814354018692349</v>
      </c>
    </row>
    <row r="9" spans="3:9">
      <c r="C9" s="654" t="s">
        <v>16</v>
      </c>
      <c r="D9" s="655" t="s">
        <v>552</v>
      </c>
      <c r="E9" s="655" t="s">
        <v>545</v>
      </c>
      <c r="F9" s="660">
        <f t="shared" si="0"/>
        <v>4.4276934808526153E-2</v>
      </c>
      <c r="G9" s="667">
        <f>Aldurazyme!Z84</f>
        <v>4.9650011736455664</v>
      </c>
      <c r="H9" s="666">
        <f t="shared" si="1"/>
        <v>5.6420467882335984E-2</v>
      </c>
    </row>
    <row r="10" spans="3:9">
      <c r="C10" s="654" t="s">
        <v>407</v>
      </c>
      <c r="D10" s="655" t="s">
        <v>552</v>
      </c>
      <c r="E10" s="657" t="s">
        <v>545</v>
      </c>
      <c r="F10" s="660">
        <f t="shared" si="0"/>
        <v>0.10564725621611702</v>
      </c>
      <c r="G10" s="667">
        <f>'Brineura (BMN 190)'!S51</f>
        <v>11.846771990287989</v>
      </c>
      <c r="H10" s="666">
        <f>G10/88</f>
        <v>0.13462240898054534</v>
      </c>
    </row>
    <row r="11" spans="3:9">
      <c r="C11" s="661" t="s">
        <v>543</v>
      </c>
      <c r="D11" s="662"/>
      <c r="E11" s="662"/>
      <c r="F11" s="663">
        <f t="shared" si="0"/>
        <v>0.69622899894911672</v>
      </c>
      <c r="G11" s="668">
        <f>SUM(G6:G10)</f>
        <v>78.071750265847015</v>
      </c>
      <c r="H11" s="666">
        <f t="shared" si="1"/>
        <v>0.88717898029371611</v>
      </c>
      <c r="I11" s="665"/>
    </row>
    <row r="12" spans="3:9">
      <c r="C12" s="654"/>
      <c r="D12" s="655"/>
      <c r="E12" s="655"/>
      <c r="F12" s="660"/>
      <c r="G12" s="667"/>
      <c r="H12" s="666"/>
    </row>
    <row r="13" spans="3:9">
      <c r="C13" s="654" t="s">
        <v>275</v>
      </c>
      <c r="D13" s="655" t="s">
        <v>622</v>
      </c>
      <c r="E13" s="657">
        <f>PKU!F227</f>
        <v>0.57469632601676679</v>
      </c>
      <c r="F13" s="660">
        <f>G13/$G$23</f>
        <v>3.077886793440027E-2</v>
      </c>
      <c r="G13" s="667">
        <f>PKU!F228</f>
        <v>3.4513932836279384</v>
      </c>
      <c r="H13" s="666">
        <f t="shared" si="1"/>
        <v>3.9220378223044756E-2</v>
      </c>
    </row>
    <row r="14" spans="3:9">
      <c r="C14" s="661" t="s">
        <v>544</v>
      </c>
      <c r="D14" s="662"/>
      <c r="E14" s="662"/>
      <c r="F14" s="663">
        <f>G14/$G$23</f>
        <v>3.077886793440027E-2</v>
      </c>
      <c r="G14" s="668">
        <f>G13</f>
        <v>3.4513932836279384</v>
      </c>
      <c r="H14" s="666">
        <f t="shared" si="1"/>
        <v>3.9220378223044756E-2</v>
      </c>
    </row>
    <row r="15" spans="3:9">
      <c r="C15" s="654"/>
      <c r="D15" s="655"/>
      <c r="E15" s="655"/>
      <c r="F15" s="660"/>
      <c r="G15" s="667"/>
    </row>
    <row r="16" spans="3:9">
      <c r="C16" s="654" t="s">
        <v>276</v>
      </c>
      <c r="D16" s="655" t="s">
        <v>621</v>
      </c>
      <c r="E16" s="657">
        <f>' Vosoritide (BMN 111)'!I68</f>
        <v>0.79363385935641362</v>
      </c>
      <c r="F16" s="660">
        <f>G16/$G$23</f>
        <v>0.19767704624843174</v>
      </c>
      <c r="G16" s="667">
        <f>' Vosoritide (BMN 111)'!I59</f>
        <v>22.166547229851538</v>
      </c>
    </row>
    <row r="17" spans="3:7">
      <c r="C17" s="654" t="s">
        <v>409</v>
      </c>
      <c r="D17" s="655" t="s">
        <v>621</v>
      </c>
      <c r="E17" s="657">
        <f>'BMN 270'!J109</f>
        <v>0.46338702528480075</v>
      </c>
      <c r="F17" s="660">
        <f>G17/$G$23</f>
        <v>0.22901164653306608</v>
      </c>
      <c r="G17" s="667">
        <f>'BMN 270'!J100</f>
        <v>25.680257649547659</v>
      </c>
    </row>
    <row r="18" spans="3:7">
      <c r="C18" s="654" t="s">
        <v>466</v>
      </c>
      <c r="D18" s="655"/>
      <c r="E18" s="657">
        <f>'BMN 250'!AA66</f>
        <v>0.44630520340760893</v>
      </c>
      <c r="F18" s="660">
        <f>G18/$G$23</f>
        <v>-4.7968149647865596E-3</v>
      </c>
      <c r="G18" s="667">
        <f>'BMN 250'!AA55</f>
        <v>-0.5378916140631248</v>
      </c>
    </row>
    <row r="19" spans="3:7">
      <c r="C19" s="661" t="s">
        <v>549</v>
      </c>
      <c r="D19" s="662"/>
      <c r="E19" s="664"/>
      <c r="F19" s="663">
        <f>G19/$G$23</f>
        <v>0.42189187781671128</v>
      </c>
      <c r="G19" s="668">
        <f>SUM(G16:G18)</f>
        <v>47.308913265336074</v>
      </c>
    </row>
    <row r="20" spans="3:7">
      <c r="C20" s="654"/>
      <c r="D20" s="655"/>
      <c r="E20" s="655"/>
      <c r="F20" s="660"/>
      <c r="G20" s="667"/>
    </row>
    <row r="21" spans="3:7">
      <c r="C21" s="654" t="s">
        <v>546</v>
      </c>
      <c r="D21" s="655"/>
      <c r="E21" s="655"/>
      <c r="F21" s="660">
        <f>G21/$G$23</f>
        <v>-0.1488997447002284</v>
      </c>
      <c r="G21" s="667">
        <f>G23-(G6+G7+G8+G9+G10+G13+G16+G17+G18)</f>
        <v>-16.696896711327881</v>
      </c>
    </row>
    <row r="22" spans="3:7" ht="13.5" thickBot="1">
      <c r="C22" s="654"/>
      <c r="D22" s="655"/>
      <c r="E22" s="655"/>
      <c r="F22" s="655"/>
      <c r="G22" s="667"/>
    </row>
    <row r="23" spans="3:7" ht="13.5" thickBot="1">
      <c r="C23" s="658" t="s">
        <v>553</v>
      </c>
      <c r="D23" s="659"/>
      <c r="E23" s="659"/>
      <c r="F23" s="659"/>
      <c r="G23" s="669">
        <f>DCF!C22</f>
        <v>112.13516010348316</v>
      </c>
    </row>
    <row r="41" spans="3:7">
      <c r="C41" s="8" t="s">
        <v>109</v>
      </c>
      <c r="D41" s="705">
        <v>63</v>
      </c>
      <c r="E41" s="705">
        <f>D41</f>
        <v>63</v>
      </c>
      <c r="F41" s="705">
        <f>E41</f>
        <v>63</v>
      </c>
      <c r="G41" s="705">
        <f>F41</f>
        <v>63</v>
      </c>
    </row>
    <row r="42" spans="3:7">
      <c r="C42" s="8" t="s">
        <v>558</v>
      </c>
      <c r="D42" s="705">
        <v>88.3</v>
      </c>
      <c r="E42" s="705">
        <v>0</v>
      </c>
      <c r="F42" s="705">
        <f>D42-D41</f>
        <v>25.299999999999997</v>
      </c>
      <c r="G42" s="705">
        <f>F42</f>
        <v>25.299999999999997</v>
      </c>
    </row>
    <row r="43" spans="3:7">
      <c r="C43" s="8" t="s">
        <v>560</v>
      </c>
      <c r="D43" s="705">
        <v>110</v>
      </c>
      <c r="E43" s="705">
        <v>0</v>
      </c>
      <c r="F43" s="705">
        <v>0</v>
      </c>
      <c r="G43" s="705">
        <f>D43-D42</f>
        <v>21.700000000000003</v>
      </c>
    </row>
    <row r="78" spans="3:5">
      <c r="C78" s="8" t="s">
        <v>109</v>
      </c>
      <c r="D78" s="705">
        <f>IS!BY6+IS!BY8+IS!BY10+IS!BY13+IS!BY14</f>
        <v>1661.5570667692132</v>
      </c>
      <c r="E78" s="705">
        <f>IS!BY6+IS!BY8+IS!BY10+IS!BY13+IS!BY14</f>
        <v>1661.5570667692132</v>
      </c>
    </row>
    <row r="79" spans="3:5">
      <c r="C79" s="8" t="s">
        <v>559</v>
      </c>
      <c r="D79" s="705">
        <v>0</v>
      </c>
      <c r="E79" s="705">
        <f>IS!BY12+IS!BY15+IS!BY17+IS!BY18+IS!BY19</f>
        <v>2530.6997786672973</v>
      </c>
    </row>
    <row r="80" spans="3:5">
      <c r="C80" s="8" t="s">
        <v>561</v>
      </c>
    </row>
  </sheetData>
  <pageMargins left="0" right="0" top="0" bottom="0" header="0" footer="0"/>
  <pageSetup paperSize="5" scale="45"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X53"/>
  <sheetViews>
    <sheetView zoomScale="85" zoomScaleNormal="85" workbookViewId="0">
      <selection activeCell="C30" sqref="C30"/>
    </sheetView>
  </sheetViews>
  <sheetFormatPr defaultRowHeight="12.75" outlineLevelRow="1"/>
  <cols>
    <col min="1" max="1" width="3.5" style="507" customWidth="1"/>
    <col min="2" max="2" width="27.25" style="507" bestFit="1" customWidth="1"/>
    <col min="3" max="3" width="9" style="507" bestFit="1" customWidth="1"/>
    <col min="4" max="21" width="9" style="507"/>
    <col min="22" max="22" width="8.5" style="507" customWidth="1"/>
    <col min="23" max="258" width="9" style="507"/>
    <col min="259" max="16384" width="9" style="508"/>
  </cols>
  <sheetData>
    <row r="1" spans="1:258">
      <c r="A1" s="506"/>
      <c r="B1" s="506"/>
    </row>
    <row r="2" spans="1:258">
      <c r="A2" s="509"/>
      <c r="B2" s="509"/>
    </row>
    <row r="3" spans="1:258">
      <c r="A3" s="509"/>
      <c r="B3" s="509"/>
    </row>
    <row r="4" spans="1:258">
      <c r="A4" s="509"/>
      <c r="B4" s="741" t="s">
        <v>433</v>
      </c>
      <c r="C4" s="510"/>
      <c r="D4" s="512"/>
      <c r="E4" s="512"/>
      <c r="F4" s="512"/>
      <c r="G4" s="512"/>
      <c r="H4" s="511"/>
      <c r="I4" s="511"/>
      <c r="J4" s="511"/>
      <c r="K4" s="512"/>
      <c r="L4" s="512"/>
      <c r="M4" s="512"/>
      <c r="N4" s="511"/>
      <c r="O4" s="512"/>
      <c r="P4" s="512"/>
      <c r="Q4" s="512"/>
      <c r="R4" s="512"/>
      <c r="S4" s="512"/>
      <c r="T4" s="512"/>
      <c r="U4" s="512"/>
      <c r="V4" s="513" t="s">
        <v>9</v>
      </c>
    </row>
    <row r="5" spans="1:258">
      <c r="A5" s="509"/>
      <c r="B5" s="742"/>
      <c r="C5" s="514"/>
      <c r="D5" s="515">
        <v>2017</v>
      </c>
      <c r="E5" s="515">
        <f t="shared" ref="E5:R5" si="0">D5+1</f>
        <v>2018</v>
      </c>
      <c r="F5" s="515">
        <f t="shared" si="0"/>
        <v>2019</v>
      </c>
      <c r="G5" s="515">
        <f t="shared" si="0"/>
        <v>2020</v>
      </c>
      <c r="H5" s="515">
        <f t="shared" si="0"/>
        <v>2021</v>
      </c>
      <c r="I5" s="515">
        <f t="shared" si="0"/>
        <v>2022</v>
      </c>
      <c r="J5" s="515">
        <f t="shared" si="0"/>
        <v>2023</v>
      </c>
      <c r="K5" s="515">
        <f t="shared" si="0"/>
        <v>2024</v>
      </c>
      <c r="L5" s="515">
        <f t="shared" si="0"/>
        <v>2025</v>
      </c>
      <c r="M5" s="515">
        <f t="shared" si="0"/>
        <v>2026</v>
      </c>
      <c r="N5" s="515">
        <f t="shared" si="0"/>
        <v>2027</v>
      </c>
      <c r="O5" s="515">
        <f t="shared" si="0"/>
        <v>2028</v>
      </c>
      <c r="P5" s="515">
        <f t="shared" si="0"/>
        <v>2029</v>
      </c>
      <c r="Q5" s="515">
        <f t="shared" si="0"/>
        <v>2030</v>
      </c>
      <c r="R5" s="515">
        <f t="shared" si="0"/>
        <v>2031</v>
      </c>
      <c r="S5" s="515">
        <v>2032</v>
      </c>
      <c r="T5" s="515">
        <v>2033</v>
      </c>
      <c r="U5" s="515">
        <v>2034</v>
      </c>
      <c r="V5" s="515">
        <v>2035</v>
      </c>
    </row>
    <row r="6" spans="1:258">
      <c r="A6" s="509"/>
      <c r="B6" s="516" t="s">
        <v>434</v>
      </c>
      <c r="D6" s="552">
        <f>IS!AK69</f>
        <v>67.571999999999889</v>
      </c>
      <c r="E6" s="552">
        <f>IS!AP69</f>
        <v>101.32137815032689</v>
      </c>
      <c r="F6" s="552">
        <f>IS!AU69</f>
        <v>169.08890989014606</v>
      </c>
      <c r="G6" s="552">
        <f>IS!AZ69</f>
        <v>376.49283515360935</v>
      </c>
      <c r="H6" s="552">
        <f>IS!BE69</f>
        <v>636.44161164300635</v>
      </c>
      <c r="I6" s="552">
        <f>IS!BJ69</f>
        <v>920.16611058420926</v>
      </c>
      <c r="J6" s="552">
        <f>IS!BO69</f>
        <v>1230.4180383241865</v>
      </c>
      <c r="K6" s="552">
        <f>IS!BT69</f>
        <v>1606.1611559537289</v>
      </c>
      <c r="L6" s="552">
        <f>IS!BY69</f>
        <v>2006.1383838060005</v>
      </c>
      <c r="M6" s="552">
        <f>IS!CD69</f>
        <v>2360.7351942883142</v>
      </c>
      <c r="N6" s="552">
        <f>IS!CI69</f>
        <v>2661.5551557124463</v>
      </c>
      <c r="O6" s="552">
        <f>IS!CN69</f>
        <v>2869.6116178577749</v>
      </c>
      <c r="P6" s="552">
        <f>IS!CS69</f>
        <v>3098.1760838097202</v>
      </c>
      <c r="Q6" s="552">
        <f>IS!CX69</f>
        <v>3320.3843669526459</v>
      </c>
      <c r="R6" s="553">
        <f>Q6*1.075</f>
        <v>3569.4131944740943</v>
      </c>
      <c r="S6" s="553">
        <f>R6*1.06</f>
        <v>3783.5779861425403</v>
      </c>
      <c r="T6" s="553">
        <f>S6*1.05</f>
        <v>3972.7568854496676</v>
      </c>
      <c r="U6" s="553">
        <f>T6*1.04</f>
        <v>4131.6671608676543</v>
      </c>
      <c r="V6" s="517"/>
    </row>
    <row r="7" spans="1:258">
      <c r="A7" s="509"/>
      <c r="B7" s="518" t="s">
        <v>27</v>
      </c>
      <c r="D7" s="519"/>
      <c r="E7" s="519"/>
      <c r="F7" s="519"/>
      <c r="G7" s="519">
        <f t="shared" ref="G7:L7" si="1">G6/F6-1</f>
        <v>1.2265968560457914</v>
      </c>
      <c r="H7" s="519">
        <f t="shared" si="1"/>
        <v>0.69044813663807902</v>
      </c>
      <c r="I7" s="519">
        <f t="shared" si="1"/>
        <v>0.44579815925101718</v>
      </c>
      <c r="J7" s="519">
        <f t="shared" si="1"/>
        <v>0.33716947860968238</v>
      </c>
      <c r="K7" s="519">
        <f t="shared" si="1"/>
        <v>0.30537842093188083</v>
      </c>
      <c r="L7" s="519">
        <f t="shared" si="1"/>
        <v>0.24902683418138549</v>
      </c>
      <c r="M7" s="519">
        <f t="shared" ref="M7" si="2">M6/L6-1</f>
        <v>0.17675590744123082</v>
      </c>
      <c r="N7" s="519">
        <f t="shared" ref="N7" si="3">N6/M6-1</f>
        <v>0.12742638909774873</v>
      </c>
      <c r="O7" s="519">
        <f t="shared" ref="O7" si="4">O6/N6-1</f>
        <v>7.8171012800084538E-2</v>
      </c>
      <c r="P7" s="519">
        <f t="shared" ref="P7" si="5">P6/O6-1</f>
        <v>7.9649965357532659E-2</v>
      </c>
      <c r="Q7" s="519">
        <f t="shared" ref="Q7" si="6">Q6/P6-1</f>
        <v>7.1722289867296229E-2</v>
      </c>
      <c r="R7" s="519">
        <f t="shared" ref="R7" si="7">R6/Q6-1</f>
        <v>7.4999999999999956E-2</v>
      </c>
      <c r="S7" s="519">
        <f t="shared" ref="S7" si="8">S6/R6-1</f>
        <v>6.0000000000000053E-2</v>
      </c>
      <c r="T7" s="519">
        <f t="shared" ref="T7" si="9">T6/S6-1</f>
        <v>5.0000000000000044E-2</v>
      </c>
      <c r="U7" s="519">
        <f t="shared" ref="U7" si="10">U6/T6-1</f>
        <v>4.0000000000000036E-2</v>
      </c>
      <c r="V7" s="520"/>
    </row>
    <row r="8" spans="1:258">
      <c r="A8" s="509"/>
      <c r="B8" s="518"/>
      <c r="D8" s="519"/>
      <c r="E8" s="519"/>
      <c r="F8" s="519"/>
      <c r="G8" s="519"/>
      <c r="H8" s="519"/>
      <c r="I8" s="519"/>
      <c r="J8" s="519"/>
      <c r="K8" s="519"/>
      <c r="L8" s="519"/>
      <c r="M8" s="519"/>
      <c r="N8" s="519"/>
      <c r="O8" s="519"/>
      <c r="P8" s="519"/>
      <c r="Q8" s="519"/>
      <c r="R8" s="521"/>
      <c r="S8" s="521"/>
      <c r="T8" s="521"/>
      <c r="U8" s="521"/>
      <c r="V8" s="520"/>
    </row>
    <row r="9" spans="1:258">
      <c r="A9" s="509"/>
      <c r="B9" s="516" t="s">
        <v>301</v>
      </c>
      <c r="D9" s="552">
        <f t="shared" ref="D9:U9" si="11">D6*D10</f>
        <v>-1.184642356241225E-2</v>
      </c>
      <c r="E9" s="552">
        <f t="shared" si="11"/>
        <v>20.264275630065384</v>
      </c>
      <c r="F9" s="552">
        <f t="shared" si="11"/>
        <v>33.81778197802921</v>
      </c>
      <c r="G9" s="552">
        <f t="shared" si="11"/>
        <v>75.29856703072187</v>
      </c>
      <c r="H9" s="552">
        <f t="shared" si="11"/>
        <v>127.28832232860128</v>
      </c>
      <c r="I9" s="552">
        <f t="shared" si="11"/>
        <v>184.03322211684187</v>
      </c>
      <c r="J9" s="552">
        <f t="shared" si="11"/>
        <v>246.0836076648373</v>
      </c>
      <c r="K9" s="552">
        <f t="shared" si="11"/>
        <v>321.23223119074578</v>
      </c>
      <c r="L9" s="552">
        <f t="shared" si="11"/>
        <v>401.22767676120014</v>
      </c>
      <c r="M9" s="552">
        <f t="shared" si="11"/>
        <v>472.14703885766289</v>
      </c>
      <c r="N9" s="552">
        <f t="shared" si="11"/>
        <v>532.31103114248924</v>
      </c>
      <c r="O9" s="552">
        <f t="shared" si="11"/>
        <v>573.92232357155501</v>
      </c>
      <c r="P9" s="552">
        <f t="shared" si="11"/>
        <v>619.63521676194409</v>
      </c>
      <c r="Q9" s="552">
        <f t="shared" si="11"/>
        <v>664.07687339052927</v>
      </c>
      <c r="R9" s="552">
        <f t="shared" si="11"/>
        <v>713.88263889481891</v>
      </c>
      <c r="S9" s="552">
        <f t="shared" si="11"/>
        <v>756.71559722850816</v>
      </c>
      <c r="T9" s="552">
        <f t="shared" si="11"/>
        <v>794.55137708993357</v>
      </c>
      <c r="U9" s="552">
        <f t="shared" si="11"/>
        <v>826.33343217353092</v>
      </c>
      <c r="V9" s="517"/>
    </row>
    <row r="10" spans="1:258">
      <c r="A10" s="509"/>
      <c r="B10" s="518" t="s">
        <v>40</v>
      </c>
      <c r="D10" s="519">
        <f>IS!AK76</f>
        <v>-1.7531556802243933E-4</v>
      </c>
      <c r="E10" s="519">
        <f>IS!AP76</f>
        <v>0.20000000000000004</v>
      </c>
      <c r="F10" s="519">
        <f>IS!AU76</f>
        <v>0.2</v>
      </c>
      <c r="G10" s="519">
        <f>IS!AZ76</f>
        <v>0.19999999999999998</v>
      </c>
      <c r="H10" s="519">
        <f>IS!BE76</f>
        <v>0.2</v>
      </c>
      <c r="I10" s="519">
        <f>IS!BJ76</f>
        <v>0.2</v>
      </c>
      <c r="J10" s="519">
        <f>IS!BO76</f>
        <v>0.2</v>
      </c>
      <c r="K10" s="519">
        <f>IS!BT76</f>
        <v>0.2</v>
      </c>
      <c r="L10" s="519">
        <f>IS!BY76</f>
        <v>0.2</v>
      </c>
      <c r="M10" s="519">
        <f t="shared" ref="M10:U10" si="12">L10</f>
        <v>0.2</v>
      </c>
      <c r="N10" s="519">
        <f t="shared" si="12"/>
        <v>0.2</v>
      </c>
      <c r="O10" s="519">
        <f t="shared" si="12"/>
        <v>0.2</v>
      </c>
      <c r="P10" s="519">
        <f t="shared" si="12"/>
        <v>0.2</v>
      </c>
      <c r="Q10" s="519">
        <f t="shared" si="12"/>
        <v>0.2</v>
      </c>
      <c r="R10" s="519">
        <f t="shared" si="12"/>
        <v>0.2</v>
      </c>
      <c r="S10" s="519">
        <f t="shared" si="12"/>
        <v>0.2</v>
      </c>
      <c r="T10" s="519">
        <f t="shared" si="12"/>
        <v>0.2</v>
      </c>
      <c r="U10" s="519">
        <f t="shared" si="12"/>
        <v>0.2</v>
      </c>
      <c r="V10" s="520"/>
    </row>
    <row r="11" spans="1:258">
      <c r="A11" s="509"/>
      <c r="B11" s="516" t="s">
        <v>435</v>
      </c>
      <c r="D11" s="552">
        <f t="shared" ref="D11:U11" si="13">D6-D9</f>
        <v>67.583846423562306</v>
      </c>
      <c r="E11" s="552">
        <f t="shared" si="13"/>
        <v>81.057102520261509</v>
      </c>
      <c r="F11" s="552">
        <f t="shared" si="13"/>
        <v>135.27112791211684</v>
      </c>
      <c r="G11" s="552">
        <f t="shared" si="13"/>
        <v>301.19426812288748</v>
      </c>
      <c r="H11" s="552">
        <f t="shared" si="13"/>
        <v>509.15328931440507</v>
      </c>
      <c r="I11" s="552">
        <f t="shared" si="13"/>
        <v>736.13288846736737</v>
      </c>
      <c r="J11" s="552">
        <f t="shared" si="13"/>
        <v>984.33443065934921</v>
      </c>
      <c r="K11" s="552">
        <f t="shared" si="13"/>
        <v>1284.9289247629831</v>
      </c>
      <c r="L11" s="552">
        <f t="shared" si="13"/>
        <v>1604.9107070448003</v>
      </c>
      <c r="M11" s="552">
        <f t="shared" si="13"/>
        <v>1888.5881554306513</v>
      </c>
      <c r="N11" s="552">
        <f t="shared" si="13"/>
        <v>2129.244124569957</v>
      </c>
      <c r="O11" s="552">
        <f t="shared" si="13"/>
        <v>2295.68929428622</v>
      </c>
      <c r="P11" s="552">
        <f t="shared" si="13"/>
        <v>2478.5408670477764</v>
      </c>
      <c r="Q11" s="552">
        <f t="shared" si="13"/>
        <v>2656.3074935621166</v>
      </c>
      <c r="R11" s="552">
        <f t="shared" si="13"/>
        <v>2855.5305555792756</v>
      </c>
      <c r="S11" s="552">
        <f t="shared" si="13"/>
        <v>3026.8623889140322</v>
      </c>
      <c r="T11" s="552">
        <f t="shared" si="13"/>
        <v>3178.2055083597343</v>
      </c>
      <c r="U11" s="552">
        <f t="shared" si="13"/>
        <v>3305.3337286941232</v>
      </c>
      <c r="V11" s="517"/>
    </row>
    <row r="12" spans="1:258">
      <c r="A12" s="509"/>
      <c r="B12" s="516" t="s">
        <v>436</v>
      </c>
      <c r="D12" s="552">
        <f>CS!J8</f>
        <v>87.861000000000004</v>
      </c>
      <c r="E12" s="552">
        <f>CS!K8</f>
        <v>74.588782413449891</v>
      </c>
      <c r="F12" s="552">
        <f>CS!L8</f>
        <v>82.442960667772496</v>
      </c>
      <c r="G12" s="552">
        <f>CS!M8</f>
        <v>89.912126479990917</v>
      </c>
      <c r="H12" s="552">
        <f>CS!N8</f>
        <v>97.041463104686216</v>
      </c>
      <c r="I12" s="552">
        <f>CS!O8</f>
        <v>103.90010800073503</v>
      </c>
      <c r="J12" s="552">
        <f>CS!P8</f>
        <v>119.41801392308359</v>
      </c>
      <c r="K12" s="552">
        <f>CS!Q8</f>
        <v>105.15623796290605</v>
      </c>
      <c r="L12" s="552">
        <f>CS!R8</f>
        <v>125.29507473898647</v>
      </c>
      <c r="M12" s="552">
        <f t="shared" ref="M12:U12" si="14">L12*1.05</f>
        <v>131.5598284759358</v>
      </c>
      <c r="N12" s="552">
        <f t="shared" si="14"/>
        <v>138.13781989973259</v>
      </c>
      <c r="O12" s="552">
        <f t="shared" si="14"/>
        <v>145.04471089471923</v>
      </c>
      <c r="P12" s="552">
        <f t="shared" si="14"/>
        <v>152.29694643945521</v>
      </c>
      <c r="Q12" s="552">
        <f t="shared" si="14"/>
        <v>159.91179376142799</v>
      </c>
      <c r="R12" s="552">
        <f t="shared" si="14"/>
        <v>167.90738344949941</v>
      </c>
      <c r="S12" s="552">
        <f t="shared" si="14"/>
        <v>176.30275262197438</v>
      </c>
      <c r="T12" s="552">
        <f t="shared" si="14"/>
        <v>185.11789025307311</v>
      </c>
      <c r="U12" s="552">
        <f t="shared" si="14"/>
        <v>194.37378476572678</v>
      </c>
      <c r="V12" s="520"/>
    </row>
    <row r="13" spans="1:258">
      <c r="A13" s="509"/>
      <c r="B13" s="516" t="s">
        <v>437</v>
      </c>
      <c r="D13" s="552">
        <f>(BS!I7-BS!J7)+(BS!I8-BS!J8)+(BS!I9-BS!J9)+(BS!J18-BS!I18)+(BS!J19-BS!I19)</f>
        <v>198.14600000000002</v>
      </c>
      <c r="E13" s="552">
        <f>(BS!J7-BS!K7)+(BS!J8-BS!K8)+(BS!J9-BS!K9)+(BS!K18-BS!J18)+(BS!K19-BS!J19)</f>
        <v>-4.8942637423277517</v>
      </c>
      <c r="F13" s="552">
        <f>(BS!K7-BS!L7)+(BS!K8-BS!L8)+(BS!K9-BS!L9)+(BS!L18-BS!K18)+(BS!L19-BS!K19)</f>
        <v>-8.5675077069442409</v>
      </c>
      <c r="G13" s="552">
        <f>(BS!L7-BS!M7)+(BS!L8-BS!M8)+(BS!L9-BS!M9)+(BS!M18-BS!L18)+(BS!M19-BS!L19)</f>
        <v>-1.0173354453717423</v>
      </c>
      <c r="H13" s="552">
        <f>(BS!M7-BS!N7)+(BS!M8-BS!N8)+(BS!M9-BS!N9)+(BS!N18-BS!M18)+(BS!N19-BS!M19)</f>
        <v>-24.804081527115486</v>
      </c>
      <c r="I13" s="552">
        <f>(BS!N7-BS!O7)+(BS!N8-BS!O8)+(BS!N9-BS!O9)+(BS!O18-BS!N18)+(BS!O19-BS!N19)</f>
        <v>-1.8943615136821279</v>
      </c>
      <c r="J13" s="552">
        <f>(BS!O7-BS!P7)+(BS!O8-BS!P8)+(BS!O9-BS!P9)+(BS!P18-BS!O18)+(BS!P19-BS!O19)</f>
        <v>-15.645245261815504</v>
      </c>
      <c r="K13" s="552">
        <f>(BS!P7-BS!Q7)+(BS!P8-BS!Q8)+(BS!P9-BS!Q9)+(BS!Q18-BS!P18)+(BS!Q19-BS!P19)</f>
        <v>-10.542567451271935</v>
      </c>
      <c r="L13" s="552">
        <f>(BS!Q7-BS!R7)+(BS!Q8-BS!R8)+(BS!Q9-BS!R9)+(BS!R18-BS!Q18)+(BS!R19-BS!Q19)</f>
        <v>-21.670421752272375</v>
      </c>
      <c r="M13" s="552">
        <f t="shared" ref="M13:U13" si="15">L13*1.1</f>
        <v>-23.837463927499616</v>
      </c>
      <c r="N13" s="552">
        <f t="shared" si="15"/>
        <v>-26.221210320249579</v>
      </c>
      <c r="O13" s="552">
        <f t="shared" si="15"/>
        <v>-28.843331352274539</v>
      </c>
      <c r="P13" s="552">
        <f t="shared" si="15"/>
        <v>-31.727664487501997</v>
      </c>
      <c r="Q13" s="552">
        <f t="shared" si="15"/>
        <v>-34.900430936252199</v>
      </c>
      <c r="R13" s="552">
        <f t="shared" si="15"/>
        <v>-38.390474029877424</v>
      </c>
      <c r="S13" s="552">
        <f t="shared" si="15"/>
        <v>-42.22952143286517</v>
      </c>
      <c r="T13" s="552">
        <f t="shared" si="15"/>
        <v>-46.452473576151689</v>
      </c>
      <c r="U13" s="552">
        <f t="shared" si="15"/>
        <v>-51.097720933766865</v>
      </c>
      <c r="V13" s="520"/>
    </row>
    <row r="14" spans="1:258">
      <c r="A14" s="509"/>
      <c r="B14" s="516" t="s">
        <v>438</v>
      </c>
      <c r="D14" s="552">
        <f>CS!J23</f>
        <v>-199.21899999999999</v>
      </c>
      <c r="E14" s="552">
        <f>CS!K23</f>
        <v>-199.78237942549598</v>
      </c>
      <c r="F14" s="552">
        <f>CS!L23</f>
        <v>-184.34179660303371</v>
      </c>
      <c r="G14" s="552">
        <f>CS!M23</f>
        <v>-180.88402944854712</v>
      </c>
      <c r="H14" s="552">
        <f>CS!N23</f>
        <v>-167.42566942396556</v>
      </c>
      <c r="I14" s="552">
        <f>CS!O23</f>
        <v>-166.89954860845322</v>
      </c>
      <c r="J14" s="552">
        <f>CS!P23</f>
        <v>-175.9458005185019</v>
      </c>
      <c r="K14" s="552">
        <f>CS!Q23</f>
        <v>-165.77699138776589</v>
      </c>
      <c r="L14" s="552">
        <f>CS!R23</f>
        <v>-167.99027381746041</v>
      </c>
      <c r="M14" s="552">
        <f t="shared" ref="M14:U14" si="16">L14*1.05</f>
        <v>-176.38978750833343</v>
      </c>
      <c r="N14" s="552">
        <f t="shared" si="16"/>
        <v>-185.20927688375011</v>
      </c>
      <c r="O14" s="552">
        <f t="shared" si="16"/>
        <v>-194.46974072793762</v>
      </c>
      <c r="P14" s="552">
        <f t="shared" si="16"/>
        <v>-204.19322776433452</v>
      </c>
      <c r="Q14" s="552">
        <f t="shared" si="16"/>
        <v>-214.40288915255127</v>
      </c>
      <c r="R14" s="552">
        <f t="shared" si="16"/>
        <v>-225.12303361017885</v>
      </c>
      <c r="S14" s="552">
        <f t="shared" si="16"/>
        <v>-236.37918529068781</v>
      </c>
      <c r="T14" s="552">
        <f t="shared" si="16"/>
        <v>-248.19814455522223</v>
      </c>
      <c r="U14" s="552">
        <f t="shared" si="16"/>
        <v>-260.60805178298335</v>
      </c>
      <c r="V14" s="520"/>
    </row>
    <row r="15" spans="1:258">
      <c r="A15" s="509"/>
      <c r="B15" s="516" t="s">
        <v>439</v>
      </c>
      <c r="D15" s="552">
        <f t="shared" ref="D15:U15" si="17">D11+D12+D13+D14</f>
        <v>154.37184642356232</v>
      </c>
      <c r="E15" s="552">
        <f t="shared" si="17"/>
        <v>-49.030758234112341</v>
      </c>
      <c r="F15" s="552">
        <f t="shared" si="17"/>
        <v>24.80478426991138</v>
      </c>
      <c r="G15" s="552">
        <f t="shared" si="17"/>
        <v>209.20502970895953</v>
      </c>
      <c r="H15" s="552">
        <f t="shared" si="17"/>
        <v>413.9650014680102</v>
      </c>
      <c r="I15" s="552">
        <f t="shared" si="17"/>
        <v>671.23908634596705</v>
      </c>
      <c r="J15" s="552">
        <f t="shared" si="17"/>
        <v>912.16139880211551</v>
      </c>
      <c r="K15" s="552">
        <f t="shared" si="17"/>
        <v>1213.7656038868513</v>
      </c>
      <c r="L15" s="552">
        <f t="shared" si="17"/>
        <v>1540.545086214054</v>
      </c>
      <c r="M15" s="552">
        <f t="shared" si="17"/>
        <v>1819.920732470754</v>
      </c>
      <c r="N15" s="552">
        <f t="shared" si="17"/>
        <v>2055.9514572656899</v>
      </c>
      <c r="O15" s="552">
        <f t="shared" si="17"/>
        <v>2217.4209331007269</v>
      </c>
      <c r="P15" s="552">
        <f t="shared" si="17"/>
        <v>2394.916921235395</v>
      </c>
      <c r="Q15" s="552">
        <f t="shared" si="17"/>
        <v>2566.9159672347409</v>
      </c>
      <c r="R15" s="552">
        <f t="shared" si="17"/>
        <v>2759.9244313887184</v>
      </c>
      <c r="S15" s="552">
        <f t="shared" si="17"/>
        <v>2924.5564348124535</v>
      </c>
      <c r="T15" s="552">
        <f t="shared" si="17"/>
        <v>3068.6727804814336</v>
      </c>
      <c r="U15" s="552">
        <f t="shared" si="17"/>
        <v>3188.0017407430996</v>
      </c>
      <c r="V15" s="554">
        <f>(U15*(1+C25))/(C24-C25)</f>
        <v>38068.491374755831</v>
      </c>
    </row>
    <row r="16" spans="1:258">
      <c r="A16" s="522"/>
      <c r="B16" s="518" t="s">
        <v>94</v>
      </c>
      <c r="C16" s="523"/>
      <c r="D16" s="524"/>
      <c r="E16" s="524"/>
      <c r="F16" s="524"/>
      <c r="G16" s="524"/>
      <c r="H16" s="524">
        <f t="shared" ref="H16:U16" si="18">(H15/G15)-1</f>
        <v>0.97875262389201301</v>
      </c>
      <c r="I16" s="524">
        <f t="shared" si="18"/>
        <v>0.62148752664019136</v>
      </c>
      <c r="J16" s="524">
        <f t="shared" si="18"/>
        <v>0.35892175732444365</v>
      </c>
      <c r="K16" s="524">
        <f t="shared" si="18"/>
        <v>0.33064784969065086</v>
      </c>
      <c r="L16" s="524">
        <f t="shared" si="18"/>
        <v>0.26922783219490998</v>
      </c>
      <c r="M16" s="524">
        <f t="shared" si="18"/>
        <v>0.18134856860520454</v>
      </c>
      <c r="N16" s="524">
        <f t="shared" si="18"/>
        <v>0.12969286001511549</v>
      </c>
      <c r="O16" s="524">
        <f t="shared" si="18"/>
        <v>7.8537591568325738E-2</v>
      </c>
      <c r="P16" s="524">
        <f t="shared" si="18"/>
        <v>8.0046140759782114E-2</v>
      </c>
      <c r="Q16" s="524">
        <f t="shared" si="18"/>
        <v>7.1818376860697919E-2</v>
      </c>
      <c r="R16" s="524">
        <f t="shared" si="18"/>
        <v>7.5190799627889549E-2</v>
      </c>
      <c r="S16" s="524">
        <f t="shared" si="18"/>
        <v>5.9650909840635258E-2</v>
      </c>
      <c r="T16" s="524">
        <f t="shared" si="18"/>
        <v>4.9278018352968411E-2</v>
      </c>
      <c r="U16" s="524">
        <f t="shared" si="18"/>
        <v>3.8886179399989729E-2</v>
      </c>
      <c r="V16" s="525">
        <f>(V15/T15)-1</f>
        <v>11.405523201070462</v>
      </c>
      <c r="W16" s="523"/>
      <c r="X16" s="523"/>
      <c r="Y16" s="523"/>
      <c r="Z16" s="523"/>
      <c r="AA16" s="523"/>
      <c r="AB16" s="523"/>
      <c r="AC16" s="523"/>
      <c r="AD16" s="523"/>
      <c r="AE16" s="523"/>
      <c r="AF16" s="523"/>
      <c r="AG16" s="523"/>
      <c r="AH16" s="523"/>
      <c r="AI16" s="523"/>
      <c r="AJ16" s="523"/>
      <c r="AK16" s="523"/>
      <c r="AL16" s="523"/>
      <c r="AM16" s="523"/>
      <c r="AN16" s="523"/>
      <c r="AO16" s="523"/>
      <c r="AP16" s="523"/>
      <c r="AQ16" s="523"/>
      <c r="AR16" s="523"/>
      <c r="AS16" s="523"/>
      <c r="AT16" s="523"/>
      <c r="AU16" s="523"/>
      <c r="AV16" s="523"/>
      <c r="AW16" s="523"/>
      <c r="AX16" s="523"/>
      <c r="AY16" s="523"/>
      <c r="AZ16" s="523"/>
      <c r="BA16" s="523"/>
      <c r="BB16" s="523"/>
      <c r="BC16" s="523"/>
      <c r="BD16" s="523"/>
      <c r="BE16" s="523"/>
      <c r="BF16" s="523"/>
      <c r="BG16" s="523"/>
      <c r="BH16" s="523"/>
      <c r="BI16" s="523"/>
      <c r="BJ16" s="523"/>
      <c r="BK16" s="523"/>
      <c r="BL16" s="523"/>
      <c r="BM16" s="523"/>
      <c r="BN16" s="523"/>
      <c r="BO16" s="523"/>
      <c r="BP16" s="523"/>
      <c r="BQ16" s="523"/>
      <c r="BR16" s="523"/>
      <c r="BS16" s="523"/>
      <c r="BT16" s="523"/>
      <c r="BU16" s="523"/>
      <c r="BV16" s="523"/>
      <c r="BW16" s="523"/>
      <c r="BX16" s="523"/>
      <c r="BY16" s="523"/>
      <c r="BZ16" s="523"/>
      <c r="CA16" s="523"/>
      <c r="CB16" s="523"/>
      <c r="CC16" s="523"/>
      <c r="CD16" s="523"/>
      <c r="CE16" s="523"/>
      <c r="CF16" s="523"/>
      <c r="CG16" s="523"/>
      <c r="CH16" s="523"/>
      <c r="CI16" s="523"/>
      <c r="CJ16" s="523"/>
      <c r="CK16" s="523"/>
      <c r="CL16" s="523"/>
      <c r="CM16" s="523"/>
      <c r="CN16" s="523"/>
      <c r="CO16" s="523"/>
      <c r="CP16" s="523"/>
      <c r="CQ16" s="523"/>
      <c r="CR16" s="523"/>
      <c r="CS16" s="523"/>
      <c r="CT16" s="523"/>
      <c r="CU16" s="523"/>
      <c r="CV16" s="523"/>
      <c r="CW16" s="523"/>
      <c r="CX16" s="523"/>
      <c r="CY16" s="523"/>
      <c r="CZ16" s="523"/>
      <c r="DA16" s="523"/>
      <c r="DB16" s="523"/>
      <c r="DC16" s="523"/>
      <c r="DD16" s="523"/>
      <c r="DE16" s="523"/>
      <c r="DF16" s="523"/>
      <c r="DG16" s="523"/>
      <c r="DH16" s="523"/>
      <c r="DI16" s="523"/>
      <c r="DJ16" s="523"/>
      <c r="DK16" s="523"/>
      <c r="DL16" s="523"/>
      <c r="DM16" s="523"/>
      <c r="DN16" s="523"/>
      <c r="DO16" s="523"/>
      <c r="DP16" s="523"/>
      <c r="DQ16" s="523"/>
      <c r="DR16" s="523"/>
      <c r="DS16" s="523"/>
      <c r="DT16" s="523"/>
      <c r="DU16" s="523"/>
      <c r="DV16" s="523"/>
      <c r="DW16" s="523"/>
      <c r="DX16" s="523"/>
      <c r="DY16" s="523"/>
      <c r="DZ16" s="523"/>
      <c r="EA16" s="523"/>
      <c r="EB16" s="523"/>
      <c r="EC16" s="523"/>
      <c r="ED16" s="523"/>
      <c r="EE16" s="523"/>
      <c r="EF16" s="523"/>
      <c r="EG16" s="523"/>
      <c r="EH16" s="523"/>
      <c r="EI16" s="523"/>
      <c r="EJ16" s="523"/>
      <c r="EK16" s="523"/>
      <c r="EL16" s="523"/>
      <c r="EM16" s="523"/>
      <c r="EN16" s="523"/>
      <c r="EO16" s="523"/>
      <c r="EP16" s="523"/>
      <c r="EQ16" s="523"/>
      <c r="ER16" s="523"/>
      <c r="ES16" s="523"/>
      <c r="ET16" s="523"/>
      <c r="EU16" s="523"/>
      <c r="EV16" s="523"/>
      <c r="EW16" s="523"/>
      <c r="EX16" s="523"/>
      <c r="EY16" s="523"/>
      <c r="EZ16" s="523"/>
      <c r="FA16" s="523"/>
      <c r="FB16" s="523"/>
      <c r="FC16" s="523"/>
      <c r="FD16" s="523"/>
      <c r="FE16" s="523"/>
      <c r="FF16" s="523"/>
      <c r="FG16" s="523"/>
      <c r="FH16" s="523"/>
      <c r="FI16" s="523"/>
      <c r="FJ16" s="523"/>
      <c r="FK16" s="523"/>
      <c r="FL16" s="523"/>
      <c r="FM16" s="523"/>
      <c r="FN16" s="523"/>
      <c r="FO16" s="523"/>
      <c r="FP16" s="523"/>
      <c r="FQ16" s="523"/>
      <c r="FR16" s="523"/>
      <c r="FS16" s="523"/>
      <c r="FT16" s="523"/>
      <c r="FU16" s="523"/>
      <c r="FV16" s="523"/>
      <c r="FW16" s="523"/>
      <c r="FX16" s="523"/>
      <c r="FY16" s="523"/>
      <c r="FZ16" s="523"/>
      <c r="GA16" s="523"/>
      <c r="GB16" s="523"/>
      <c r="GC16" s="523"/>
      <c r="GD16" s="523"/>
      <c r="GE16" s="523"/>
      <c r="GF16" s="523"/>
      <c r="GG16" s="523"/>
      <c r="GH16" s="523"/>
      <c r="GI16" s="523"/>
      <c r="GJ16" s="523"/>
      <c r="GK16" s="523"/>
      <c r="GL16" s="523"/>
      <c r="GM16" s="523"/>
      <c r="GN16" s="523"/>
      <c r="GO16" s="523"/>
      <c r="GP16" s="523"/>
      <c r="GQ16" s="523"/>
      <c r="GR16" s="523"/>
      <c r="GS16" s="523"/>
      <c r="GT16" s="523"/>
      <c r="GU16" s="523"/>
      <c r="GV16" s="523"/>
      <c r="GW16" s="523"/>
      <c r="GX16" s="523"/>
      <c r="GY16" s="523"/>
      <c r="GZ16" s="523"/>
      <c r="HA16" s="523"/>
      <c r="HB16" s="523"/>
      <c r="HC16" s="523"/>
      <c r="HD16" s="523"/>
      <c r="HE16" s="523"/>
      <c r="HF16" s="523"/>
      <c r="HG16" s="523"/>
      <c r="HH16" s="523"/>
      <c r="HI16" s="523"/>
      <c r="HJ16" s="523"/>
      <c r="HK16" s="523"/>
      <c r="HL16" s="523"/>
      <c r="HM16" s="523"/>
      <c r="HN16" s="523"/>
      <c r="HO16" s="523"/>
      <c r="HP16" s="523"/>
      <c r="HQ16" s="523"/>
      <c r="HR16" s="523"/>
      <c r="HS16" s="523"/>
      <c r="HT16" s="523"/>
      <c r="HU16" s="523"/>
      <c r="HV16" s="523"/>
      <c r="HW16" s="523"/>
      <c r="HX16" s="523"/>
      <c r="HY16" s="523"/>
      <c r="HZ16" s="523"/>
      <c r="IA16" s="523"/>
      <c r="IB16" s="523"/>
      <c r="IC16" s="523"/>
      <c r="ID16" s="523"/>
      <c r="IE16" s="523"/>
      <c r="IF16" s="523"/>
      <c r="IG16" s="523"/>
      <c r="IH16" s="523"/>
      <c r="II16" s="523"/>
      <c r="IJ16" s="523"/>
      <c r="IK16" s="523"/>
      <c r="IL16" s="523"/>
      <c r="IM16" s="523"/>
      <c r="IN16" s="523"/>
      <c r="IO16" s="523"/>
      <c r="IP16" s="523"/>
      <c r="IQ16" s="523"/>
      <c r="IR16" s="523"/>
      <c r="IS16" s="523"/>
      <c r="IT16" s="523"/>
      <c r="IU16" s="523"/>
      <c r="IV16" s="523"/>
      <c r="IW16" s="523"/>
      <c r="IX16" s="523"/>
    </row>
    <row r="17" spans="1:22" ht="13.5" thickBot="1">
      <c r="A17" s="509"/>
      <c r="B17" s="526" t="s">
        <v>440</v>
      </c>
      <c r="C17" s="527"/>
      <c r="D17" s="528">
        <f t="shared" ref="D17:V17" si="19">D15/(1+$C$24)^(D5-$C$26)</f>
        <v>173.90375324477301</v>
      </c>
      <c r="E17" s="528">
        <f t="shared" si="19"/>
        <v>-50.213070693744321</v>
      </c>
      <c r="F17" s="528">
        <f t="shared" si="19"/>
        <v>23.093562841457054</v>
      </c>
      <c r="G17" s="528">
        <f t="shared" si="19"/>
        <v>177.06589648782102</v>
      </c>
      <c r="H17" s="528">
        <f t="shared" si="19"/>
        <v>318.51782479733407</v>
      </c>
      <c r="I17" s="528">
        <f t="shared" si="19"/>
        <v>469.52061811040267</v>
      </c>
      <c r="J17" s="528">
        <f t="shared" si="19"/>
        <v>580.03798496604304</v>
      </c>
      <c r="K17" s="528">
        <f t="shared" si="19"/>
        <v>701.66027039451194</v>
      </c>
      <c r="L17" s="528">
        <f t="shared" si="19"/>
        <v>809.60613084556439</v>
      </c>
      <c r="M17" s="528">
        <f t="shared" si="19"/>
        <v>869.47913073491372</v>
      </c>
      <c r="N17" s="528">
        <f t="shared" si="19"/>
        <v>892.94942356671015</v>
      </c>
      <c r="O17" s="528">
        <f t="shared" si="19"/>
        <v>875.52683698724036</v>
      </c>
      <c r="P17" s="528">
        <f t="shared" si="19"/>
        <v>859.64489219971597</v>
      </c>
      <c r="Q17" s="528">
        <f t="shared" si="19"/>
        <v>837.62108457644467</v>
      </c>
      <c r="R17" s="528">
        <f t="shared" si="19"/>
        <v>818.72953064629769</v>
      </c>
      <c r="S17" s="528">
        <f t="shared" si="19"/>
        <v>788.69772005704158</v>
      </c>
      <c r="T17" s="528">
        <f t="shared" si="19"/>
        <v>752.33016434632441</v>
      </c>
      <c r="U17" s="528">
        <f t="shared" si="19"/>
        <v>710.53219098647185</v>
      </c>
      <c r="V17" s="528">
        <f t="shared" si="19"/>
        <v>7713.2638914574209</v>
      </c>
    </row>
    <row r="18" spans="1:22" ht="13.5" thickTop="1">
      <c r="A18" s="509"/>
      <c r="B18" s="509"/>
    </row>
    <row r="19" spans="1:22">
      <c r="A19" s="509"/>
      <c r="B19" s="529" t="s">
        <v>116</v>
      </c>
      <c r="C19" s="530">
        <f>SUM(F17:V17)+E17*0.75</f>
        <v>18160.617350981407</v>
      </c>
      <c r="F19" s="531"/>
      <c r="G19" s="531"/>
    </row>
    <row r="20" spans="1:22" s="507" customFormat="1">
      <c r="A20" s="509"/>
      <c r="B20" s="509" t="s">
        <v>117</v>
      </c>
      <c r="C20" s="532">
        <f>BS!K5+BS!K6+BS!K12</f>
        <v>1648.4974101127989</v>
      </c>
      <c r="F20" s="531"/>
      <c r="G20" s="531"/>
    </row>
    <row r="21" spans="1:22" s="507" customFormat="1">
      <c r="A21" s="509"/>
      <c r="B21" s="533" t="s">
        <v>118</v>
      </c>
      <c r="C21" s="534">
        <f>C19+C20</f>
        <v>19809.114761094206</v>
      </c>
      <c r="F21" s="531"/>
    </row>
    <row r="22" spans="1:22" s="507" customFormat="1">
      <c r="A22" s="509"/>
      <c r="B22" s="533" t="s">
        <v>441</v>
      </c>
      <c r="C22" s="534">
        <f>C21/C27</f>
        <v>112.13516010348316</v>
      </c>
      <c r="F22" s="531"/>
    </row>
    <row r="23" spans="1:22" s="507" customFormat="1">
      <c r="A23" s="509"/>
      <c r="B23" s="509"/>
      <c r="F23" s="531"/>
    </row>
    <row r="24" spans="1:22" s="507" customFormat="1">
      <c r="A24" s="509"/>
      <c r="B24" s="509" t="s">
        <v>119</v>
      </c>
      <c r="C24" s="535">
        <v>0.1</v>
      </c>
    </row>
    <row r="25" spans="1:22" s="507" customFormat="1">
      <c r="A25" s="509"/>
      <c r="B25" s="509" t="s">
        <v>120</v>
      </c>
      <c r="C25" s="535">
        <v>1.4999999999999999E-2</v>
      </c>
    </row>
    <row r="26" spans="1:22" s="507" customFormat="1">
      <c r="A26" s="509"/>
      <c r="B26" s="509" t="s">
        <v>121</v>
      </c>
      <c r="C26" s="507">
        <v>2018.25</v>
      </c>
    </row>
    <row r="27" spans="1:22" s="507" customFormat="1">
      <c r="A27" s="509"/>
      <c r="B27" s="509" t="s">
        <v>122</v>
      </c>
      <c r="C27" s="606">
        <f>IS!AP85</f>
        <v>176.65391250000002</v>
      </c>
    </row>
    <row r="28" spans="1:22" s="507" customFormat="1">
      <c r="A28" s="537"/>
      <c r="B28" s="537"/>
      <c r="C28" s="536"/>
      <c r="D28" s="536"/>
      <c r="E28" s="536"/>
      <c r="F28" s="536"/>
      <c r="G28" s="536"/>
    </row>
    <row r="29" spans="1:22" s="507" customFormat="1" ht="13.5" thickBot="1">
      <c r="A29" s="537"/>
      <c r="B29" s="538" t="s">
        <v>562</v>
      </c>
      <c r="C29" s="539"/>
      <c r="D29" s="413"/>
      <c r="E29" s="413"/>
      <c r="F29" s="536"/>
      <c r="G29" s="536"/>
    </row>
    <row r="30" spans="1:22" ht="13.5" thickBot="1">
      <c r="A30" s="536"/>
      <c r="B30" s="540" t="s">
        <v>123</v>
      </c>
      <c r="C30" s="550">
        <v>2</v>
      </c>
      <c r="D30" s="541">
        <v>1</v>
      </c>
      <c r="E30" s="542" t="s">
        <v>108</v>
      </c>
      <c r="F30" s="413"/>
      <c r="G30" s="413"/>
    </row>
    <row r="31" spans="1:22" ht="13.5" thickBot="1">
      <c r="A31" s="536"/>
      <c r="B31" s="598"/>
      <c r="C31" s="194"/>
      <c r="D31" s="544">
        <f>D30+1</f>
        <v>2</v>
      </c>
      <c r="E31" s="545" t="s">
        <v>109</v>
      </c>
      <c r="F31" s="413"/>
      <c r="G31" s="413"/>
    </row>
    <row r="32" spans="1:22" ht="13.5" thickBot="1">
      <c r="A32" s="536"/>
      <c r="B32" s="413"/>
      <c r="C32" s="413"/>
      <c r="D32" s="413"/>
      <c r="E32" s="413"/>
      <c r="F32" s="413"/>
      <c r="G32" s="413"/>
    </row>
    <row r="33" spans="1:21" ht="13.5" thickBot="1">
      <c r="A33" s="536"/>
      <c r="B33" s="710" t="s">
        <v>572</v>
      </c>
      <c r="C33" s="709">
        <f>SOP!$G$11</f>
        <v>78.071750265847015</v>
      </c>
      <c r="D33" s="413" t="s">
        <v>564</v>
      </c>
      <c r="E33" s="413"/>
      <c r="F33" s="413"/>
      <c r="G33" s="413"/>
    </row>
    <row r="34" spans="1:21">
      <c r="A34" s="536"/>
      <c r="B34" s="413"/>
      <c r="C34" s="413"/>
      <c r="D34" s="413"/>
      <c r="E34" s="413"/>
      <c r="F34" s="413"/>
      <c r="G34" s="413"/>
    </row>
    <row r="35" spans="1:21" ht="13.5" hidden="1" outlineLevel="1" thickBot="1">
      <c r="A35" s="536"/>
      <c r="B35" s="538" t="s">
        <v>124</v>
      </c>
      <c r="C35" s="539"/>
      <c r="D35" s="539"/>
      <c r="E35" s="539"/>
      <c r="F35" s="539"/>
      <c r="G35" s="539"/>
    </row>
    <row r="36" spans="1:21" ht="13.5" hidden="1" outlineLevel="1" thickBot="1">
      <c r="B36" s="540" t="s">
        <v>123</v>
      </c>
      <c r="C36" s="707">
        <v>2</v>
      </c>
      <c r="D36" s="546">
        <v>1</v>
      </c>
      <c r="E36" s="547" t="s">
        <v>125</v>
      </c>
      <c r="F36" s="547"/>
      <c r="G36" s="548"/>
    </row>
    <row r="37" spans="1:21" ht="13.5" hidden="1" outlineLevel="1" thickBot="1">
      <c r="B37" s="596"/>
      <c r="C37" s="597"/>
      <c r="D37" s="544">
        <f>D36+1</f>
        <v>2</v>
      </c>
      <c r="E37" s="543" t="s">
        <v>126</v>
      </c>
      <c r="F37" s="543"/>
      <c r="G37" s="549"/>
    </row>
    <row r="38" spans="1:21" collapsed="1">
      <c r="D38" s="536"/>
      <c r="E38" s="536"/>
      <c r="F38" s="536"/>
      <c r="G38" s="536"/>
    </row>
    <row r="40" spans="1:21" s="507" customFormat="1"/>
    <row r="41" spans="1:21" s="507" customFormat="1">
      <c r="B41" s="507" t="s">
        <v>539</v>
      </c>
      <c r="D41" s="507">
        <f>1/(1+$C$24)^(D5-$C$26)</f>
        <v>1.1265250579928898</v>
      </c>
      <c r="E41" s="507">
        <f t="shared" ref="E41:U41" si="20">1/(1+$C$24)^(E5-$C$26)</f>
        <v>1.0241136890844451</v>
      </c>
      <c r="F41" s="507">
        <f t="shared" si="20"/>
        <v>0.93101244462222288</v>
      </c>
      <c r="G41" s="507">
        <f t="shared" si="20"/>
        <v>0.84637494965656612</v>
      </c>
      <c r="H41" s="507">
        <f t="shared" si="20"/>
        <v>0.76943177241506011</v>
      </c>
      <c r="I41" s="507">
        <f t="shared" si="20"/>
        <v>0.69948342946823638</v>
      </c>
      <c r="J41" s="507">
        <f t="shared" si="20"/>
        <v>0.63589402678930573</v>
      </c>
      <c r="K41" s="507">
        <f t="shared" si="20"/>
        <v>0.57808547889936879</v>
      </c>
      <c r="L41" s="507">
        <f t="shared" si="20"/>
        <v>0.52553225354488076</v>
      </c>
      <c r="M41" s="507">
        <f t="shared" si="20"/>
        <v>0.47775659413170962</v>
      </c>
      <c r="N41" s="507">
        <f t="shared" si="20"/>
        <v>0.4343241764833724</v>
      </c>
      <c r="O41" s="507">
        <f t="shared" si="20"/>
        <v>0.39484016043942943</v>
      </c>
      <c r="P41" s="507">
        <f t="shared" si="20"/>
        <v>0.35894560039948126</v>
      </c>
      <c r="Q41" s="507">
        <f t="shared" si="20"/>
        <v>0.32631418218134656</v>
      </c>
      <c r="R41" s="507">
        <f t="shared" si="20"/>
        <v>0.29664925652849683</v>
      </c>
      <c r="S41" s="507">
        <f t="shared" si="20"/>
        <v>0.26968114229863355</v>
      </c>
      <c r="T41" s="507">
        <f t="shared" si="20"/>
        <v>0.24516467481693954</v>
      </c>
      <c r="U41" s="507">
        <f t="shared" si="20"/>
        <v>0.22287697710630863</v>
      </c>
    </row>
    <row r="42" spans="1:21" s="507" customFormat="1">
      <c r="Q42" s="507">
        <f>(1+C25)/(C24-C25)</f>
        <v>11.941176470588234</v>
      </c>
    </row>
    <row r="43" spans="1:21" s="507" customFormat="1"/>
    <row r="44" spans="1:21" s="507" customFormat="1"/>
    <row r="45" spans="1:21" s="507" customFormat="1"/>
    <row r="46" spans="1:21" s="507" customFormat="1"/>
    <row r="47" spans="1:21" s="507" customFormat="1"/>
    <row r="48" spans="1:21" s="507" customFormat="1"/>
    <row r="49" s="507" customFormat="1"/>
    <row r="50" s="507" customFormat="1"/>
    <row r="51" s="507" customFormat="1"/>
    <row r="52" s="507" customFormat="1"/>
    <row r="53" s="507" customFormat="1"/>
  </sheetData>
  <mergeCells count="1">
    <mergeCell ref="B4:B5"/>
  </mergeCells>
  <pageMargins left="0" right="0" top="0" bottom="0" header="0" footer="0"/>
  <pageSetup paperSize="5" scale="1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I240"/>
  <sheetViews>
    <sheetView showGridLines="0" zoomScale="85" zoomScaleNormal="85" workbookViewId="0">
      <pane xSplit="2" ySplit="2" topLeftCell="AK3" activePane="bottomRight" state="frozen"/>
      <selection activeCell="AL9" sqref="AL9"/>
      <selection pane="topRight" activeCell="AL9" sqref="AL9"/>
      <selection pane="bottomLeft" activeCell="AL9" sqref="AL9"/>
      <selection pane="bottomRight" activeCell="B2" sqref="B2"/>
    </sheetView>
  </sheetViews>
  <sheetFormatPr defaultRowHeight="13.5" outlineLevelRow="2" outlineLevelCol="1"/>
  <cols>
    <col min="1" max="1" width="2.125" style="413" customWidth="1"/>
    <col min="2" max="2" width="40.25" style="413" customWidth="1"/>
    <col min="3" max="6" width="9" style="413" hidden="1" customWidth="1" outlineLevel="1"/>
    <col min="7" max="7" width="9" style="413" hidden="1" customWidth="1"/>
    <col min="8" max="11" width="9" style="413" hidden="1" customWidth="1" outlineLevel="1"/>
    <col min="12" max="12" width="9" style="413" hidden="1" customWidth="1"/>
    <col min="13" max="16" width="9" style="413" hidden="1" customWidth="1" outlineLevel="1"/>
    <col min="17" max="17" width="9" style="413" hidden="1" customWidth="1"/>
    <col min="18" max="18" width="9" style="413" hidden="1" customWidth="1" outlineLevel="1"/>
    <col min="19" max="19" width="9.875" style="413" hidden="1" customWidth="1" outlineLevel="1"/>
    <col min="20" max="21" width="9" style="413" hidden="1" customWidth="1" outlineLevel="1"/>
    <col min="22" max="22" width="9" style="413" hidden="1" customWidth="1"/>
    <col min="23" max="26" width="9" style="413" hidden="1" customWidth="1" outlineLevel="1"/>
    <col min="27" max="27" width="9" style="413" hidden="1" customWidth="1"/>
    <col min="28" max="31" width="9" style="413" hidden="1" customWidth="1" outlineLevel="1"/>
    <col min="32" max="32" width="9" style="413" hidden="1" customWidth="1" collapsed="1"/>
    <col min="33" max="36" width="9" style="413" hidden="1" customWidth="1" outlineLevel="1"/>
    <col min="37" max="37" width="9" style="413" customWidth="1" collapsed="1"/>
    <col min="38" max="41" width="9" style="413" customWidth="1" outlineLevel="1"/>
    <col min="42" max="42" width="9" style="413" customWidth="1"/>
    <col min="43" max="46" width="9" style="413" hidden="1" customWidth="1" outlineLevel="1"/>
    <col min="47" max="47" width="9" style="413" customWidth="1" collapsed="1"/>
    <col min="48" max="51" width="9" style="413" hidden="1" customWidth="1" outlineLevel="1"/>
    <col min="52" max="52" width="9" style="413" customWidth="1" collapsed="1"/>
    <col min="53" max="56" width="9" style="413" hidden="1" customWidth="1" outlineLevel="1"/>
    <col min="57" max="57" width="9" style="413" customWidth="1" collapsed="1"/>
    <col min="58" max="61" width="9" style="413" hidden="1" customWidth="1" outlineLevel="1"/>
    <col min="62" max="62" width="9" style="413" customWidth="1" collapsed="1"/>
    <col min="63" max="66" width="9" style="413" hidden="1" customWidth="1" outlineLevel="1"/>
    <col min="67" max="67" width="9" style="413" customWidth="1" collapsed="1"/>
    <col min="68" max="71" width="9" style="413" hidden="1" customWidth="1" outlineLevel="1"/>
    <col min="72" max="72" width="9" style="413" customWidth="1" collapsed="1"/>
    <col min="73" max="76" width="9" style="413" hidden="1" customWidth="1" outlineLevel="1"/>
    <col min="77" max="77" width="9" style="413" customWidth="1" collapsed="1"/>
    <col min="78" max="81" width="9" style="413" hidden="1" customWidth="1" outlineLevel="1"/>
    <col min="82" max="82" width="9" style="413" customWidth="1" collapsed="1"/>
    <col min="83" max="86" width="9" style="413" hidden="1" customWidth="1" outlineLevel="1"/>
    <col min="87" max="87" width="9" style="413" customWidth="1" collapsed="1"/>
    <col min="88" max="91" width="9" style="413" hidden="1" customWidth="1" outlineLevel="1"/>
    <col min="92" max="92" width="9" style="413" customWidth="1" collapsed="1"/>
    <col min="93" max="96" width="9" style="413" hidden="1" customWidth="1" outlineLevel="1"/>
    <col min="97" max="97" width="9" style="413" customWidth="1" collapsed="1"/>
    <col min="98" max="101" width="9" style="413" hidden="1" customWidth="1" outlineLevel="1"/>
    <col min="102" max="102" width="9" style="413" customWidth="1" collapsed="1"/>
    <col min="103" max="104" width="9" style="413" customWidth="1"/>
    <col min="105" max="105" width="38.125" customWidth="1"/>
    <col min="111" max="16384" width="9" style="413"/>
  </cols>
  <sheetData>
    <row r="1" spans="1:113">
      <c r="A1" s="165"/>
      <c r="G1" s="166"/>
      <c r="L1" s="166"/>
      <c r="Q1" s="166"/>
      <c r="V1" s="166"/>
      <c r="AA1" s="166"/>
      <c r="AF1" s="166"/>
      <c r="AK1" s="166"/>
      <c r="AP1" s="166"/>
      <c r="AU1" s="166"/>
      <c r="AZ1" s="166"/>
      <c r="BE1" s="166"/>
      <c r="BJ1" s="166"/>
      <c r="BO1" s="166"/>
      <c r="BT1" s="166"/>
      <c r="BY1" s="166"/>
      <c r="CD1" s="166"/>
      <c r="CI1" s="166"/>
      <c r="CN1" s="166"/>
      <c r="CS1" s="166"/>
      <c r="CX1" s="166"/>
      <c r="DG1" s="413" t="s">
        <v>575</v>
      </c>
      <c r="DH1" s="427" t="s">
        <v>150</v>
      </c>
    </row>
    <row r="2" spans="1:113" s="70" customFormat="1">
      <c r="B2" s="437" t="s">
        <v>357</v>
      </c>
      <c r="C2" s="167" t="s">
        <v>17</v>
      </c>
      <c r="D2" s="167" t="s">
        <v>18</v>
      </c>
      <c r="E2" s="167" t="s">
        <v>19</v>
      </c>
      <c r="F2" s="167" t="s">
        <v>20</v>
      </c>
      <c r="G2" s="168">
        <v>2011</v>
      </c>
      <c r="H2" s="167" t="s">
        <v>51</v>
      </c>
      <c r="I2" s="167" t="s">
        <v>0</v>
      </c>
      <c r="J2" s="167" t="s">
        <v>10</v>
      </c>
      <c r="K2" s="167" t="s">
        <v>7</v>
      </c>
      <c r="L2" s="168">
        <v>2012</v>
      </c>
      <c r="M2" s="167" t="s">
        <v>11</v>
      </c>
      <c r="N2" s="167" t="s">
        <v>1</v>
      </c>
      <c r="O2" s="167" t="s">
        <v>102</v>
      </c>
      <c r="P2" s="167" t="s">
        <v>104</v>
      </c>
      <c r="Q2" s="168">
        <v>2013</v>
      </c>
      <c r="R2" s="167" t="s">
        <v>95</v>
      </c>
      <c r="S2" s="167" t="s">
        <v>97</v>
      </c>
      <c r="T2" s="167" t="s">
        <v>106</v>
      </c>
      <c r="U2" s="167" t="s">
        <v>96</v>
      </c>
      <c r="V2" s="168">
        <v>2014</v>
      </c>
      <c r="W2" s="167" t="s">
        <v>98</v>
      </c>
      <c r="X2" s="167" t="s">
        <v>99</v>
      </c>
      <c r="Y2" s="167" t="s">
        <v>148</v>
      </c>
      <c r="Z2" s="167" t="s">
        <v>100</v>
      </c>
      <c r="AA2" s="168">
        <v>2015</v>
      </c>
      <c r="AB2" s="167" t="s">
        <v>101</v>
      </c>
      <c r="AC2" s="167" t="s">
        <v>158</v>
      </c>
      <c r="AD2" s="167" t="s">
        <v>159</v>
      </c>
      <c r="AE2" s="167" t="s">
        <v>567</v>
      </c>
      <c r="AF2" s="168">
        <v>2016</v>
      </c>
      <c r="AG2" s="167" t="s">
        <v>476</v>
      </c>
      <c r="AH2" s="167" t="s">
        <v>477</v>
      </c>
      <c r="AI2" s="167" t="s">
        <v>478</v>
      </c>
      <c r="AJ2" s="167" t="s">
        <v>479</v>
      </c>
      <c r="AK2" s="168">
        <v>2017</v>
      </c>
      <c r="AL2" s="167" t="s">
        <v>53</v>
      </c>
      <c r="AM2" s="167" t="s">
        <v>54</v>
      </c>
      <c r="AN2" s="167" t="s">
        <v>55</v>
      </c>
      <c r="AO2" s="167" t="s">
        <v>56</v>
      </c>
      <c r="AP2" s="168" t="s">
        <v>57</v>
      </c>
      <c r="AQ2" s="167" t="s">
        <v>58</v>
      </c>
      <c r="AR2" s="167" t="s">
        <v>59</v>
      </c>
      <c r="AS2" s="167" t="s">
        <v>60</v>
      </c>
      <c r="AT2" s="167" t="s">
        <v>61</v>
      </c>
      <c r="AU2" s="168" t="s">
        <v>62</v>
      </c>
      <c r="AV2" s="167" t="s">
        <v>63</v>
      </c>
      <c r="AW2" s="167" t="s">
        <v>64</v>
      </c>
      <c r="AX2" s="167" t="s">
        <v>65</v>
      </c>
      <c r="AY2" s="167" t="s">
        <v>66</v>
      </c>
      <c r="AZ2" s="168" t="s">
        <v>67</v>
      </c>
      <c r="BA2" s="167" t="s">
        <v>127</v>
      </c>
      <c r="BB2" s="167" t="s">
        <v>128</v>
      </c>
      <c r="BC2" s="167" t="s">
        <v>129</v>
      </c>
      <c r="BD2" s="167" t="s">
        <v>130</v>
      </c>
      <c r="BE2" s="168" t="s">
        <v>8</v>
      </c>
      <c r="BF2" s="167" t="s">
        <v>131</v>
      </c>
      <c r="BG2" s="167" t="s">
        <v>132</v>
      </c>
      <c r="BH2" s="167" t="s">
        <v>133</v>
      </c>
      <c r="BI2" s="167" t="s">
        <v>134</v>
      </c>
      <c r="BJ2" s="168" t="s">
        <v>3</v>
      </c>
      <c r="BK2" s="167" t="s">
        <v>135</v>
      </c>
      <c r="BL2" s="167" t="s">
        <v>136</v>
      </c>
      <c r="BM2" s="167" t="s">
        <v>137</v>
      </c>
      <c r="BN2" s="167" t="s">
        <v>138</v>
      </c>
      <c r="BO2" s="168" t="s">
        <v>4</v>
      </c>
      <c r="BP2" s="167" t="s">
        <v>139</v>
      </c>
      <c r="BQ2" s="167" t="s">
        <v>140</v>
      </c>
      <c r="BR2" s="167" t="s">
        <v>141</v>
      </c>
      <c r="BS2" s="167" t="s">
        <v>142</v>
      </c>
      <c r="BT2" s="168" t="s">
        <v>5</v>
      </c>
      <c r="BU2" s="167" t="s">
        <v>143</v>
      </c>
      <c r="BV2" s="167" t="s">
        <v>144</v>
      </c>
      <c r="BW2" s="167" t="s">
        <v>145</v>
      </c>
      <c r="BX2" s="167" t="s">
        <v>146</v>
      </c>
      <c r="BY2" s="168" t="s">
        <v>6</v>
      </c>
      <c r="BZ2" s="167" t="s">
        <v>483</v>
      </c>
      <c r="CA2" s="167" t="s">
        <v>484</v>
      </c>
      <c r="CB2" s="167" t="s">
        <v>485</v>
      </c>
      <c r="CC2" s="167" t="s">
        <v>486</v>
      </c>
      <c r="CD2" s="168" t="s">
        <v>487</v>
      </c>
      <c r="CE2" s="167" t="s">
        <v>488</v>
      </c>
      <c r="CF2" s="167" t="s">
        <v>489</v>
      </c>
      <c r="CG2" s="167" t="s">
        <v>490</v>
      </c>
      <c r="CH2" s="167" t="s">
        <v>491</v>
      </c>
      <c r="CI2" s="168" t="s">
        <v>492</v>
      </c>
      <c r="CJ2" s="167" t="s">
        <v>493</v>
      </c>
      <c r="CK2" s="167" t="s">
        <v>494</v>
      </c>
      <c r="CL2" s="167" t="s">
        <v>495</v>
      </c>
      <c r="CM2" s="167" t="s">
        <v>496</v>
      </c>
      <c r="CN2" s="168" t="s">
        <v>497</v>
      </c>
      <c r="CO2" s="167" t="s">
        <v>498</v>
      </c>
      <c r="CP2" s="167" t="s">
        <v>499</v>
      </c>
      <c r="CQ2" s="167" t="s">
        <v>500</v>
      </c>
      <c r="CR2" s="167" t="s">
        <v>501</v>
      </c>
      <c r="CS2" s="168" t="s">
        <v>502</v>
      </c>
      <c r="CT2" s="167" t="s">
        <v>503</v>
      </c>
      <c r="CU2" s="167" t="s">
        <v>504</v>
      </c>
      <c r="CV2" s="167" t="s">
        <v>505</v>
      </c>
      <c r="CW2" s="167" t="s">
        <v>506</v>
      </c>
      <c r="CX2" s="168" t="s">
        <v>507</v>
      </c>
      <c r="DA2"/>
      <c r="DB2"/>
      <c r="DC2"/>
      <c r="DD2"/>
      <c r="DE2"/>
      <c r="DF2"/>
      <c r="DG2" s="70" t="s">
        <v>531</v>
      </c>
      <c r="DH2" s="427" t="str">
        <f>_xll.TR($DH$1,"TR.NetIncome.currency","Null=-")</f>
        <v>USD</v>
      </c>
      <c r="DI2" s="427"/>
    </row>
    <row r="3" spans="1:113">
      <c r="B3" s="438" t="s">
        <v>284</v>
      </c>
      <c r="C3" s="416"/>
      <c r="D3" s="416"/>
      <c r="E3" s="416"/>
      <c r="F3" s="416"/>
      <c r="H3" s="416"/>
      <c r="I3" s="416"/>
      <c r="J3" s="416"/>
      <c r="K3" s="416"/>
      <c r="M3" s="416"/>
      <c r="N3" s="416"/>
      <c r="O3" s="416"/>
      <c r="P3" s="416"/>
      <c r="R3" s="416"/>
      <c r="S3" s="416"/>
      <c r="T3" s="416"/>
      <c r="U3" s="416"/>
      <c r="W3" s="416"/>
      <c r="X3" s="416"/>
      <c r="Y3" s="416"/>
      <c r="Z3" s="416"/>
      <c r="AB3" s="416"/>
      <c r="AC3" s="416"/>
      <c r="AD3" s="416"/>
      <c r="AE3" s="416"/>
      <c r="AG3" s="416"/>
      <c r="AH3" s="416"/>
      <c r="AI3" s="416"/>
      <c r="AJ3" s="416"/>
      <c r="AL3" s="416"/>
      <c r="AM3" s="416"/>
      <c r="AN3" s="416"/>
      <c r="AO3" s="416"/>
      <c r="AQ3" s="416"/>
      <c r="AR3" s="416"/>
      <c r="AS3" s="416"/>
      <c r="AT3" s="416"/>
      <c r="AV3" s="416"/>
      <c r="AW3" s="416"/>
      <c r="AX3" s="416"/>
      <c r="AY3" s="416"/>
      <c r="BA3" s="416"/>
      <c r="BB3" s="416"/>
      <c r="BC3" s="416"/>
      <c r="BD3" s="416"/>
      <c r="BF3" s="416"/>
      <c r="BG3" s="416"/>
      <c r="BH3" s="416"/>
      <c r="BI3" s="416"/>
      <c r="BK3" s="416"/>
      <c r="BL3" s="416"/>
      <c r="BM3" s="416"/>
      <c r="BN3" s="416"/>
      <c r="BP3" s="416"/>
      <c r="BQ3" s="416"/>
      <c r="BR3" s="416"/>
      <c r="BS3" s="416"/>
      <c r="BU3" s="416"/>
      <c r="BV3" s="416"/>
      <c r="BW3" s="416"/>
      <c r="BX3" s="416"/>
      <c r="BZ3" s="416"/>
      <c r="CA3" s="416"/>
      <c r="CB3" s="416"/>
      <c r="CC3" s="416"/>
      <c r="CE3" s="416"/>
      <c r="CF3" s="416"/>
      <c r="CG3" s="416"/>
      <c r="CH3" s="416"/>
      <c r="CJ3" s="416"/>
      <c r="CK3" s="416"/>
      <c r="CL3" s="416"/>
      <c r="CM3" s="416"/>
      <c r="CO3" s="416"/>
      <c r="CP3" s="416"/>
      <c r="CQ3" s="416"/>
      <c r="CR3" s="416"/>
      <c r="CT3" s="416"/>
      <c r="CU3" s="416"/>
      <c r="CV3" s="416"/>
      <c r="CW3" s="416"/>
      <c r="DH3" s="427"/>
      <c r="DI3" s="427"/>
    </row>
    <row r="4" spans="1:113" ht="5.25" customHeight="1">
      <c r="B4" s="69"/>
      <c r="C4" s="416"/>
      <c r="D4" s="416"/>
      <c r="E4" s="416"/>
      <c r="F4" s="416"/>
      <c r="H4" s="416"/>
      <c r="I4" s="416"/>
      <c r="J4" s="416"/>
      <c r="K4" s="416"/>
      <c r="M4" s="416"/>
      <c r="N4" s="416"/>
      <c r="O4" s="416"/>
      <c r="P4" s="416"/>
      <c r="R4" s="416"/>
      <c r="S4" s="416"/>
      <c r="T4" s="416"/>
      <c r="U4" s="416"/>
      <c r="W4" s="416"/>
      <c r="X4" s="416"/>
      <c r="Y4" s="416"/>
      <c r="Z4" s="416"/>
      <c r="AB4" s="416"/>
      <c r="AC4" s="416"/>
      <c r="AD4" s="416"/>
      <c r="AE4" s="416"/>
      <c r="AG4" s="416"/>
      <c r="AH4" s="416"/>
      <c r="AI4" s="416"/>
      <c r="AJ4" s="416"/>
      <c r="AL4" s="416"/>
      <c r="AM4" s="416"/>
      <c r="AN4" s="416"/>
      <c r="AO4" s="416"/>
      <c r="AQ4" s="416"/>
      <c r="AR4" s="416"/>
      <c r="AS4" s="416"/>
      <c r="AT4" s="416"/>
      <c r="AV4" s="416"/>
      <c r="AW4" s="416"/>
      <c r="AX4" s="416"/>
      <c r="AY4" s="416"/>
      <c r="BA4" s="416"/>
      <c r="BB4" s="416"/>
      <c r="BC4" s="416"/>
      <c r="BD4" s="416"/>
      <c r="BF4" s="416"/>
      <c r="BG4" s="416"/>
      <c r="BH4" s="416"/>
      <c r="BI4" s="416"/>
      <c r="BK4" s="416"/>
      <c r="BL4" s="416"/>
      <c r="BM4" s="416"/>
      <c r="BN4" s="416"/>
      <c r="BP4" s="416"/>
      <c r="BQ4" s="416"/>
      <c r="BR4" s="416"/>
      <c r="BS4" s="416"/>
      <c r="BU4" s="416"/>
      <c r="BV4" s="416"/>
      <c r="BW4" s="416"/>
      <c r="BX4" s="416"/>
      <c r="BZ4" s="416"/>
      <c r="CA4" s="416"/>
      <c r="CB4" s="416"/>
      <c r="CC4" s="416"/>
      <c r="CE4" s="416"/>
      <c r="CF4" s="416"/>
      <c r="CG4" s="416"/>
      <c r="CH4" s="416"/>
      <c r="CJ4" s="416"/>
      <c r="CK4" s="416"/>
      <c r="CL4" s="416"/>
      <c r="CM4" s="416"/>
      <c r="CO4" s="416"/>
      <c r="CP4" s="416"/>
      <c r="CQ4" s="416"/>
      <c r="CR4" s="416"/>
      <c r="CT4" s="416"/>
      <c r="CU4" s="416"/>
      <c r="CV4" s="416"/>
      <c r="CW4" s="416"/>
      <c r="DH4" s="427"/>
      <c r="DI4" s="427"/>
    </row>
    <row r="5" spans="1:113">
      <c r="B5" s="414" t="s">
        <v>245</v>
      </c>
      <c r="C5" s="420">
        <v>109.07599999999999</v>
      </c>
      <c r="D5" s="420">
        <v>109.616</v>
      </c>
      <c r="E5" s="420">
        <v>112.89100000000001</v>
      </c>
      <c r="F5" s="420">
        <v>106.06399999999999</v>
      </c>
      <c r="G5" s="415">
        <f>SUM(C5:F5)</f>
        <v>437.64700000000005</v>
      </c>
      <c r="H5" s="420">
        <v>116.239</v>
      </c>
      <c r="I5" s="420">
        <v>122.991</v>
      </c>
      <c r="J5" s="420">
        <v>126.31</v>
      </c>
      <c r="K5" s="420">
        <v>130.95699999999999</v>
      </c>
      <c r="L5" s="415">
        <f>SUM(H5:K5)</f>
        <v>496.49700000000001</v>
      </c>
      <c r="M5" s="420">
        <v>127.34399999999999</v>
      </c>
      <c r="N5" s="420">
        <f>SUM(N6:N14)</f>
        <v>132.4</v>
      </c>
      <c r="O5" s="420">
        <f>SUM(O6:O14)</f>
        <v>134.32999999999998</v>
      </c>
      <c r="P5" s="420">
        <f>SUM(P6:P14)</f>
        <v>144.33000000000004</v>
      </c>
      <c r="Q5" s="415">
        <f>SUM(M5:P5)</f>
        <v>538.404</v>
      </c>
      <c r="R5" s="420">
        <v>149.00399999999999</v>
      </c>
      <c r="S5" s="420">
        <v>188.244</v>
      </c>
      <c r="T5" s="420">
        <v>173.416</v>
      </c>
      <c r="U5" s="420">
        <v>227.75200000000001</v>
      </c>
      <c r="V5" s="415">
        <f>SUM(R5:U5)</f>
        <v>738.41599999999994</v>
      </c>
      <c r="W5" s="420">
        <v>201.31200000000001</v>
      </c>
      <c r="X5" s="420">
        <v>249.023</v>
      </c>
      <c r="Y5" s="420">
        <v>207.76699999999997</v>
      </c>
      <c r="Z5" s="420">
        <v>226.42</v>
      </c>
      <c r="AA5" s="415">
        <f>SUM(W5:Z5)</f>
        <v>884.52199999999993</v>
      </c>
      <c r="AB5" s="420">
        <v>235.357</v>
      </c>
      <c r="AC5" s="420">
        <v>298.57600000000002</v>
      </c>
      <c r="AD5" s="420">
        <v>278.262</v>
      </c>
      <c r="AE5" s="420">
        <v>298.18599999999998</v>
      </c>
      <c r="AF5" s="415">
        <f t="shared" ref="AF5" si="0">AF6+AF8+AF10+AF13+AF14</f>
        <v>1110.3810000000001</v>
      </c>
      <c r="AG5" s="420">
        <v>302.19</v>
      </c>
      <c r="AH5" s="420">
        <v>315.92599999999999</v>
      </c>
      <c r="AI5" s="420">
        <f t="shared" ref="AI5:AJ5" si="1">AI6+AI8+AI10+AI13+AI14+AI15+AI17+AI18</f>
        <v>298.8</v>
      </c>
      <c r="AJ5" s="420">
        <f t="shared" si="1"/>
        <v>353.50000000000006</v>
      </c>
      <c r="AK5" s="415">
        <f t="shared" ref="AK5" si="2">AK6+AK8+AK10+AK13+AK14+AK15+AK17+AK18+AK19</f>
        <v>1270.3899999999999</v>
      </c>
      <c r="AL5" s="420">
        <f>AL6+AL8+AL10+AL13+AL14+AL15+AL17+AL18+AL12</f>
        <v>343.24628276702003</v>
      </c>
      <c r="AM5" s="420">
        <f t="shared" ref="AM5:AO5" si="3">AM6+AM8+AM10+AM13+AM14+AM15+AM17+AM18+AM12</f>
        <v>361.59724151145474</v>
      </c>
      <c r="AN5" s="420">
        <f t="shared" si="3"/>
        <v>343.49216359470597</v>
      </c>
      <c r="AO5" s="420">
        <f t="shared" si="3"/>
        <v>424.03378935271519</v>
      </c>
      <c r="AP5" s="415">
        <f t="shared" ref="AP5:CW5" si="4">AP6+AP8+AP10+AP13+AP14+AP15+AP17+AP18+AP19+AP12</f>
        <v>1472.3694772258959</v>
      </c>
      <c r="AQ5" s="415">
        <f t="shared" si="4"/>
        <v>0</v>
      </c>
      <c r="AR5" s="415">
        <f t="shared" si="4"/>
        <v>0</v>
      </c>
      <c r="AS5" s="415">
        <f t="shared" si="4"/>
        <v>0</v>
      </c>
      <c r="AT5" s="415">
        <f t="shared" si="4"/>
        <v>0</v>
      </c>
      <c r="AU5" s="415">
        <f t="shared" si="4"/>
        <v>1668.3345145730339</v>
      </c>
      <c r="AV5" s="415">
        <f t="shared" si="4"/>
        <v>0</v>
      </c>
      <c r="AW5" s="415">
        <f t="shared" si="4"/>
        <v>0</v>
      </c>
      <c r="AX5" s="415">
        <f t="shared" si="4"/>
        <v>0</v>
      </c>
      <c r="AY5" s="415">
        <f t="shared" si="4"/>
        <v>0</v>
      </c>
      <c r="AZ5" s="415">
        <f t="shared" si="4"/>
        <v>2002.3225494283015</v>
      </c>
      <c r="BA5" s="415">
        <f t="shared" si="4"/>
        <v>0</v>
      </c>
      <c r="BB5" s="415">
        <f t="shared" si="4"/>
        <v>0</v>
      </c>
      <c r="BC5" s="415">
        <f t="shared" si="4"/>
        <v>0</v>
      </c>
      <c r="BD5" s="415">
        <f t="shared" si="4"/>
        <v>0</v>
      </c>
      <c r="BE5" s="415">
        <f t="shared" si="4"/>
        <v>2384.295277485222</v>
      </c>
      <c r="BF5" s="415">
        <f t="shared" si="4"/>
        <v>0</v>
      </c>
      <c r="BG5" s="415">
        <f t="shared" si="4"/>
        <v>0</v>
      </c>
      <c r="BH5" s="415">
        <f t="shared" si="4"/>
        <v>0</v>
      </c>
      <c r="BI5" s="415">
        <f t="shared" si="4"/>
        <v>0</v>
      </c>
      <c r="BJ5" s="415">
        <f t="shared" si="4"/>
        <v>2774.1591434742204</v>
      </c>
      <c r="BK5" s="415">
        <f t="shared" si="4"/>
        <v>0</v>
      </c>
      <c r="BL5" s="415">
        <f t="shared" si="4"/>
        <v>0</v>
      </c>
      <c r="BM5" s="415">
        <f t="shared" si="4"/>
        <v>0</v>
      </c>
      <c r="BN5" s="415">
        <f t="shared" si="4"/>
        <v>0</v>
      </c>
      <c r="BO5" s="415">
        <f t="shared" si="4"/>
        <v>3191.5145548818527</v>
      </c>
      <c r="BP5" s="415">
        <f t="shared" si="4"/>
        <v>0</v>
      </c>
      <c r="BQ5" s="415">
        <f t="shared" si="4"/>
        <v>0</v>
      </c>
      <c r="BR5" s="415">
        <f t="shared" si="4"/>
        <v>0</v>
      </c>
      <c r="BS5" s="415">
        <f t="shared" si="4"/>
        <v>0</v>
      </c>
      <c r="BT5" s="415">
        <f t="shared" si="4"/>
        <v>3676.4331419503533</v>
      </c>
      <c r="BU5" s="415">
        <f t="shared" si="4"/>
        <v>0</v>
      </c>
      <c r="BV5" s="415">
        <f t="shared" si="4"/>
        <v>0</v>
      </c>
      <c r="BW5" s="415">
        <f t="shared" si="4"/>
        <v>0</v>
      </c>
      <c r="BX5" s="415">
        <f t="shared" si="4"/>
        <v>0</v>
      </c>
      <c r="BY5" s="415">
        <f t="shared" si="4"/>
        <v>4192.25684543651</v>
      </c>
      <c r="BZ5" s="415">
        <f t="shared" si="4"/>
        <v>0</v>
      </c>
      <c r="CA5" s="415">
        <f t="shared" si="4"/>
        <v>0</v>
      </c>
      <c r="CB5" s="415">
        <f t="shared" si="4"/>
        <v>0</v>
      </c>
      <c r="CC5" s="415">
        <f t="shared" si="4"/>
        <v>0</v>
      </c>
      <c r="CD5" s="415">
        <f t="shared" si="4"/>
        <v>4662.6265567018136</v>
      </c>
      <c r="CE5" s="415">
        <f t="shared" si="4"/>
        <v>0</v>
      </c>
      <c r="CF5" s="415">
        <f t="shared" si="4"/>
        <v>0</v>
      </c>
      <c r="CG5" s="415">
        <f t="shared" si="4"/>
        <v>0</v>
      </c>
      <c r="CH5" s="415">
        <f t="shared" si="4"/>
        <v>0</v>
      </c>
      <c r="CI5" s="415">
        <f t="shared" si="4"/>
        <v>5068.2839688990825</v>
      </c>
      <c r="CJ5" s="415">
        <f t="shared" si="4"/>
        <v>0</v>
      </c>
      <c r="CK5" s="415">
        <f t="shared" si="4"/>
        <v>0</v>
      </c>
      <c r="CL5" s="415">
        <f t="shared" si="4"/>
        <v>0</v>
      </c>
      <c r="CM5" s="415">
        <f t="shared" si="4"/>
        <v>0</v>
      </c>
      <c r="CN5" s="415">
        <f t="shared" si="4"/>
        <v>5359.4602253667254</v>
      </c>
      <c r="CO5" s="415">
        <f t="shared" si="4"/>
        <v>0</v>
      </c>
      <c r="CP5" s="415">
        <f t="shared" si="4"/>
        <v>0</v>
      </c>
      <c r="CQ5" s="415">
        <f t="shared" si="4"/>
        <v>0</v>
      </c>
      <c r="CR5" s="415">
        <f t="shared" si="4"/>
        <v>0</v>
      </c>
      <c r="CS5" s="415">
        <f t="shared" si="4"/>
        <v>5676.3724858604055</v>
      </c>
      <c r="CT5" s="415">
        <f t="shared" si="4"/>
        <v>0</v>
      </c>
      <c r="CU5" s="415">
        <f t="shared" si="4"/>
        <v>0</v>
      </c>
      <c r="CV5" s="415">
        <f t="shared" si="4"/>
        <v>0</v>
      </c>
      <c r="CW5" s="415">
        <f t="shared" si="4"/>
        <v>0</v>
      </c>
      <c r="CX5" s="415">
        <f>CX6+CX8+CX10+CX13+CX14+CX15+CX17+CX18+CX19+CX12</f>
        <v>5986.3798681672597</v>
      </c>
      <c r="DH5" s="427"/>
    </row>
    <row r="6" spans="1:113" ht="14.25" thickBot="1">
      <c r="B6" s="737" t="s">
        <v>2</v>
      </c>
      <c r="C6" s="420">
        <v>0</v>
      </c>
      <c r="D6" s="420">
        <v>0</v>
      </c>
      <c r="E6" s="420">
        <v>0</v>
      </c>
      <c r="F6" s="420">
        <v>0</v>
      </c>
      <c r="G6" s="415">
        <f t="shared" ref="G6:G21" si="5">SUM(C6:F6)</f>
        <v>0</v>
      </c>
      <c r="H6" s="420">
        <v>0</v>
      </c>
      <c r="I6" s="420">
        <v>0</v>
      </c>
      <c r="J6" s="420">
        <v>0</v>
      </c>
      <c r="K6" s="420">
        <v>0</v>
      </c>
      <c r="L6" s="415">
        <f t="shared" ref="L6:L21" si="6">SUM(H6:K6)</f>
        <v>0</v>
      </c>
      <c r="M6" s="420">
        <v>0</v>
      </c>
      <c r="N6" s="420">
        <v>0</v>
      </c>
      <c r="O6" s="420">
        <v>1.0999999999999999E-2</v>
      </c>
      <c r="P6" s="420">
        <f>0.085-SUM(M6:O6)</f>
        <v>7.400000000000001E-2</v>
      </c>
      <c r="Q6" s="415">
        <f t="shared" ref="Q6:Q21" si="7">SUM(M6:P6)</f>
        <v>8.5000000000000006E-2</v>
      </c>
      <c r="R6" s="420">
        <v>0.875</v>
      </c>
      <c r="S6" s="420">
        <v>14.276</v>
      </c>
      <c r="T6" s="420">
        <v>25.239000000000001</v>
      </c>
      <c r="U6" s="420">
        <v>36.9</v>
      </c>
      <c r="V6" s="415">
        <f t="shared" ref="V6:V21" si="8">SUM(R6:U6)</f>
        <v>77.289999999999992</v>
      </c>
      <c r="W6" s="420">
        <v>50.622</v>
      </c>
      <c r="X6" s="420">
        <v>53.878999999999998</v>
      </c>
      <c r="Y6" s="420">
        <v>65.105999999999995</v>
      </c>
      <c r="Z6" s="420">
        <v>58.54</v>
      </c>
      <c r="AA6" s="415">
        <f t="shared" ref="AA6:AA21" si="9">SUM(W6:Z6)</f>
        <v>228.14699999999999</v>
      </c>
      <c r="AB6" s="420">
        <v>72.578000000000003</v>
      </c>
      <c r="AC6" s="420">
        <v>106.82899999999999</v>
      </c>
      <c r="AD6" s="420">
        <v>80.903000000000006</v>
      </c>
      <c r="AE6" s="420">
        <f>354.058-AD6-AC6-AB6</f>
        <v>93.747999999999962</v>
      </c>
      <c r="AF6" s="415">
        <f>AE6+AD6+AC6+AB6</f>
        <v>354.05799999999999</v>
      </c>
      <c r="AG6" s="420">
        <v>105.821</v>
      </c>
      <c r="AH6" s="420">
        <v>103.2</v>
      </c>
      <c r="AI6" s="420">
        <v>90.3</v>
      </c>
      <c r="AJ6" s="420">
        <v>114</v>
      </c>
      <c r="AK6" s="415">
        <f>AG6+AH6+AI6+AJ6</f>
        <v>413.32100000000003</v>
      </c>
      <c r="AL6" s="420">
        <f>'Rev-Exp'!AB16</f>
        <v>119.33669966850712</v>
      </c>
      <c r="AM6" s="420">
        <f>'Rev-Exp'!AC16</f>
        <v>116.38093956577556</v>
      </c>
      <c r="AN6" s="420">
        <f>'Rev-Exp'!AD16</f>
        <v>101.83332212005361</v>
      </c>
      <c r="AO6" s="420">
        <f>'Rev-Exp'!AE16</f>
        <v>134.97961672895832</v>
      </c>
      <c r="AP6" s="415">
        <f>'Rev-Exp'!AF16</f>
        <v>472.53057808329464</v>
      </c>
      <c r="AQ6" s="420"/>
      <c r="AR6" s="420"/>
      <c r="AS6" s="420"/>
      <c r="AT6" s="420"/>
      <c r="AU6" s="415">
        <f>'Rev-Exp'!AG16</f>
        <v>523.41835931562355</v>
      </c>
      <c r="AV6" s="420"/>
      <c r="AW6" s="420"/>
      <c r="AX6" s="420"/>
      <c r="AY6" s="420"/>
      <c r="AZ6" s="415">
        <f>'Rev-Exp'!AH16</f>
        <v>580.91845368302222</v>
      </c>
      <c r="BA6" s="420"/>
      <c r="BB6" s="420"/>
      <c r="BC6" s="420"/>
      <c r="BD6" s="420"/>
      <c r="BE6" s="415">
        <f>'Rev-Exp'!AI16</f>
        <v>634.27310636671973</v>
      </c>
      <c r="BF6" s="420"/>
      <c r="BG6" s="420"/>
      <c r="BH6" s="420"/>
      <c r="BI6" s="420"/>
      <c r="BJ6" s="415">
        <f>'Rev-Exp'!AJ16</f>
        <v>676.90075716958836</v>
      </c>
      <c r="BK6" s="420"/>
      <c r="BL6" s="420"/>
      <c r="BM6" s="420"/>
      <c r="BN6" s="420"/>
      <c r="BO6" s="415">
        <f>'Rev-Exp'!AK16</f>
        <v>722.86163450179674</v>
      </c>
      <c r="BP6" s="420"/>
      <c r="BQ6" s="420"/>
      <c r="BR6" s="420"/>
      <c r="BS6" s="420"/>
      <c r="BT6" s="415">
        <f>'Rev-Exp'!AL16</f>
        <v>764.61636362014121</v>
      </c>
      <c r="BU6" s="420"/>
      <c r="BV6" s="420"/>
      <c r="BW6" s="420"/>
      <c r="BX6" s="420"/>
      <c r="BY6" s="415">
        <f>'Rev-Exp'!AM16</f>
        <v>802.38954047174423</v>
      </c>
      <c r="BZ6" s="420"/>
      <c r="CA6" s="420"/>
      <c r="CB6" s="420"/>
      <c r="CC6" s="420"/>
      <c r="CD6" s="415">
        <f>'Rev-Exp'!AN16</f>
        <v>835.73733409737122</v>
      </c>
      <c r="CE6" s="420"/>
      <c r="CF6" s="420"/>
      <c r="CG6" s="420"/>
      <c r="CH6" s="420"/>
      <c r="CI6" s="415">
        <f>'Rev-Exp'!AO16</f>
        <v>870.5969470512191</v>
      </c>
      <c r="CJ6" s="420"/>
      <c r="CK6" s="420"/>
      <c r="CL6" s="420"/>
      <c r="CM6" s="420"/>
      <c r="CN6" s="415">
        <f>'Rev-Exp'!AP16</f>
        <v>902.04513676242891</v>
      </c>
      <c r="CO6" s="420"/>
      <c r="CP6" s="420"/>
      <c r="CQ6" s="420"/>
      <c r="CR6" s="420"/>
      <c r="CS6" s="415">
        <f>'Rev-Exp'!AQ16</f>
        <v>934.83443226880649</v>
      </c>
      <c r="CT6" s="420"/>
      <c r="CU6" s="420"/>
      <c r="CV6" s="420"/>
      <c r="CW6" s="420"/>
      <c r="CX6" s="415">
        <f>'Rev-Exp'!AR16</f>
        <v>969.03264208071005</v>
      </c>
    </row>
    <row r="7" spans="1:113" ht="14.25" thickBot="1">
      <c r="B7" s="737"/>
      <c r="C7" s="420"/>
      <c r="D7" s="420"/>
      <c r="E7" s="420"/>
      <c r="F7" s="420"/>
      <c r="G7" s="415"/>
      <c r="H7" s="420"/>
      <c r="I7" s="420"/>
      <c r="J7" s="420"/>
      <c r="K7" s="420"/>
      <c r="L7" s="415"/>
      <c r="M7" s="420"/>
      <c r="N7" s="420"/>
      <c r="O7" s="420"/>
      <c r="P7" s="420"/>
      <c r="Q7" s="415"/>
      <c r="R7" s="420"/>
      <c r="S7" s="420"/>
      <c r="T7" s="420"/>
      <c r="U7" s="420"/>
      <c r="V7" s="415"/>
      <c r="W7" s="420"/>
      <c r="X7" s="420"/>
      <c r="Y7" s="420"/>
      <c r="Z7" s="420"/>
      <c r="AA7" s="415"/>
      <c r="AB7" s="420"/>
      <c r="AC7" s="420"/>
      <c r="AD7" s="420"/>
      <c r="AE7" s="420"/>
      <c r="AF7" s="415"/>
      <c r="AG7" s="420"/>
      <c r="AH7" s="420"/>
      <c r="AI7" s="420"/>
      <c r="AJ7" s="420"/>
      <c r="AK7" s="415"/>
      <c r="AL7" s="420"/>
      <c r="AM7" s="420"/>
      <c r="AN7" s="711" t="s">
        <v>568</v>
      </c>
      <c r="AO7" s="712"/>
      <c r="AP7" s="713" t="s">
        <v>612</v>
      </c>
      <c r="AQ7" s="420"/>
      <c r="AR7" s="420"/>
      <c r="AS7" s="420"/>
      <c r="AT7" s="420"/>
      <c r="AU7" s="415"/>
      <c r="AV7" s="420"/>
      <c r="AW7" s="420"/>
      <c r="AX7" s="420"/>
      <c r="AY7" s="420"/>
      <c r="AZ7" s="415"/>
      <c r="BA7" s="420"/>
      <c r="BB7" s="420"/>
      <c r="BC7" s="420"/>
      <c r="BD7" s="420"/>
      <c r="BE7" s="415"/>
      <c r="BF7" s="420"/>
      <c r="BG7" s="420"/>
      <c r="BH7" s="420"/>
      <c r="BI7" s="420"/>
      <c r="BJ7" s="415"/>
      <c r="BK7" s="420"/>
      <c r="BL7" s="420"/>
      <c r="BM7" s="420"/>
      <c r="BN7" s="420"/>
      <c r="BO7" s="415"/>
      <c r="BP7" s="420"/>
      <c r="BQ7" s="420"/>
      <c r="BR7" s="420"/>
      <c r="BS7" s="420"/>
      <c r="BT7" s="415"/>
      <c r="BU7" s="420"/>
      <c r="BV7" s="420"/>
      <c r="BW7" s="420"/>
      <c r="BX7" s="420"/>
      <c r="BY7" s="415"/>
      <c r="BZ7" s="420"/>
      <c r="CA7" s="420"/>
      <c r="CB7" s="420"/>
      <c r="CC7" s="420"/>
      <c r="CD7" s="415"/>
      <c r="CE7" s="420"/>
      <c r="CF7" s="420"/>
      <c r="CG7" s="420"/>
      <c r="CH7" s="420"/>
      <c r="CI7" s="415"/>
      <c r="CJ7" s="420"/>
      <c r="CK7" s="420"/>
      <c r="CL7" s="420"/>
      <c r="CM7" s="420"/>
      <c r="CN7" s="415"/>
      <c r="CO7" s="420"/>
      <c r="CP7" s="420"/>
      <c r="CQ7" s="420"/>
      <c r="CR7" s="420"/>
      <c r="CS7" s="415"/>
      <c r="CT7" s="420"/>
      <c r="CU7" s="420"/>
      <c r="CV7" s="420"/>
      <c r="CW7" s="420"/>
      <c r="CX7" s="415"/>
    </row>
    <row r="8" spans="1:113" ht="14.25" thickBot="1">
      <c r="B8" s="737" t="s">
        <v>21</v>
      </c>
      <c r="C8" s="420">
        <v>60.6</v>
      </c>
      <c r="D8" s="420">
        <v>60.3</v>
      </c>
      <c r="E8" s="420">
        <v>55.9</v>
      </c>
      <c r="F8" s="420">
        <v>48.1</v>
      </c>
      <c r="G8" s="415">
        <f t="shared" si="5"/>
        <v>224.9</v>
      </c>
      <c r="H8" s="420">
        <v>68.599999999999994</v>
      </c>
      <c r="I8" s="420">
        <v>62.9</v>
      </c>
      <c r="J8" s="420">
        <v>62.5</v>
      </c>
      <c r="K8" s="420">
        <v>63</v>
      </c>
      <c r="L8" s="415">
        <f t="shared" si="6"/>
        <v>257</v>
      </c>
      <c r="M8" s="420">
        <v>69.400000000000006</v>
      </c>
      <c r="N8" s="420">
        <v>69.855000000000004</v>
      </c>
      <c r="O8" s="420">
        <v>63.262999999999998</v>
      </c>
      <c r="P8" s="420">
        <f>271.244-SUM(M8:O8)</f>
        <v>68.726000000000028</v>
      </c>
      <c r="Q8" s="415">
        <f t="shared" si="7"/>
        <v>271.24400000000003</v>
      </c>
      <c r="R8" s="420">
        <v>80.114000000000004</v>
      </c>
      <c r="S8" s="420">
        <v>98.328999999999994</v>
      </c>
      <c r="T8" s="420">
        <v>67.510999999999996</v>
      </c>
      <c r="U8" s="420">
        <v>88.49</v>
      </c>
      <c r="V8" s="415">
        <f t="shared" si="8"/>
        <v>334.44399999999996</v>
      </c>
      <c r="W8" s="420">
        <v>78.167000000000002</v>
      </c>
      <c r="X8" s="420">
        <v>111.08799999999999</v>
      </c>
      <c r="Y8" s="420">
        <v>54.131</v>
      </c>
      <c r="Z8" s="420">
        <v>59.704000000000001</v>
      </c>
      <c r="AA8" s="415">
        <f t="shared" si="9"/>
        <v>303.08999999999997</v>
      </c>
      <c r="AB8" s="420">
        <v>65.403000000000006</v>
      </c>
      <c r="AC8" s="420">
        <v>78.444000000000003</v>
      </c>
      <c r="AD8" s="420">
        <v>77.727999999999994</v>
      </c>
      <c r="AE8" s="420">
        <f>296.537-AD8-AC8-AB8</f>
        <v>74.961999999999946</v>
      </c>
      <c r="AF8" s="415">
        <f>AE8+AD8+AC8+AB8</f>
        <v>296.53699999999998</v>
      </c>
      <c r="AG8" s="420">
        <v>80.558000000000007</v>
      </c>
      <c r="AH8" s="420">
        <v>85.7</v>
      </c>
      <c r="AI8" s="420">
        <v>72.099999999999994</v>
      </c>
      <c r="AJ8" s="420">
        <v>93.8</v>
      </c>
      <c r="AK8" s="415">
        <f>AG8+AH8+AI8+AJ8</f>
        <v>332.15800000000002</v>
      </c>
      <c r="AL8" s="420">
        <f>'Rev-Exp'!AB31</f>
        <v>86.487084884703464</v>
      </c>
      <c r="AM8" s="420">
        <f>'Rev-Exp'!AC31</f>
        <v>92.007537111386654</v>
      </c>
      <c r="AN8" s="420">
        <f>'Rev-Exp'!AD31</f>
        <v>77.406574395927393</v>
      </c>
      <c r="AO8" s="420">
        <f>'Rev-Exp'!AE31</f>
        <v>88.172790583792306</v>
      </c>
      <c r="AP8" s="415">
        <f>'Rev-Exp'!AF31</f>
        <v>344.07398697580982</v>
      </c>
      <c r="AQ8" s="420"/>
      <c r="AR8" s="420"/>
      <c r="AS8" s="420"/>
      <c r="AT8" s="420"/>
      <c r="AU8" s="415">
        <f>'Rev-Exp'!AG31</f>
        <v>350.63012515514612</v>
      </c>
      <c r="AV8" s="420"/>
      <c r="AW8" s="420"/>
      <c r="AX8" s="420"/>
      <c r="AY8" s="420"/>
      <c r="AZ8" s="415">
        <f>'Rev-Exp'!AH31</f>
        <v>357.255084660026</v>
      </c>
      <c r="BA8" s="420"/>
      <c r="BB8" s="420"/>
      <c r="BC8" s="420"/>
      <c r="BD8" s="420"/>
      <c r="BE8" s="415">
        <f>'Rev-Exp'!AI31</f>
        <v>363.95011245978117</v>
      </c>
      <c r="BF8" s="420"/>
      <c r="BG8" s="420"/>
      <c r="BH8" s="420"/>
      <c r="BI8" s="420"/>
      <c r="BJ8" s="415">
        <f>'Rev-Exp'!AJ31</f>
        <v>370.71646497338293</v>
      </c>
      <c r="BK8" s="420"/>
      <c r="BL8" s="420"/>
      <c r="BM8" s="420"/>
      <c r="BN8" s="420"/>
      <c r="BO8" s="415">
        <f>'Rev-Exp'!AK31</f>
        <v>377.55540832737728</v>
      </c>
      <c r="BP8" s="420"/>
      <c r="BQ8" s="420"/>
      <c r="BR8" s="420"/>
      <c r="BS8" s="420"/>
      <c r="BT8" s="415">
        <f>'Rev-Exp'!AL31</f>
        <v>384.46821861682884</v>
      </c>
      <c r="BU8" s="420"/>
      <c r="BV8" s="420"/>
      <c r="BW8" s="420"/>
      <c r="BX8" s="420"/>
      <c r="BY8" s="415">
        <f>'Rev-Exp'!AM31</f>
        <v>391.45618216932775</v>
      </c>
      <c r="BZ8" s="420"/>
      <c r="CA8" s="420"/>
      <c r="CB8" s="420"/>
      <c r="CC8" s="420"/>
      <c r="CD8" s="415">
        <f>'Rev-Exp'!AN31</f>
        <v>398.52059581212325</v>
      </c>
      <c r="CE8" s="420"/>
      <c r="CF8" s="420"/>
      <c r="CG8" s="420"/>
      <c r="CH8" s="420"/>
      <c r="CI8" s="415">
        <f>'Rev-Exp'!AO31</f>
        <v>405.66276714243816</v>
      </c>
      <c r="CJ8" s="420"/>
      <c r="CK8" s="420"/>
      <c r="CL8" s="420"/>
      <c r="CM8" s="420"/>
      <c r="CN8" s="415">
        <f>'Rev-Exp'!AP31</f>
        <v>412.88401480102755</v>
      </c>
      <c r="CO8" s="420"/>
      <c r="CP8" s="420"/>
      <c r="CQ8" s="420"/>
      <c r="CR8" s="420"/>
      <c r="CS8" s="415">
        <f>'Rev-Exp'!AQ31</f>
        <v>420.18566874904036</v>
      </c>
      <c r="CT8" s="420"/>
      <c r="CU8" s="420"/>
      <c r="CV8" s="420"/>
      <c r="CW8" s="420"/>
      <c r="CX8" s="415">
        <f>'Rev-Exp'!AR31</f>
        <v>427.56907054824626</v>
      </c>
    </row>
    <row r="9" spans="1:113" ht="14.25" thickBot="1">
      <c r="B9" s="737"/>
      <c r="C9" s="420"/>
      <c r="D9" s="420"/>
      <c r="E9" s="420"/>
      <c r="F9" s="420"/>
      <c r="G9" s="415"/>
      <c r="H9" s="420"/>
      <c r="I9" s="420"/>
      <c r="J9" s="420"/>
      <c r="K9" s="420"/>
      <c r="L9" s="415"/>
      <c r="M9" s="420"/>
      <c r="N9" s="420"/>
      <c r="O9" s="420"/>
      <c r="P9" s="420"/>
      <c r="Q9" s="415"/>
      <c r="R9" s="420"/>
      <c r="S9" s="420"/>
      <c r="T9" s="420"/>
      <c r="U9" s="420"/>
      <c r="V9" s="415"/>
      <c r="W9" s="420"/>
      <c r="X9" s="420"/>
      <c r="Y9" s="420"/>
      <c r="Z9" s="420"/>
      <c r="AA9" s="415"/>
      <c r="AB9" s="420"/>
      <c r="AC9" s="420"/>
      <c r="AD9" s="420"/>
      <c r="AE9" s="420"/>
      <c r="AF9" s="415"/>
      <c r="AG9" s="420"/>
      <c r="AH9" s="420"/>
      <c r="AI9" s="420"/>
      <c r="AJ9" s="420"/>
      <c r="AK9" s="415"/>
      <c r="AL9" s="420"/>
      <c r="AM9" s="420"/>
      <c r="AN9" s="711" t="s">
        <v>568</v>
      </c>
      <c r="AO9" s="712"/>
      <c r="AP9" s="713" t="s">
        <v>613</v>
      </c>
      <c r="AQ9" s="420"/>
      <c r="AR9" s="420"/>
      <c r="AS9" s="420"/>
      <c r="AT9" s="420"/>
      <c r="AU9" s="415"/>
      <c r="AV9" s="420"/>
      <c r="AW9" s="420"/>
      <c r="AX9" s="420"/>
      <c r="AY9" s="420"/>
      <c r="AZ9" s="415"/>
      <c r="BA9" s="420"/>
      <c r="BB9" s="420"/>
      <c r="BC9" s="420"/>
      <c r="BD9" s="420"/>
      <c r="BE9" s="415"/>
      <c r="BF9" s="420"/>
      <c r="BG9" s="420"/>
      <c r="BH9" s="420"/>
      <c r="BI9" s="420"/>
      <c r="BJ9" s="415"/>
      <c r="BK9" s="420"/>
      <c r="BL9" s="420"/>
      <c r="BM9" s="420"/>
      <c r="BN9" s="420"/>
      <c r="BO9" s="415"/>
      <c r="BP9" s="420"/>
      <c r="BQ9" s="420"/>
      <c r="BR9" s="420"/>
      <c r="BS9" s="420"/>
      <c r="BT9" s="415"/>
      <c r="BU9" s="420"/>
      <c r="BV9" s="420"/>
      <c r="BW9" s="420"/>
      <c r="BX9" s="420"/>
      <c r="BY9" s="415"/>
      <c r="BZ9" s="420"/>
      <c r="CA9" s="420"/>
      <c r="CB9" s="420"/>
      <c r="CC9" s="420"/>
      <c r="CD9" s="415"/>
      <c r="CE9" s="420"/>
      <c r="CF9" s="420"/>
      <c r="CG9" s="420"/>
      <c r="CH9" s="420"/>
      <c r="CI9" s="415"/>
      <c r="CJ9" s="420"/>
      <c r="CK9" s="420"/>
      <c r="CL9" s="420"/>
      <c r="CM9" s="420"/>
      <c r="CN9" s="415"/>
      <c r="CO9" s="420"/>
      <c r="CP9" s="420"/>
      <c r="CQ9" s="420"/>
      <c r="CR9" s="420"/>
      <c r="CS9" s="415"/>
      <c r="CT9" s="420"/>
      <c r="CU9" s="420"/>
      <c r="CV9" s="420"/>
      <c r="CW9" s="420"/>
      <c r="CX9" s="415"/>
    </row>
    <row r="10" spans="1:113" ht="14.25" thickBot="1">
      <c r="B10" s="737" t="s">
        <v>22</v>
      </c>
      <c r="C10" s="420">
        <v>26.7</v>
      </c>
      <c r="D10" s="420">
        <v>28.8</v>
      </c>
      <c r="E10" s="420">
        <v>30.5</v>
      </c>
      <c r="F10" s="420">
        <v>30.8</v>
      </c>
      <c r="G10" s="415">
        <f t="shared" si="5"/>
        <v>116.8</v>
      </c>
      <c r="H10" s="420">
        <v>32</v>
      </c>
      <c r="I10" s="420">
        <v>34.700000000000003</v>
      </c>
      <c r="J10" s="420">
        <v>36.4</v>
      </c>
      <c r="K10" s="420">
        <v>40</v>
      </c>
      <c r="L10" s="415">
        <f t="shared" si="6"/>
        <v>143.1</v>
      </c>
      <c r="M10" s="420">
        <v>37.6</v>
      </c>
      <c r="N10" s="420">
        <v>40.942999999999998</v>
      </c>
      <c r="O10" s="420">
        <v>43.552999999999997</v>
      </c>
      <c r="P10" s="420">
        <f>167.422-SUM(M10:O10)</f>
        <v>45.325999999999993</v>
      </c>
      <c r="Q10" s="415">
        <f t="shared" si="7"/>
        <v>167.422</v>
      </c>
      <c r="R10" s="420">
        <v>45.235999999999997</v>
      </c>
      <c r="S10" s="420">
        <v>46.9</v>
      </c>
      <c r="T10" s="420">
        <v>53.438000000000002</v>
      </c>
      <c r="U10" s="420">
        <v>57.4</v>
      </c>
      <c r="V10" s="415">
        <f t="shared" si="8"/>
        <v>202.97400000000002</v>
      </c>
      <c r="W10" s="420">
        <v>50.192999999999998</v>
      </c>
      <c r="X10" s="420">
        <v>60.09</v>
      </c>
      <c r="Y10" s="420">
        <v>64.218999999999994</v>
      </c>
      <c r="Z10" s="420">
        <v>64.834000000000003</v>
      </c>
      <c r="AA10" s="415">
        <f t="shared" si="9"/>
        <v>239.33600000000001</v>
      </c>
      <c r="AB10" s="420">
        <v>76.691999999999993</v>
      </c>
      <c r="AC10" s="420">
        <v>90.215000000000003</v>
      </c>
      <c r="AD10" s="420">
        <v>90.899000000000001</v>
      </c>
      <c r="AE10" s="420">
        <f>348.009-AD10-AC10-AB10</f>
        <v>90.203000000000017</v>
      </c>
      <c r="AF10" s="415">
        <f>AE10+AD10+AC10+AB10</f>
        <v>348.00900000000001</v>
      </c>
      <c r="AG10" s="420">
        <v>92.346000000000004</v>
      </c>
      <c r="AH10" s="420">
        <v>102</v>
      </c>
      <c r="AI10" s="420">
        <v>105.8</v>
      </c>
      <c r="AJ10" s="420">
        <v>107.4</v>
      </c>
      <c r="AK10" s="415">
        <f>AG10+AH10+AI10+AJ10</f>
        <v>407.54600000000005</v>
      </c>
      <c r="AL10" s="420">
        <f>'Rev-Exp'!AB43</f>
        <v>104.92256765817049</v>
      </c>
      <c r="AM10" s="420">
        <f>'Rev-Exp'!AC43</f>
        <v>115.89134235520099</v>
      </c>
      <c r="AN10" s="420">
        <f>'Rev-Exp'!AD43</f>
        <v>120.20886295274769</v>
      </c>
      <c r="AO10" s="420">
        <f>'Rev-Exp'!AE43</f>
        <v>126.90619929424308</v>
      </c>
      <c r="AP10" s="415">
        <f>'Rev-Exp'!AF43</f>
        <v>467.92897226036223</v>
      </c>
      <c r="AQ10" s="420"/>
      <c r="AR10" s="420"/>
      <c r="AS10" s="420"/>
      <c r="AT10" s="420"/>
      <c r="AU10" s="415">
        <f>'Rev-Exp'!AG43</f>
        <v>514.3459341587693</v>
      </c>
      <c r="AV10" s="420"/>
      <c r="AW10" s="420"/>
      <c r="AX10" s="420"/>
      <c r="AY10" s="420"/>
      <c r="AZ10" s="415">
        <f>'Rev-Exp'!AH43</f>
        <v>567.72659055101144</v>
      </c>
      <c r="BA10" s="420"/>
      <c r="BB10" s="420"/>
      <c r="BC10" s="420"/>
      <c r="BD10" s="420"/>
      <c r="BE10" s="415">
        <f>'Rev-Exp'!AI43</f>
        <v>560.08040723396789</v>
      </c>
      <c r="BF10" s="420"/>
      <c r="BG10" s="420"/>
      <c r="BH10" s="420"/>
      <c r="BI10" s="420"/>
      <c r="BJ10" s="415">
        <f>'Rev-Exp'!AJ43</f>
        <v>528.98975055469919</v>
      </c>
      <c r="BK10" s="420"/>
      <c r="BL10" s="420"/>
      <c r="BM10" s="420"/>
      <c r="BN10" s="420"/>
      <c r="BO10" s="415">
        <f>'Rev-Exp'!AK43</f>
        <v>459.57020838429219</v>
      </c>
      <c r="BP10" s="420"/>
      <c r="BQ10" s="420"/>
      <c r="BR10" s="420"/>
      <c r="BS10" s="420"/>
      <c r="BT10" s="415">
        <f>'Rev-Exp'!AL43</f>
        <v>356.47790436240041</v>
      </c>
      <c r="BU10" s="420"/>
      <c r="BV10" s="420"/>
      <c r="BW10" s="420"/>
      <c r="BX10" s="420"/>
      <c r="BY10" s="415">
        <f>'Rev-Exp'!AM43</f>
        <v>318.42416095694171</v>
      </c>
      <c r="BZ10" s="420"/>
      <c r="CA10" s="420"/>
      <c r="CB10" s="420"/>
      <c r="CC10" s="420"/>
      <c r="CD10" s="415">
        <f>'Rev-Exp'!AN43</f>
        <v>287.12178664170074</v>
      </c>
      <c r="CE10" s="420"/>
      <c r="CF10" s="420"/>
      <c r="CG10" s="420"/>
      <c r="CH10" s="420"/>
      <c r="CI10" s="415">
        <f>'Rev-Exp'!AO43</f>
        <v>243.00390969425015</v>
      </c>
      <c r="CJ10" s="420"/>
      <c r="CK10" s="420"/>
      <c r="CL10" s="420"/>
      <c r="CM10" s="420"/>
      <c r="CN10" s="415">
        <f>'Rev-Exp'!AP43</f>
        <v>187.66741021253893</v>
      </c>
      <c r="CO10" s="420"/>
      <c r="CP10" s="420"/>
      <c r="CQ10" s="420"/>
      <c r="CR10" s="420"/>
      <c r="CS10" s="415">
        <f>'Rev-Exp'!AQ43</f>
        <v>173.85510403929851</v>
      </c>
      <c r="CT10" s="420"/>
      <c r="CU10" s="420"/>
      <c r="CV10" s="420"/>
      <c r="CW10" s="420"/>
      <c r="CX10" s="415">
        <f>'Rev-Exp'!AR43</f>
        <v>158.09412228557093</v>
      </c>
    </row>
    <row r="11" spans="1:113" ht="14.25" thickBot="1">
      <c r="B11" s="737"/>
      <c r="C11" s="420"/>
      <c r="D11" s="420"/>
      <c r="E11" s="420"/>
      <c r="F11" s="420"/>
      <c r="G11" s="415"/>
      <c r="H11" s="420"/>
      <c r="I11" s="420"/>
      <c r="J11" s="420"/>
      <c r="K11" s="420"/>
      <c r="L11" s="415"/>
      <c r="M11" s="420"/>
      <c r="N11" s="420"/>
      <c r="O11" s="420"/>
      <c r="P11" s="420"/>
      <c r="Q11" s="415"/>
      <c r="R11" s="420"/>
      <c r="S11" s="420"/>
      <c r="T11" s="420"/>
      <c r="U11" s="420"/>
      <c r="V11" s="415"/>
      <c r="W11" s="420"/>
      <c r="X11" s="420"/>
      <c r="Y11" s="420"/>
      <c r="Z11" s="420"/>
      <c r="AA11" s="415"/>
      <c r="AB11" s="420"/>
      <c r="AC11" s="420"/>
      <c r="AD11" s="420"/>
      <c r="AE11" s="420"/>
      <c r="AF11" s="415"/>
      <c r="AG11" s="420"/>
      <c r="AH11" s="420"/>
      <c r="AI11" s="420"/>
      <c r="AJ11" s="420"/>
      <c r="AK11" s="415"/>
      <c r="AL11" s="420"/>
      <c r="AM11" s="420"/>
      <c r="AN11" s="711" t="s">
        <v>568</v>
      </c>
      <c r="AO11" s="712"/>
      <c r="AP11" s="713" t="s">
        <v>614</v>
      </c>
      <c r="AQ11" s="420"/>
      <c r="AR11" s="420"/>
      <c r="AS11" s="420"/>
      <c r="AT11" s="420"/>
      <c r="AU11" s="415"/>
      <c r="AV11" s="420"/>
      <c r="AW11" s="420"/>
      <c r="AX11" s="420"/>
      <c r="AY11" s="420"/>
      <c r="AZ11" s="415"/>
      <c r="BA11" s="420"/>
      <c r="BB11" s="420"/>
      <c r="BC11" s="420"/>
      <c r="BD11" s="420"/>
      <c r="BE11" s="415"/>
      <c r="BF11" s="420"/>
      <c r="BG11" s="420"/>
      <c r="BH11" s="420"/>
      <c r="BI11" s="420"/>
      <c r="BJ11" s="415"/>
      <c r="BK11" s="420"/>
      <c r="BL11" s="420"/>
      <c r="BM11" s="420"/>
      <c r="BN11" s="420"/>
      <c r="BO11" s="415"/>
      <c r="BP11" s="420"/>
      <c r="BQ11" s="420"/>
      <c r="BR11" s="420"/>
      <c r="BS11" s="420"/>
      <c r="BT11" s="415"/>
      <c r="BU11" s="420"/>
      <c r="BV11" s="420"/>
      <c r="BW11" s="420"/>
      <c r="BX11" s="420"/>
      <c r="BY11" s="415"/>
      <c r="BZ11" s="420"/>
      <c r="CA11" s="420"/>
      <c r="CB11" s="420"/>
      <c r="CC11" s="420"/>
      <c r="CD11" s="415"/>
      <c r="CE11" s="420"/>
      <c r="CF11" s="420"/>
      <c r="CG11" s="420"/>
      <c r="CH11" s="420"/>
      <c r="CI11" s="415"/>
      <c r="CJ11" s="420"/>
      <c r="CK11" s="420"/>
      <c r="CL11" s="420"/>
      <c r="CM11" s="420"/>
      <c r="CN11" s="415"/>
      <c r="CO11" s="420"/>
      <c r="CP11" s="420"/>
      <c r="CQ11" s="420"/>
      <c r="CR11" s="420"/>
      <c r="CS11" s="415"/>
      <c r="CT11" s="420"/>
      <c r="CU11" s="420"/>
      <c r="CV11" s="420"/>
      <c r="CW11" s="420"/>
      <c r="CX11" s="415"/>
    </row>
    <row r="12" spans="1:113">
      <c r="B12" s="737" t="s">
        <v>93</v>
      </c>
      <c r="C12" s="420"/>
      <c r="D12" s="420"/>
      <c r="E12" s="420"/>
      <c r="F12" s="420"/>
      <c r="G12" s="415"/>
      <c r="H12" s="420"/>
      <c r="I12" s="420"/>
      <c r="J12" s="420"/>
      <c r="K12" s="420"/>
      <c r="L12" s="415"/>
      <c r="M12" s="420"/>
      <c r="N12" s="420"/>
      <c r="O12" s="420"/>
      <c r="P12" s="420"/>
      <c r="Q12" s="415"/>
      <c r="R12" s="420"/>
      <c r="S12" s="420"/>
      <c r="T12" s="420"/>
      <c r="U12" s="420"/>
      <c r="V12" s="415"/>
      <c r="W12" s="420"/>
      <c r="X12" s="420"/>
      <c r="Y12" s="420"/>
      <c r="Z12" s="420"/>
      <c r="AA12" s="415"/>
      <c r="AB12" s="420"/>
      <c r="AC12" s="420"/>
      <c r="AD12" s="420"/>
      <c r="AE12" s="420"/>
      <c r="AF12" s="415"/>
      <c r="AG12" s="420"/>
      <c r="AH12" s="420"/>
      <c r="AI12" s="420"/>
      <c r="AJ12" s="420"/>
      <c r="AK12" s="415"/>
      <c r="AL12" s="420">
        <f>'Rev-Exp'!AB73</f>
        <v>0</v>
      </c>
      <c r="AM12" s="420">
        <f>'Rev-Exp'!AC73</f>
        <v>0</v>
      </c>
      <c r="AN12" s="420">
        <f>'Rev-Exp'!AD73</f>
        <v>2.5</v>
      </c>
      <c r="AO12" s="420">
        <f>'Rev-Exp'!AE73</f>
        <v>12.445820636927399</v>
      </c>
      <c r="AP12" s="415">
        <f>'Rev-Exp'!AF73</f>
        <v>14.945820636927399</v>
      </c>
      <c r="AQ12" s="420"/>
      <c r="AR12" s="420"/>
      <c r="AS12" s="420"/>
      <c r="AT12" s="420"/>
      <c r="AU12" s="415">
        <f>'Rev-Exp'!AG73</f>
        <v>39.69729527733012</v>
      </c>
      <c r="AV12" s="420"/>
      <c r="AW12" s="420"/>
      <c r="AX12" s="420"/>
      <c r="AY12" s="420"/>
      <c r="AZ12" s="415">
        <f>'Rev-Exp'!AH73</f>
        <v>73.775425133089428</v>
      </c>
      <c r="BA12" s="420"/>
      <c r="BB12" s="420"/>
      <c r="BC12" s="420"/>
      <c r="BD12" s="420"/>
      <c r="BE12" s="415">
        <f>'Rev-Exp'!AI73</f>
        <v>118.34559075013014</v>
      </c>
      <c r="BF12" s="420"/>
      <c r="BG12" s="420"/>
      <c r="BH12" s="420"/>
      <c r="BI12" s="420"/>
      <c r="BJ12" s="415">
        <f>'Rev-Exp'!AJ73</f>
        <v>147.44075594624917</v>
      </c>
      <c r="BK12" s="420"/>
      <c r="BL12" s="420"/>
      <c r="BM12" s="420"/>
      <c r="BN12" s="420"/>
      <c r="BO12" s="415">
        <f>'Rev-Exp'!AK73</f>
        <v>161.7168964354569</v>
      </c>
      <c r="BP12" s="420"/>
      <c r="BQ12" s="420"/>
      <c r="BR12" s="420"/>
      <c r="BS12" s="420"/>
      <c r="BT12" s="415">
        <f>'Rev-Exp'!AL73</f>
        <v>174.22675339686063</v>
      </c>
      <c r="BU12" s="420"/>
      <c r="BV12" s="420"/>
      <c r="BW12" s="420"/>
      <c r="BX12" s="420"/>
      <c r="BY12" s="415">
        <f>'Rev-Exp'!AM73</f>
        <v>187.73041413970745</v>
      </c>
      <c r="BZ12" s="420"/>
      <c r="CA12" s="420"/>
      <c r="CB12" s="420"/>
      <c r="CC12" s="420"/>
      <c r="CD12" s="415">
        <f>'Rev-Exp'!AN73</f>
        <v>202.27274920524235</v>
      </c>
      <c r="CE12" s="420"/>
      <c r="CF12" s="420"/>
      <c r="CG12" s="420"/>
      <c r="CH12" s="420"/>
      <c r="CI12" s="415">
        <f>'Rev-Exp'!AO73</f>
        <v>217.9440094212093</v>
      </c>
      <c r="CJ12" s="420"/>
      <c r="CK12" s="420"/>
      <c r="CL12" s="420"/>
      <c r="CM12" s="420"/>
      <c r="CN12" s="415">
        <f>'Rev-Exp'!AP73</f>
        <v>234.82867786625164</v>
      </c>
      <c r="CO12" s="420"/>
      <c r="CP12" s="420"/>
      <c r="CQ12" s="420"/>
      <c r="CR12" s="420"/>
      <c r="CS12" s="415">
        <f>'Rev-Exp'!AQ73</f>
        <v>253.02166814888076</v>
      </c>
      <c r="CT12" s="420"/>
      <c r="CU12" s="420"/>
      <c r="CV12" s="420"/>
      <c r="CW12" s="420"/>
      <c r="CX12" s="415">
        <f>'Rev-Exp'!AR73</f>
        <v>272.6240640538897</v>
      </c>
    </row>
    <row r="13" spans="1:113">
      <c r="B13" s="737" t="s">
        <v>16</v>
      </c>
      <c r="C13" s="420">
        <v>18.7</v>
      </c>
      <c r="D13" s="420">
        <v>17.3</v>
      </c>
      <c r="E13" s="420">
        <v>23</v>
      </c>
      <c r="F13" s="420">
        <v>23.8</v>
      </c>
      <c r="G13" s="415">
        <f t="shared" si="5"/>
        <v>82.8</v>
      </c>
      <c r="H13" s="420">
        <v>12</v>
      </c>
      <c r="I13" s="420">
        <v>21.8</v>
      </c>
      <c r="J13" s="420">
        <v>23.8</v>
      </c>
      <c r="K13" s="420">
        <v>24.6</v>
      </c>
      <c r="L13" s="415">
        <f t="shared" si="6"/>
        <v>82.199999999999989</v>
      </c>
      <c r="M13" s="420">
        <v>16.7</v>
      </c>
      <c r="N13" s="420">
        <v>17.574000000000002</v>
      </c>
      <c r="O13" s="420">
        <v>23.427</v>
      </c>
      <c r="P13" s="420">
        <f>83.545-SUM(M13:O13)</f>
        <v>25.844000000000001</v>
      </c>
      <c r="Q13" s="415">
        <f t="shared" si="7"/>
        <v>83.545000000000002</v>
      </c>
      <c r="R13" s="420">
        <v>18.07</v>
      </c>
      <c r="S13" s="420">
        <v>24.106999999999999</v>
      </c>
      <c r="T13" s="420">
        <v>22.553000000000001</v>
      </c>
      <c r="U13" s="420">
        <v>40.9</v>
      </c>
      <c r="V13" s="415">
        <f t="shared" si="8"/>
        <v>105.63</v>
      </c>
      <c r="W13" s="420">
        <v>18.242999999999999</v>
      </c>
      <c r="X13" s="420">
        <v>20.239000000000001</v>
      </c>
      <c r="Y13" s="420">
        <v>20.509</v>
      </c>
      <c r="Z13" s="420">
        <v>38.920999999999999</v>
      </c>
      <c r="AA13" s="415">
        <f t="shared" si="9"/>
        <v>97.912000000000006</v>
      </c>
      <c r="AB13" s="420">
        <v>16.445</v>
      </c>
      <c r="AC13" s="420">
        <v>18.623000000000001</v>
      </c>
      <c r="AD13" s="420">
        <v>23.751000000000001</v>
      </c>
      <c r="AE13" s="420">
        <f>93.749-AD13-AC13-AB13</f>
        <v>34.929999999999986</v>
      </c>
      <c r="AF13" s="415">
        <f>AE13+AD13+AC13+AB13</f>
        <v>93.748999999999995</v>
      </c>
      <c r="AG13" s="420">
        <v>19.355</v>
      </c>
      <c r="AH13" s="420">
        <v>19.899999999999999</v>
      </c>
      <c r="AI13" s="420">
        <v>22.4</v>
      </c>
      <c r="AJ13" s="420">
        <v>28.3</v>
      </c>
      <c r="AK13" s="415">
        <f>AG13+AH13+AI13+AJ13</f>
        <v>89.954999999999998</v>
      </c>
      <c r="AL13" s="420">
        <f>'Rev-Exp'!AB51</f>
        <v>21.278681114017974</v>
      </c>
      <c r="AM13" s="420">
        <f>'Rev-Exp'!AC51</f>
        <v>21.87784831666017</v>
      </c>
      <c r="AN13" s="420">
        <f>'Rev-Exp'!AD51</f>
        <v>24.626321723275773</v>
      </c>
      <c r="AO13" s="420">
        <f>'Rev-Exp'!AE51</f>
        <v>38.743600104741788</v>
      </c>
      <c r="AP13" s="415">
        <f>'Rev-Exp'!AF51</f>
        <v>106.5264512586957</v>
      </c>
      <c r="AQ13" s="420"/>
      <c r="AR13" s="420"/>
      <c r="AS13" s="420"/>
      <c r="AT13" s="420"/>
      <c r="AU13" s="415">
        <f>'Rev-Exp'!AG51</f>
        <v>109.22291623667509</v>
      </c>
      <c r="AV13" s="420"/>
      <c r="AW13" s="420"/>
      <c r="AX13" s="420"/>
      <c r="AY13" s="420"/>
      <c r="AZ13" s="415">
        <f>'Rev-Exp'!AH51</f>
        <v>111.98706932188837</v>
      </c>
      <c r="BA13" s="420"/>
      <c r="BB13" s="420"/>
      <c r="BC13" s="420"/>
      <c r="BD13" s="420"/>
      <c r="BE13" s="415">
        <f>'Rev-Exp'!AI51</f>
        <v>114.82060694555739</v>
      </c>
      <c r="BF13" s="420"/>
      <c r="BG13" s="420"/>
      <c r="BH13" s="420"/>
      <c r="BI13" s="420"/>
      <c r="BJ13" s="415">
        <f>'Rev-Exp'!AJ51</f>
        <v>117.72526630138574</v>
      </c>
      <c r="BK13" s="420"/>
      <c r="BL13" s="420"/>
      <c r="BM13" s="420"/>
      <c r="BN13" s="420"/>
      <c r="BO13" s="415">
        <f>'Rev-Exp'!AK51</f>
        <v>120.70282627887143</v>
      </c>
      <c r="BP13" s="420"/>
      <c r="BQ13" s="420"/>
      <c r="BR13" s="420"/>
      <c r="BS13" s="420"/>
      <c r="BT13" s="415">
        <f>'Rev-Exp'!AL51</f>
        <v>123.75510841714971</v>
      </c>
      <c r="BU13" s="420"/>
      <c r="BV13" s="420"/>
      <c r="BW13" s="420"/>
      <c r="BX13" s="420"/>
      <c r="BY13" s="415">
        <f>'Rev-Exp'!AM51</f>
        <v>126.88397787980588</v>
      </c>
      <c r="BZ13" s="420"/>
      <c r="CA13" s="420"/>
      <c r="CB13" s="420"/>
      <c r="CC13" s="420"/>
      <c r="CD13" s="415">
        <f>'Rev-Exp'!AN51</f>
        <v>130.09134445110431</v>
      </c>
      <c r="CE13" s="420"/>
      <c r="CF13" s="420"/>
      <c r="CG13" s="420"/>
      <c r="CH13" s="420"/>
      <c r="CI13" s="415">
        <f>'Rev-Exp'!AO51</f>
        <v>133.37916355409101</v>
      </c>
      <c r="CJ13" s="420"/>
      <c r="CK13" s="420"/>
      <c r="CL13" s="420"/>
      <c r="CM13" s="420"/>
      <c r="CN13" s="415">
        <f>'Rev-Exp'!AP51</f>
        <v>136.74943729103643</v>
      </c>
      <c r="CO13" s="420"/>
      <c r="CP13" s="420"/>
      <c r="CQ13" s="420"/>
      <c r="CR13" s="420"/>
      <c r="CS13" s="415">
        <f>'Rev-Exp'!AQ51</f>
        <v>140.20421550669428</v>
      </c>
      <c r="CT13" s="420"/>
      <c r="CU13" s="420"/>
      <c r="CV13" s="420"/>
      <c r="CW13" s="420"/>
      <c r="CX13" s="415">
        <f>'Rev-Exp'!AR51</f>
        <v>143.74559687486277</v>
      </c>
    </row>
    <row r="14" spans="1:113">
      <c r="B14" s="737" t="s">
        <v>23</v>
      </c>
      <c r="C14" s="420">
        <v>3.1</v>
      </c>
      <c r="D14" s="420">
        <v>3.2</v>
      </c>
      <c r="E14" s="420">
        <v>3.5</v>
      </c>
      <c r="F14" s="420">
        <v>3.3</v>
      </c>
      <c r="G14" s="415">
        <f t="shared" si="5"/>
        <v>13.100000000000001</v>
      </c>
      <c r="H14" s="420">
        <v>3.6</v>
      </c>
      <c r="I14" s="420">
        <v>3.6</v>
      </c>
      <c r="J14" s="420">
        <v>3.6</v>
      </c>
      <c r="K14" s="420">
        <v>3.4</v>
      </c>
      <c r="L14" s="415">
        <f t="shared" si="6"/>
        <v>14.200000000000001</v>
      </c>
      <c r="M14" s="420">
        <v>3.6</v>
      </c>
      <c r="N14" s="420">
        <v>4.0279999999999996</v>
      </c>
      <c r="O14" s="420">
        <v>4.0759999999999996</v>
      </c>
      <c r="P14" s="420">
        <f>16.064-SUM(M14:O14)</f>
        <v>4.3599999999999994</v>
      </c>
      <c r="Q14" s="415">
        <f t="shared" si="7"/>
        <v>16.064</v>
      </c>
      <c r="R14" s="420">
        <v>4.7089999999999996</v>
      </c>
      <c r="S14" s="420">
        <v>4.6319999999999997</v>
      </c>
      <c r="T14" s="420">
        <v>4.6749999999999998</v>
      </c>
      <c r="U14" s="420">
        <v>4</v>
      </c>
      <c r="V14" s="415">
        <f t="shared" si="8"/>
        <v>18.015999999999998</v>
      </c>
      <c r="W14" s="420">
        <v>4.0869999999999997</v>
      </c>
      <c r="X14" s="420">
        <v>3.7269999999999999</v>
      </c>
      <c r="Y14" s="420">
        <v>3.802</v>
      </c>
      <c r="Z14" s="420">
        <v>4.4210000000000003</v>
      </c>
      <c r="AA14" s="415">
        <f t="shared" si="9"/>
        <v>16.036999999999999</v>
      </c>
      <c r="AB14" s="420">
        <v>4.2389999999999999</v>
      </c>
      <c r="AC14" s="420">
        <v>4.4649999999999999</v>
      </c>
      <c r="AD14" s="420">
        <v>4.9809999999999999</v>
      </c>
      <c r="AE14" s="420">
        <f>18.028-AD14-AC14-AB14</f>
        <v>4.3429999999999991</v>
      </c>
      <c r="AF14" s="415">
        <f>AE14+AD14+AC14+AB14</f>
        <v>18.027999999999999</v>
      </c>
      <c r="AG14" s="420">
        <v>4.1100000000000003</v>
      </c>
      <c r="AH14" s="420">
        <v>4.8</v>
      </c>
      <c r="AI14" s="420">
        <v>5.0999999999999996</v>
      </c>
      <c r="AJ14" s="420">
        <v>4.8</v>
      </c>
      <c r="AK14" s="415">
        <f>AG14+AH14+AI14+AJ14</f>
        <v>18.809999999999999</v>
      </c>
      <c r="AL14" s="420">
        <f>'Rev-Exp'!AB55</f>
        <v>4.1922000000000006</v>
      </c>
      <c r="AM14" s="420">
        <f>'Rev-Exp'!AC55</f>
        <v>4.8959999999999999</v>
      </c>
      <c r="AN14" s="420">
        <f>'Rev-Exp'!AD55</f>
        <v>5.202</v>
      </c>
      <c r="AO14" s="420">
        <f>'Rev-Exp'!AE55</f>
        <v>5.2131384000000027</v>
      </c>
      <c r="AP14" s="415">
        <f>'Rev-Exp'!AF55</f>
        <v>19.503338400000001</v>
      </c>
      <c r="AQ14" s="420"/>
      <c r="AR14" s="420"/>
      <c r="AS14" s="420"/>
      <c r="AT14" s="420"/>
      <c r="AU14" s="415">
        <f>'Rev-Exp'!AG55</f>
        <v>19.893405168000001</v>
      </c>
      <c r="AV14" s="420"/>
      <c r="AW14" s="420"/>
      <c r="AX14" s="420"/>
      <c r="AY14" s="420"/>
      <c r="AZ14" s="415">
        <f>'Rev-Exp'!AH55</f>
        <v>20.291273271360001</v>
      </c>
      <c r="BA14" s="420"/>
      <c r="BB14" s="420"/>
      <c r="BC14" s="420"/>
      <c r="BD14" s="420"/>
      <c r="BE14" s="415">
        <f>'Rev-Exp'!AI55</f>
        <v>20.697098736787201</v>
      </c>
      <c r="BF14" s="420"/>
      <c r="BG14" s="420"/>
      <c r="BH14" s="420"/>
      <c r="BI14" s="420"/>
      <c r="BJ14" s="415">
        <f>'Rev-Exp'!AJ55</f>
        <v>21.111040711522946</v>
      </c>
      <c r="BK14" s="420"/>
      <c r="BL14" s="420"/>
      <c r="BM14" s="420"/>
      <c r="BN14" s="420"/>
      <c r="BO14" s="415">
        <f>'Rev-Exp'!AK55</f>
        <v>21.533261525753407</v>
      </c>
      <c r="BP14" s="420"/>
      <c r="BQ14" s="420"/>
      <c r="BR14" s="420"/>
      <c r="BS14" s="420"/>
      <c r="BT14" s="415">
        <f>'Rev-Exp'!AL55</f>
        <v>21.963926756268474</v>
      </c>
      <c r="BU14" s="420"/>
      <c r="BV14" s="420"/>
      <c r="BW14" s="420"/>
      <c r="BX14" s="420"/>
      <c r="BY14" s="415">
        <f>'Rev-Exp'!AM55</f>
        <v>22.403205291393846</v>
      </c>
      <c r="BZ14" s="420"/>
      <c r="CA14" s="420"/>
      <c r="CB14" s="420"/>
      <c r="CC14" s="420"/>
      <c r="CD14" s="415">
        <f>'Rev-Exp'!AN55</f>
        <v>22.851269397221724</v>
      </c>
      <c r="CE14" s="420"/>
      <c r="CF14" s="420"/>
      <c r="CG14" s="420"/>
      <c r="CH14" s="420"/>
      <c r="CI14" s="415">
        <f>'Rev-Exp'!AO55</f>
        <v>23.308294785166158</v>
      </c>
      <c r="CJ14" s="420"/>
      <c r="CK14" s="420"/>
      <c r="CL14" s="420"/>
      <c r="CM14" s="420"/>
      <c r="CN14" s="415">
        <f>'Rev-Exp'!AP55</f>
        <v>23.774460680869481</v>
      </c>
      <c r="CO14" s="420"/>
      <c r="CP14" s="420"/>
      <c r="CQ14" s="420"/>
      <c r="CR14" s="420"/>
      <c r="CS14" s="415">
        <f>'Rev-Exp'!AQ55</f>
        <v>24.249949894486871</v>
      </c>
      <c r="CT14" s="420"/>
      <c r="CU14" s="420"/>
      <c r="CV14" s="420"/>
      <c r="CW14" s="420"/>
      <c r="CX14" s="415">
        <f>'Rev-Exp'!AR55</f>
        <v>24.734948892376607</v>
      </c>
    </row>
    <row r="15" spans="1:113" ht="14.25" thickBot="1">
      <c r="B15" s="737" t="s">
        <v>407</v>
      </c>
      <c r="C15" s="420"/>
      <c r="D15" s="420"/>
      <c r="E15" s="420"/>
      <c r="F15" s="420"/>
      <c r="G15" s="415"/>
      <c r="H15" s="420"/>
      <c r="I15" s="420"/>
      <c r="J15" s="420"/>
      <c r="K15" s="420"/>
      <c r="L15" s="415"/>
      <c r="M15" s="420"/>
      <c r="N15" s="420"/>
      <c r="O15" s="420"/>
      <c r="P15" s="420"/>
      <c r="Q15" s="415"/>
      <c r="R15" s="420"/>
      <c r="S15" s="420"/>
      <c r="T15" s="420"/>
      <c r="U15" s="420"/>
      <c r="V15" s="415"/>
      <c r="W15" s="420"/>
      <c r="X15" s="420"/>
      <c r="Y15" s="420"/>
      <c r="Z15" s="420"/>
      <c r="AA15" s="415"/>
      <c r="AB15" s="420"/>
      <c r="AC15" s="420"/>
      <c r="AD15" s="420"/>
      <c r="AE15" s="420"/>
      <c r="AF15" s="415"/>
      <c r="AG15" s="169"/>
      <c r="AH15" s="721">
        <v>0.3</v>
      </c>
      <c r="AI15" s="420">
        <v>3.1</v>
      </c>
      <c r="AJ15" s="721">
        <v>5.2</v>
      </c>
      <c r="AK15" s="415">
        <f>AG15+AH15+AI15+AJ15</f>
        <v>8.6</v>
      </c>
      <c r="AL15" s="420">
        <f>'Rev-Exp'!AB61</f>
        <v>7.0290494416209173</v>
      </c>
      <c r="AM15" s="420">
        <f>'Rev-Exp'!AC61</f>
        <v>10.543574162431376</v>
      </c>
      <c r="AN15" s="420">
        <f>'Rev-Exp'!AD61</f>
        <v>11.71508240270153</v>
      </c>
      <c r="AO15" s="420">
        <f>'Rev-Exp'!AE61</f>
        <v>17.572623604052296</v>
      </c>
      <c r="AP15" s="415">
        <f>'Rev-Exp'!AF61</f>
        <v>46.860329610806119</v>
      </c>
      <c r="AQ15" s="169"/>
      <c r="AR15" s="169"/>
      <c r="AS15" s="169"/>
      <c r="AT15" s="169"/>
      <c r="AU15" s="415">
        <f>'Rev-Exp'!AG61</f>
        <v>111.12647926148983</v>
      </c>
      <c r="AV15" s="169"/>
      <c r="AW15" s="169"/>
      <c r="AX15" s="169"/>
      <c r="AY15" s="169"/>
      <c r="AZ15" s="415">
        <f>'Rev-Exp'!AH61</f>
        <v>193.74726433849162</v>
      </c>
      <c r="BA15" s="169"/>
      <c r="BB15" s="169"/>
      <c r="BC15" s="169"/>
      <c r="BD15" s="169"/>
      <c r="BE15" s="415">
        <f>'Rev-Exp'!AI61</f>
        <v>255.77065729860234</v>
      </c>
      <c r="BF15" s="169"/>
      <c r="BG15" s="169"/>
      <c r="BH15" s="169"/>
      <c r="BI15" s="169"/>
      <c r="BJ15" s="415">
        <f>'Rev-Exp'!AJ61</f>
        <v>327.9828310888679</v>
      </c>
      <c r="BK15" s="169"/>
      <c r="BL15" s="169"/>
      <c r="BM15" s="169"/>
      <c r="BN15" s="169"/>
      <c r="BO15" s="415">
        <f>'Rev-Exp'!AK61</f>
        <v>348.98069511487802</v>
      </c>
      <c r="BP15" s="169"/>
      <c r="BQ15" s="169"/>
      <c r="BR15" s="169"/>
      <c r="BS15" s="169"/>
      <c r="BT15" s="415">
        <f>'Rev-Exp'!AL61</f>
        <v>371.31484875073943</v>
      </c>
      <c r="BU15" s="169"/>
      <c r="BV15" s="169"/>
      <c r="BW15" s="169"/>
      <c r="BX15" s="169"/>
      <c r="BY15" s="415">
        <f>'Rev-Exp'!AM61</f>
        <v>395.07142606415044</v>
      </c>
      <c r="BZ15" s="169"/>
      <c r="CA15" s="169"/>
      <c r="CB15" s="169"/>
      <c r="CC15" s="169"/>
      <c r="CD15" s="415">
        <f>'Rev-Exp'!AN61</f>
        <v>420.34215726819446</v>
      </c>
      <c r="CE15" s="169"/>
      <c r="CF15" s="169"/>
      <c r="CG15" s="169"/>
      <c r="CH15" s="169"/>
      <c r="CI15" s="415">
        <f>'Rev-Exp'!AO61</f>
        <v>447.22473265746197</v>
      </c>
      <c r="CJ15" s="169"/>
      <c r="CK15" s="169"/>
      <c r="CL15" s="169"/>
      <c r="CM15" s="169"/>
      <c r="CN15" s="415">
        <f>'Rev-Exp'!AP61</f>
        <v>475.82319013286116</v>
      </c>
      <c r="CO15" s="169"/>
      <c r="CP15" s="169"/>
      <c r="CQ15" s="169"/>
      <c r="CR15" s="169"/>
      <c r="CS15" s="415">
        <f>'Rev-Exp'!AQ61</f>
        <v>506.24832783601005</v>
      </c>
      <c r="CT15" s="169"/>
      <c r="CU15" s="169"/>
      <c r="CV15" s="169"/>
      <c r="CW15" s="169"/>
      <c r="CX15" s="415">
        <f>'Rev-Exp'!AR61</f>
        <v>538.6181435116024</v>
      </c>
    </row>
    <row r="16" spans="1:113" ht="14.25" thickBot="1">
      <c r="B16" s="737"/>
      <c r="C16" s="420"/>
      <c r="D16" s="420"/>
      <c r="E16" s="420"/>
      <c r="F16" s="420"/>
      <c r="G16" s="415"/>
      <c r="H16" s="420"/>
      <c r="I16" s="420"/>
      <c r="J16" s="420"/>
      <c r="K16" s="420"/>
      <c r="L16" s="415"/>
      <c r="M16" s="420"/>
      <c r="N16" s="420"/>
      <c r="O16" s="420"/>
      <c r="P16" s="420"/>
      <c r="Q16" s="415"/>
      <c r="R16" s="420"/>
      <c r="S16" s="420"/>
      <c r="T16" s="420"/>
      <c r="U16" s="420"/>
      <c r="V16" s="415"/>
      <c r="W16" s="420"/>
      <c r="X16" s="420"/>
      <c r="Y16" s="420"/>
      <c r="Z16" s="420"/>
      <c r="AA16" s="415"/>
      <c r="AB16" s="420"/>
      <c r="AC16" s="420"/>
      <c r="AD16" s="420"/>
      <c r="AE16" s="420"/>
      <c r="AF16" s="415"/>
      <c r="AG16" s="169"/>
      <c r="AH16" s="721"/>
      <c r="AI16" s="420"/>
      <c r="AJ16" s="721"/>
      <c r="AK16" s="415"/>
      <c r="AL16" s="420"/>
      <c r="AM16" s="420"/>
      <c r="AN16" s="711" t="s">
        <v>568</v>
      </c>
      <c r="AO16" s="712"/>
      <c r="AP16" s="713" t="s">
        <v>616</v>
      </c>
      <c r="AQ16" s="169"/>
      <c r="AR16" s="169"/>
      <c r="AS16" s="169"/>
      <c r="AT16" s="169"/>
      <c r="AU16" s="207"/>
      <c r="AV16" s="169"/>
      <c r="AW16" s="169"/>
      <c r="AX16" s="169"/>
      <c r="AY16" s="169"/>
      <c r="AZ16" s="415"/>
      <c r="BA16" s="169"/>
      <c r="BB16" s="169"/>
      <c r="BC16" s="169"/>
      <c r="BD16" s="169"/>
      <c r="BE16" s="415"/>
      <c r="BF16" s="169"/>
      <c r="BG16" s="169"/>
      <c r="BH16" s="169"/>
      <c r="BI16" s="169"/>
      <c r="BJ16" s="415"/>
      <c r="BK16" s="169"/>
      <c r="BL16" s="169"/>
      <c r="BM16" s="169"/>
      <c r="BN16" s="169"/>
      <c r="BO16" s="415"/>
      <c r="BP16" s="169"/>
      <c r="BQ16" s="169"/>
      <c r="BR16" s="169"/>
      <c r="BS16" s="169"/>
      <c r="BT16" s="415"/>
      <c r="BU16" s="169"/>
      <c r="BV16" s="169"/>
      <c r="BW16" s="169"/>
      <c r="BX16" s="169"/>
      <c r="BY16" s="415"/>
      <c r="BZ16" s="169"/>
      <c r="CA16" s="169"/>
      <c r="CB16" s="169"/>
      <c r="CC16" s="169"/>
      <c r="CD16" s="415"/>
      <c r="CE16" s="169"/>
      <c r="CF16" s="169"/>
      <c r="CG16" s="169"/>
      <c r="CH16" s="169"/>
      <c r="CI16" s="415"/>
      <c r="CJ16" s="169"/>
      <c r="CK16" s="169"/>
      <c r="CL16" s="169"/>
      <c r="CM16" s="169"/>
      <c r="CN16" s="415"/>
      <c r="CO16" s="169"/>
      <c r="CP16" s="169"/>
      <c r="CQ16" s="169"/>
      <c r="CR16" s="169"/>
      <c r="CS16" s="415"/>
      <c r="CT16" s="169"/>
      <c r="CU16" s="169"/>
      <c r="CV16" s="169"/>
      <c r="CW16" s="169"/>
      <c r="CX16" s="415"/>
    </row>
    <row r="17" spans="2:110">
      <c r="B17" s="171" t="s">
        <v>408</v>
      </c>
      <c r="C17" s="420"/>
      <c r="D17" s="420"/>
      <c r="E17" s="420"/>
      <c r="F17" s="420"/>
      <c r="G17" s="415"/>
      <c r="H17" s="420"/>
      <c r="I17" s="420"/>
      <c r="J17" s="420"/>
      <c r="K17" s="420"/>
      <c r="L17" s="415"/>
      <c r="M17" s="420"/>
      <c r="N17" s="420"/>
      <c r="O17" s="420"/>
      <c r="P17" s="420"/>
      <c r="Q17" s="415"/>
      <c r="R17" s="420"/>
      <c r="S17" s="420"/>
      <c r="T17" s="420"/>
      <c r="U17" s="420"/>
      <c r="V17" s="415"/>
      <c r="W17" s="420"/>
      <c r="X17" s="420"/>
      <c r="Y17" s="420"/>
      <c r="Z17" s="420"/>
      <c r="AA17" s="415"/>
      <c r="AB17" s="420"/>
      <c r="AC17" s="420"/>
      <c r="AD17" s="420"/>
      <c r="AE17" s="420"/>
      <c r="AF17" s="415"/>
      <c r="AG17" s="169"/>
      <c r="AH17" s="169"/>
      <c r="AI17" s="169"/>
      <c r="AJ17" s="169"/>
      <c r="AK17" s="415">
        <f>'Rev-Exp'!AA79</f>
        <v>0</v>
      </c>
      <c r="AL17" s="169"/>
      <c r="AM17" s="169"/>
      <c r="AN17" s="169"/>
      <c r="AO17" s="169"/>
      <c r="AP17" s="415">
        <f>'Rev-Exp'!AF79</f>
        <v>0</v>
      </c>
      <c r="AQ17" s="169"/>
      <c r="AR17" s="169"/>
      <c r="AS17" s="169"/>
      <c r="AT17" s="169"/>
      <c r="AU17" s="415">
        <f>'Rev-Exp'!AG79</f>
        <v>0</v>
      </c>
      <c r="AV17" s="169"/>
      <c r="AW17" s="169"/>
      <c r="AX17" s="169"/>
      <c r="AY17" s="169"/>
      <c r="AZ17" s="415">
        <f>'Rev-Exp'!AH79</f>
        <v>23.88546280891358</v>
      </c>
      <c r="BA17" s="169"/>
      <c r="BB17" s="169"/>
      <c r="BC17" s="169"/>
      <c r="BD17" s="169"/>
      <c r="BE17" s="415">
        <f>'Rev-Exp'!AI79</f>
        <v>124.18222155585353</v>
      </c>
      <c r="BF17" s="169"/>
      <c r="BG17" s="169"/>
      <c r="BH17" s="169"/>
      <c r="BI17" s="169"/>
      <c r="BJ17" s="415">
        <f>'Rev-Exp'!AJ79</f>
        <v>258.13432071536943</v>
      </c>
      <c r="BK17" s="169"/>
      <c r="BL17" s="169"/>
      <c r="BM17" s="169"/>
      <c r="BN17" s="169"/>
      <c r="BO17" s="415">
        <f>'Rev-Exp'!AK79</f>
        <v>469.30595448464919</v>
      </c>
      <c r="BP17" s="169"/>
      <c r="BQ17" s="169"/>
      <c r="BR17" s="169"/>
      <c r="BS17" s="169"/>
      <c r="BT17" s="415">
        <f>'Rev-Exp'!AL79</f>
        <v>731.05444954036534</v>
      </c>
      <c r="BU17" s="169"/>
      <c r="BV17" s="169"/>
      <c r="BW17" s="169"/>
      <c r="BX17" s="169"/>
      <c r="BY17" s="415">
        <f>'Rev-Exp'!AM79</f>
        <v>948.64871169931257</v>
      </c>
      <c r="BZ17" s="169"/>
      <c r="CA17" s="169"/>
      <c r="CB17" s="169"/>
      <c r="CC17" s="169"/>
      <c r="CD17" s="415">
        <f>'Rev-Exp'!AN79</f>
        <v>1132.1511533632793</v>
      </c>
      <c r="CE17" s="169"/>
      <c r="CF17" s="169"/>
      <c r="CG17" s="169"/>
      <c r="CH17" s="169"/>
      <c r="CI17" s="415">
        <f>'Rev-Exp'!AO79</f>
        <v>1292.0074815136079</v>
      </c>
      <c r="CJ17" s="169"/>
      <c r="CK17" s="169"/>
      <c r="CL17" s="169"/>
      <c r="CM17" s="169"/>
      <c r="CN17" s="415">
        <f>'Rev-Exp'!AP79</f>
        <v>1407.0176485728603</v>
      </c>
      <c r="CO17" s="169"/>
      <c r="CP17" s="169"/>
      <c r="CQ17" s="169"/>
      <c r="CR17" s="169"/>
      <c r="CS17" s="415">
        <f>'Rev-Exp'!AQ79</f>
        <v>1531.86722190357</v>
      </c>
      <c r="CT17" s="169"/>
      <c r="CU17" s="169"/>
      <c r="CV17" s="169"/>
      <c r="CW17" s="169"/>
      <c r="CX17" s="415">
        <f>'Rev-Exp'!AR79</f>
        <v>1667.396417743148</v>
      </c>
    </row>
    <row r="18" spans="2:110">
      <c r="B18" s="171" t="s">
        <v>409</v>
      </c>
      <c r="C18" s="420"/>
      <c r="D18" s="420"/>
      <c r="E18" s="420"/>
      <c r="F18" s="420"/>
      <c r="G18" s="415"/>
      <c r="H18" s="420"/>
      <c r="I18" s="420"/>
      <c r="J18" s="420"/>
      <c r="K18" s="420"/>
      <c r="L18" s="415"/>
      <c r="M18" s="420"/>
      <c r="N18" s="420"/>
      <c r="O18" s="420"/>
      <c r="P18" s="420"/>
      <c r="Q18" s="415"/>
      <c r="R18" s="420"/>
      <c r="S18" s="420"/>
      <c r="T18" s="420"/>
      <c r="U18" s="420"/>
      <c r="V18" s="415"/>
      <c r="W18" s="420"/>
      <c r="X18" s="420"/>
      <c r="Y18" s="420"/>
      <c r="Z18" s="420"/>
      <c r="AA18" s="415"/>
      <c r="AB18" s="420"/>
      <c r="AC18" s="420"/>
      <c r="AD18" s="420"/>
      <c r="AE18" s="420"/>
      <c r="AF18" s="415"/>
      <c r="AG18" s="169"/>
      <c r="AH18" s="169"/>
      <c r="AI18" s="169"/>
      <c r="AJ18" s="169"/>
      <c r="AK18" s="415">
        <f>'Rev-Exp'!AA85</f>
        <v>0</v>
      </c>
      <c r="AL18" s="169"/>
      <c r="AM18" s="169"/>
      <c r="AN18" s="169"/>
      <c r="AO18" s="169"/>
      <c r="AP18" s="415">
        <f>'Rev-Exp'!AF85</f>
        <v>0</v>
      </c>
      <c r="AQ18" s="169"/>
      <c r="AR18" s="169"/>
      <c r="AS18" s="169"/>
      <c r="AT18" s="169"/>
      <c r="AU18" s="415">
        <f>'Rev-Exp'!AG85</f>
        <v>0</v>
      </c>
      <c r="AV18" s="169"/>
      <c r="AW18" s="169"/>
      <c r="AX18" s="169"/>
      <c r="AY18" s="169"/>
      <c r="AZ18" s="415">
        <f>'Rev-Exp'!AH85</f>
        <v>62.184274607778654</v>
      </c>
      <c r="BA18" s="169"/>
      <c r="BB18" s="169"/>
      <c r="BC18" s="169"/>
      <c r="BD18" s="169"/>
      <c r="BE18" s="415">
        <f>'Rev-Exp'!AI85</f>
        <v>159.41278914148631</v>
      </c>
      <c r="BF18" s="169"/>
      <c r="BG18" s="169"/>
      <c r="BH18" s="169"/>
      <c r="BI18" s="169"/>
      <c r="BJ18" s="415">
        <f>'Rev-Exp'!AJ85</f>
        <v>269.29416555911439</v>
      </c>
      <c r="BK18" s="169"/>
      <c r="BL18" s="169"/>
      <c r="BM18" s="169"/>
      <c r="BN18" s="169"/>
      <c r="BO18" s="415">
        <f>'Rev-Exp'!AK85</f>
        <v>429.39094620139235</v>
      </c>
      <c r="BP18" s="169"/>
      <c r="BQ18" s="169"/>
      <c r="BR18" s="169"/>
      <c r="BS18" s="169"/>
      <c r="BT18" s="415">
        <f>'Rev-Exp'!AL85</f>
        <v>643.75014049473987</v>
      </c>
      <c r="BU18" s="169"/>
      <c r="BV18" s="169"/>
      <c r="BW18" s="169"/>
      <c r="BX18" s="169"/>
      <c r="BY18" s="415">
        <f>'Rev-Exp'!AM85</f>
        <v>868.5037592049697</v>
      </c>
      <c r="BZ18" s="169"/>
      <c r="CA18" s="169"/>
      <c r="CB18" s="169"/>
      <c r="CC18" s="169"/>
      <c r="CD18" s="415">
        <f>'Rev-Exp'!AN85</f>
        <v>1062.2429627578983</v>
      </c>
      <c r="CE18" s="169"/>
      <c r="CF18" s="169"/>
      <c r="CG18" s="169"/>
      <c r="CH18" s="169"/>
      <c r="CI18" s="415">
        <f>'Rev-Exp'!AO85</f>
        <v>1221.7479381812416</v>
      </c>
      <c r="CJ18" s="169"/>
      <c r="CK18" s="169"/>
      <c r="CL18" s="169"/>
      <c r="CM18" s="169"/>
      <c r="CN18" s="415">
        <f>'Rev-Exp'!AP85</f>
        <v>1348.5547043361512</v>
      </c>
      <c r="CO18" s="169"/>
      <c r="CP18" s="169"/>
      <c r="CQ18" s="169"/>
      <c r="CR18" s="169"/>
      <c r="CS18" s="415">
        <f>'Rev-Exp'!AQ85</f>
        <v>1445.6517951349747</v>
      </c>
      <c r="CT18" s="169"/>
      <c r="CU18" s="169"/>
      <c r="CV18" s="169"/>
      <c r="CW18" s="169"/>
      <c r="CX18" s="415">
        <f>'Rev-Exp'!AR85</f>
        <v>1521.547553590879</v>
      </c>
    </row>
    <row r="19" spans="2:110">
      <c r="B19" s="171" t="s">
        <v>466</v>
      </c>
      <c r="C19" s="420"/>
      <c r="D19" s="420"/>
      <c r="E19" s="420"/>
      <c r="F19" s="420"/>
      <c r="G19" s="415"/>
      <c r="H19" s="420"/>
      <c r="I19" s="420"/>
      <c r="J19" s="420"/>
      <c r="K19" s="420"/>
      <c r="L19" s="415"/>
      <c r="M19" s="420"/>
      <c r="N19" s="420"/>
      <c r="O19" s="420"/>
      <c r="P19" s="420"/>
      <c r="Q19" s="415"/>
      <c r="R19" s="420"/>
      <c r="S19" s="420"/>
      <c r="T19" s="420"/>
      <c r="U19" s="420"/>
      <c r="V19" s="415"/>
      <c r="W19" s="420"/>
      <c r="X19" s="420"/>
      <c r="Y19" s="420"/>
      <c r="Z19" s="420"/>
      <c r="AA19" s="415"/>
      <c r="AB19" s="420"/>
      <c r="AC19" s="420"/>
      <c r="AD19" s="420"/>
      <c r="AE19" s="420"/>
      <c r="AF19" s="415"/>
      <c r="AG19" s="169"/>
      <c r="AH19" s="169"/>
      <c r="AI19" s="169"/>
      <c r="AJ19" s="169"/>
      <c r="AK19" s="415">
        <f>'Rev-Exp'!AA92</f>
        <v>0</v>
      </c>
      <c r="AL19" s="169"/>
      <c r="AM19" s="169"/>
      <c r="AN19" s="169"/>
      <c r="AO19" s="169"/>
      <c r="AP19" s="415">
        <f>'Rev-Exp'!AF92</f>
        <v>0</v>
      </c>
      <c r="AQ19" s="169"/>
      <c r="AR19" s="169"/>
      <c r="AS19" s="169"/>
      <c r="AT19" s="169"/>
      <c r="AU19" s="415">
        <f>'Rev-Exp'!AG92</f>
        <v>0</v>
      </c>
      <c r="AV19" s="169"/>
      <c r="AW19" s="169"/>
      <c r="AX19" s="169"/>
      <c r="AY19" s="169"/>
      <c r="AZ19" s="415">
        <f>'Rev-Exp'!AH92</f>
        <v>10.551651052720155</v>
      </c>
      <c r="BA19" s="169"/>
      <c r="BB19" s="169"/>
      <c r="BC19" s="169"/>
      <c r="BD19" s="169"/>
      <c r="BE19" s="415">
        <f>'Rev-Exp'!AI92</f>
        <v>32.762686996335923</v>
      </c>
      <c r="BF19" s="169"/>
      <c r="BG19" s="169"/>
      <c r="BH19" s="169"/>
      <c r="BI19" s="169"/>
      <c r="BJ19" s="415">
        <f>'Rev-Exp'!AJ92</f>
        <v>55.863790454040156</v>
      </c>
      <c r="BK19" s="169"/>
      <c r="BL19" s="169"/>
      <c r="BM19" s="169"/>
      <c r="BN19" s="169"/>
      <c r="BO19" s="415">
        <f>'Rev-Exp'!AK92</f>
        <v>79.896723627384517</v>
      </c>
      <c r="BP19" s="169"/>
      <c r="BQ19" s="169"/>
      <c r="BR19" s="169"/>
      <c r="BS19" s="169"/>
      <c r="BT19" s="415">
        <f>'Rev-Exp'!AL92</f>
        <v>104.80542799485914</v>
      </c>
      <c r="BU19" s="169"/>
      <c r="BV19" s="169"/>
      <c r="BW19" s="169"/>
      <c r="BX19" s="169"/>
      <c r="BY19" s="415">
        <f>'Rev-Exp'!AM92</f>
        <v>130.74546755915702</v>
      </c>
      <c r="BZ19" s="169"/>
      <c r="CA19" s="169"/>
      <c r="CB19" s="169"/>
      <c r="CC19" s="169"/>
      <c r="CD19" s="415">
        <f>'Rev-Exp'!AN92</f>
        <v>171.29520370767793</v>
      </c>
      <c r="CE19" s="169"/>
      <c r="CF19" s="169"/>
      <c r="CG19" s="169"/>
      <c r="CH19" s="169"/>
      <c r="CI19" s="415">
        <f>'Rev-Exp'!AO92</f>
        <v>213.40872489839666</v>
      </c>
      <c r="CJ19" s="169"/>
      <c r="CK19" s="169"/>
      <c r="CL19" s="169"/>
      <c r="CM19" s="169"/>
      <c r="CN19" s="415">
        <f>'Rev-Exp'!AP92</f>
        <v>230.11554471069999</v>
      </c>
      <c r="CO19" s="169"/>
      <c r="CP19" s="169"/>
      <c r="CQ19" s="169"/>
      <c r="CR19" s="169"/>
      <c r="CS19" s="415">
        <f>'Rev-Exp'!AQ92</f>
        <v>246.25410237864227</v>
      </c>
      <c r="CT19" s="169"/>
      <c r="CU19" s="169"/>
      <c r="CV19" s="169"/>
      <c r="CW19" s="169"/>
      <c r="CX19" s="415">
        <f>'Rev-Exp'!AR92</f>
        <v>263.01730858597398</v>
      </c>
    </row>
    <row r="20" spans="2:110">
      <c r="B20" s="414" t="s">
        <v>379</v>
      </c>
      <c r="C20" s="421">
        <v>0.125</v>
      </c>
      <c r="D20" s="421">
        <v>0.153</v>
      </c>
      <c r="E20" s="421">
        <v>9.7000000000000003E-2</v>
      </c>
      <c r="F20" s="421">
        <v>9.2999999999999999E-2</v>
      </c>
      <c r="G20" s="414">
        <f t="shared" si="5"/>
        <v>0.46799999999999997</v>
      </c>
      <c r="H20" s="421">
        <v>9.6000000000000002E-2</v>
      </c>
      <c r="I20" s="421">
        <v>0.42299999999999999</v>
      </c>
      <c r="J20" s="421">
        <v>1.21</v>
      </c>
      <c r="K20" s="421">
        <v>0.22600000000000001</v>
      </c>
      <c r="L20" s="414">
        <f t="shared" si="6"/>
        <v>1.9550000000000001</v>
      </c>
      <c r="M20" s="421">
        <v>0.13500000000000001</v>
      </c>
      <c r="N20" s="421">
        <v>0.88900000000000001</v>
      </c>
      <c r="O20" s="421">
        <v>1.754</v>
      </c>
      <c r="P20" s="421">
        <v>1.1399999999999999</v>
      </c>
      <c r="Q20" s="414">
        <f t="shared" si="7"/>
        <v>3.9180000000000001</v>
      </c>
      <c r="R20" s="421">
        <v>0.41499999999999998</v>
      </c>
      <c r="S20" s="421">
        <v>0.50600000000000001</v>
      </c>
      <c r="T20" s="421">
        <v>0.35299999999999998</v>
      </c>
      <c r="U20" s="421">
        <v>0.318</v>
      </c>
      <c r="V20" s="414">
        <f t="shared" si="8"/>
        <v>1.5920000000000001</v>
      </c>
      <c r="W20" s="420">
        <v>0.376</v>
      </c>
      <c r="X20" s="420">
        <v>0.34200000000000003</v>
      </c>
      <c r="Y20" s="420">
        <v>0.13100000000000001</v>
      </c>
      <c r="Z20" s="420">
        <v>0.16900000000000001</v>
      </c>
      <c r="AA20" s="414">
        <f t="shared" si="9"/>
        <v>1.018</v>
      </c>
      <c r="AB20" s="420">
        <v>0.23300000000000001</v>
      </c>
      <c r="AC20" s="420">
        <v>0</v>
      </c>
      <c r="AD20" s="420">
        <v>1E-3</v>
      </c>
      <c r="AE20" s="420">
        <v>0</v>
      </c>
      <c r="AF20" s="415">
        <f>AE20+AD20+AC20+AB20</f>
        <v>0.23400000000000001</v>
      </c>
      <c r="AG20" s="420">
        <v>0</v>
      </c>
      <c r="AH20" s="420">
        <v>0</v>
      </c>
      <c r="AI20" s="420">
        <v>0</v>
      </c>
      <c r="AJ20" s="420">
        <v>0</v>
      </c>
      <c r="AK20" s="415">
        <f>AJ20+AI20+AH20+AG20</f>
        <v>0</v>
      </c>
      <c r="AL20" s="420">
        <v>0</v>
      </c>
      <c r="AM20" s="420">
        <v>0</v>
      </c>
      <c r="AN20" s="420">
        <v>0</v>
      </c>
      <c r="AO20" s="420">
        <v>0</v>
      </c>
      <c r="AP20" s="415">
        <f>AK20</f>
        <v>0</v>
      </c>
      <c r="AQ20" s="420"/>
      <c r="AR20" s="420"/>
      <c r="AS20" s="420"/>
      <c r="AT20" s="420"/>
      <c r="AU20" s="415">
        <f>AP20</f>
        <v>0</v>
      </c>
      <c r="AV20" s="420"/>
      <c r="AW20" s="420"/>
      <c r="AX20" s="420"/>
      <c r="AY20" s="420"/>
      <c r="AZ20" s="415">
        <f>AU20</f>
        <v>0</v>
      </c>
      <c r="BA20" s="420"/>
      <c r="BB20" s="420"/>
      <c r="BC20" s="420"/>
      <c r="BD20" s="420"/>
      <c r="BE20" s="415">
        <f>AZ20</f>
        <v>0</v>
      </c>
      <c r="BF20" s="420"/>
      <c r="BG20" s="420"/>
      <c r="BH20" s="420"/>
      <c r="BI20" s="420"/>
      <c r="BJ20" s="415">
        <f>BE20</f>
        <v>0</v>
      </c>
      <c r="BK20" s="420"/>
      <c r="BL20" s="420"/>
      <c r="BM20" s="420"/>
      <c r="BN20" s="420"/>
      <c r="BO20" s="415">
        <f>BJ20</f>
        <v>0</v>
      </c>
      <c r="BP20" s="420"/>
      <c r="BQ20" s="420"/>
      <c r="BR20" s="420"/>
      <c r="BS20" s="420"/>
      <c r="BT20" s="415">
        <f>BO20</f>
        <v>0</v>
      </c>
      <c r="BU20" s="420"/>
      <c r="BV20" s="420"/>
      <c r="BW20" s="420"/>
      <c r="BX20" s="420"/>
      <c r="BY20" s="415">
        <f>BT20</f>
        <v>0</v>
      </c>
      <c r="BZ20" s="420"/>
      <c r="CA20" s="420"/>
      <c r="CB20" s="420"/>
      <c r="CC20" s="420"/>
      <c r="CD20" s="415">
        <f>BY20</f>
        <v>0</v>
      </c>
      <c r="CE20" s="420"/>
      <c r="CF20" s="420"/>
      <c r="CG20" s="420"/>
      <c r="CH20" s="420"/>
      <c r="CI20" s="415">
        <f>CD20</f>
        <v>0</v>
      </c>
      <c r="CJ20" s="420"/>
      <c r="CK20" s="420"/>
      <c r="CL20" s="420"/>
      <c r="CM20" s="420"/>
      <c r="CN20" s="415">
        <f>CI20</f>
        <v>0</v>
      </c>
      <c r="CO20" s="420"/>
      <c r="CP20" s="420"/>
      <c r="CQ20" s="420"/>
      <c r="CR20" s="420"/>
      <c r="CS20" s="415">
        <f>CN20</f>
        <v>0</v>
      </c>
      <c r="CT20" s="420"/>
      <c r="CU20" s="420"/>
      <c r="CV20" s="420"/>
      <c r="CW20" s="420"/>
      <c r="CX20" s="415">
        <f>CS20</f>
        <v>0</v>
      </c>
    </row>
    <row r="21" spans="2:110">
      <c r="B21" s="414" t="s">
        <v>380</v>
      </c>
      <c r="C21" s="421">
        <v>0.255</v>
      </c>
      <c r="D21" s="421">
        <v>0.86199999999999999</v>
      </c>
      <c r="E21" s="421">
        <v>0.437</v>
      </c>
      <c r="F21" s="421">
        <v>1.6890000000000001</v>
      </c>
      <c r="G21" s="414">
        <f t="shared" si="5"/>
        <v>3.2430000000000003</v>
      </c>
      <c r="H21" s="421">
        <v>0.314</v>
      </c>
      <c r="I21" s="421">
        <v>0.60499999999999998</v>
      </c>
      <c r="J21" s="421">
        <v>0.59699999999999998</v>
      </c>
      <c r="K21" s="421">
        <v>0.755</v>
      </c>
      <c r="L21" s="414">
        <f t="shared" si="6"/>
        <v>2.2709999999999999</v>
      </c>
      <c r="M21" s="421">
        <v>0.44900000000000001</v>
      </c>
      <c r="N21" s="421">
        <v>3.5209999999999999</v>
      </c>
      <c r="O21" s="421">
        <v>0.79</v>
      </c>
      <c r="P21" s="421">
        <v>1.4470000000000001</v>
      </c>
      <c r="Q21" s="414">
        <f t="shared" si="7"/>
        <v>6.2069999999999999</v>
      </c>
      <c r="R21" s="421">
        <v>2.133</v>
      </c>
      <c r="S21" s="421">
        <v>3.0369999999999999</v>
      </c>
      <c r="T21" s="421">
        <v>2.78</v>
      </c>
      <c r="U21" s="421">
        <v>1.9990000000000001</v>
      </c>
      <c r="V21" s="414">
        <f t="shared" si="8"/>
        <v>9.9489999999999998</v>
      </c>
      <c r="W21" s="420">
        <v>1.232</v>
      </c>
      <c r="X21" s="420">
        <v>0.77</v>
      </c>
      <c r="Y21" s="420">
        <v>1.006</v>
      </c>
      <c r="Z21" s="420">
        <v>1.347</v>
      </c>
      <c r="AA21" s="414">
        <f t="shared" si="9"/>
        <v>4.3550000000000004</v>
      </c>
      <c r="AB21" s="420">
        <v>1.1459999999999999</v>
      </c>
      <c r="AC21" s="420">
        <v>1.5549999999999999</v>
      </c>
      <c r="AD21" s="420">
        <v>1.633</v>
      </c>
      <c r="AE21" s="420">
        <v>1.905</v>
      </c>
      <c r="AF21" s="415">
        <f>AE21+AD21+AC21+AB21</f>
        <v>6.2389999999999999</v>
      </c>
      <c r="AG21" s="420">
        <v>1.5549999999999999</v>
      </c>
      <c r="AH21" s="420">
        <v>1.522</v>
      </c>
      <c r="AI21" s="420">
        <v>3.9</v>
      </c>
      <c r="AJ21" s="420">
        <v>4.8</v>
      </c>
      <c r="AK21" s="415">
        <f>AJ21+AI21+AH21+AG21</f>
        <v>11.776999999999999</v>
      </c>
      <c r="AL21" s="420">
        <v>1.5</v>
      </c>
      <c r="AM21" s="420">
        <v>1.75</v>
      </c>
      <c r="AN21" s="420">
        <v>2</v>
      </c>
      <c r="AO21" s="420">
        <f>AP21-SUM(AL21:AN21)</f>
        <v>2.25</v>
      </c>
      <c r="AP21" s="415">
        <v>7.5</v>
      </c>
      <c r="AQ21" s="420"/>
      <c r="AR21" s="420"/>
      <c r="AS21" s="420"/>
      <c r="AT21" s="420"/>
      <c r="AU21" s="415">
        <v>7.5</v>
      </c>
      <c r="AV21" s="420"/>
      <c r="AW21" s="420"/>
      <c r="AX21" s="420"/>
      <c r="AY21" s="420"/>
      <c r="AZ21" s="415">
        <v>7.5</v>
      </c>
      <c r="BA21" s="420"/>
      <c r="BB21" s="420"/>
      <c r="BC21" s="420"/>
      <c r="BD21" s="420"/>
      <c r="BE21" s="415">
        <v>7.5</v>
      </c>
      <c r="BF21" s="420"/>
      <c r="BG21" s="420"/>
      <c r="BH21" s="420"/>
      <c r="BI21" s="420"/>
      <c r="BJ21" s="415">
        <v>7.5</v>
      </c>
      <c r="BK21" s="420"/>
      <c r="BL21" s="420"/>
      <c r="BM21" s="420"/>
      <c r="BN21" s="420"/>
      <c r="BO21" s="415">
        <v>7.5</v>
      </c>
      <c r="BP21" s="420"/>
      <c r="BQ21" s="420"/>
      <c r="BR21" s="420"/>
      <c r="BS21" s="420"/>
      <c r="BT21" s="415">
        <v>7.5</v>
      </c>
      <c r="BU21" s="420"/>
      <c r="BV21" s="420"/>
      <c r="BW21" s="420"/>
      <c r="BX21" s="420"/>
      <c r="BY21" s="415">
        <v>7.5</v>
      </c>
      <c r="BZ21" s="420"/>
      <c r="CA21" s="420"/>
      <c r="CB21" s="420"/>
      <c r="CC21" s="420"/>
      <c r="CD21" s="415">
        <v>7.5</v>
      </c>
      <c r="CE21" s="420"/>
      <c r="CF21" s="420"/>
      <c r="CG21" s="420"/>
      <c r="CH21" s="420"/>
      <c r="CI21" s="415">
        <v>7.5</v>
      </c>
      <c r="CJ21" s="420"/>
      <c r="CK21" s="420"/>
      <c r="CL21" s="420"/>
      <c r="CM21" s="420"/>
      <c r="CN21" s="415">
        <v>7.5</v>
      </c>
      <c r="CO21" s="420"/>
      <c r="CP21" s="420"/>
      <c r="CQ21" s="420"/>
      <c r="CR21" s="420"/>
      <c r="CS21" s="415">
        <v>7.5</v>
      </c>
      <c r="CT21" s="420"/>
      <c r="CU21" s="420"/>
      <c r="CV21" s="420"/>
      <c r="CW21" s="420"/>
      <c r="CX21" s="415">
        <v>7.5</v>
      </c>
    </row>
    <row r="22" spans="2:110" s="172" customFormat="1">
      <c r="B22" s="173" t="s">
        <v>32</v>
      </c>
      <c r="C22" s="417">
        <f t="shared" ref="C22:D22" si="10">C21+C20+C5</f>
        <v>109.45599999999999</v>
      </c>
      <c r="D22" s="417">
        <f t="shared" si="10"/>
        <v>110.631</v>
      </c>
      <c r="E22" s="417">
        <f t="shared" ref="E22:AD22" si="11">E21+E20+E5</f>
        <v>113.42500000000001</v>
      </c>
      <c r="F22" s="417">
        <f t="shared" ref="F22" si="12">F21+F20+F5</f>
        <v>107.84599999999999</v>
      </c>
      <c r="G22" s="174">
        <f t="shared" si="11"/>
        <v>441.35800000000006</v>
      </c>
      <c r="H22" s="417">
        <f t="shared" si="11"/>
        <v>116.649</v>
      </c>
      <c r="I22" s="417">
        <f t="shared" si="11"/>
        <v>124.01900000000001</v>
      </c>
      <c r="J22" s="417">
        <f t="shared" si="11"/>
        <v>128.11699999999999</v>
      </c>
      <c r="K22" s="417">
        <f t="shared" si="11"/>
        <v>131.93799999999999</v>
      </c>
      <c r="L22" s="174">
        <f t="shared" si="11"/>
        <v>500.72300000000001</v>
      </c>
      <c r="M22" s="417">
        <f>M21+M20+M5</f>
        <v>127.928</v>
      </c>
      <c r="N22" s="417">
        <f t="shared" si="11"/>
        <v>136.81</v>
      </c>
      <c r="O22" s="417">
        <f t="shared" si="11"/>
        <v>136.874</v>
      </c>
      <c r="P22" s="417">
        <f t="shared" si="11"/>
        <v>146.91700000000003</v>
      </c>
      <c r="Q22" s="174">
        <f t="shared" si="11"/>
        <v>548.529</v>
      </c>
      <c r="R22" s="417">
        <f t="shared" si="11"/>
        <v>151.55199999999999</v>
      </c>
      <c r="S22" s="417">
        <f t="shared" si="11"/>
        <v>191.78700000000001</v>
      </c>
      <c r="T22" s="417">
        <f>T21+T20+T5</f>
        <v>176.54900000000001</v>
      </c>
      <c r="U22" s="417">
        <f t="shared" si="11"/>
        <v>230.06900000000002</v>
      </c>
      <c r="V22" s="174">
        <f t="shared" ref="V22" si="13">V21+V20+V5</f>
        <v>749.95699999999999</v>
      </c>
      <c r="W22" s="417">
        <f t="shared" si="11"/>
        <v>202.92000000000002</v>
      </c>
      <c r="X22" s="417">
        <f t="shared" si="11"/>
        <v>250.13499999999999</v>
      </c>
      <c r="Y22" s="417">
        <f t="shared" si="11"/>
        <v>208.90399999999997</v>
      </c>
      <c r="Z22" s="417">
        <f t="shared" si="11"/>
        <v>227.93599999999998</v>
      </c>
      <c r="AA22" s="174">
        <f t="shared" si="11"/>
        <v>889.89499999999998</v>
      </c>
      <c r="AB22" s="417">
        <f t="shared" si="11"/>
        <v>236.73599999999999</v>
      </c>
      <c r="AC22" s="417">
        <f t="shared" si="11"/>
        <v>300.13100000000003</v>
      </c>
      <c r="AD22" s="417">
        <f t="shared" si="11"/>
        <v>279.89600000000002</v>
      </c>
      <c r="AE22" s="417">
        <f>AE5+AE20+AE21</f>
        <v>300.09099999999995</v>
      </c>
      <c r="AF22" s="724">
        <f>AF5+AF20+AF21</f>
        <v>1116.854</v>
      </c>
      <c r="AG22" s="723">
        <v>303.745</v>
      </c>
      <c r="AH22" s="723">
        <f t="shared" ref="AH22:AO22" si="14">AH5+AH20+AH21</f>
        <v>317.44799999999998</v>
      </c>
      <c r="AI22" s="723">
        <f t="shared" si="14"/>
        <v>302.7</v>
      </c>
      <c r="AJ22" s="723">
        <f t="shared" si="14"/>
        <v>358.30000000000007</v>
      </c>
      <c r="AK22" s="724">
        <f>AK5+AK20+AK21</f>
        <v>1282.1669999999999</v>
      </c>
      <c r="AL22" s="723">
        <f t="shared" si="14"/>
        <v>344.74628276702003</v>
      </c>
      <c r="AM22" s="723">
        <f t="shared" si="14"/>
        <v>363.34724151145474</v>
      </c>
      <c r="AN22" s="723">
        <f t="shared" si="14"/>
        <v>345.49216359470597</v>
      </c>
      <c r="AO22" s="723">
        <f t="shared" si="14"/>
        <v>426.28378935271519</v>
      </c>
      <c r="AP22" s="724">
        <f>AP5+AP20+AP21</f>
        <v>1479.8694772258959</v>
      </c>
      <c r="AQ22" s="723"/>
      <c r="AR22" s="723"/>
      <c r="AS22" s="723"/>
      <c r="AT22" s="723"/>
      <c r="AU22" s="724">
        <f>AU5+AU20+AU21</f>
        <v>1675.8345145730339</v>
      </c>
      <c r="AV22" s="723"/>
      <c r="AW22" s="723"/>
      <c r="AX22" s="723"/>
      <c r="AY22" s="723"/>
      <c r="AZ22" s="724">
        <f>AZ5+AZ20+AZ21</f>
        <v>2009.8225494283015</v>
      </c>
      <c r="BA22" s="723"/>
      <c r="BB22" s="723"/>
      <c r="BC22" s="723"/>
      <c r="BD22" s="723"/>
      <c r="BE22" s="724">
        <f>BE5+BE20+BE21</f>
        <v>2391.795277485222</v>
      </c>
      <c r="BF22" s="723"/>
      <c r="BG22" s="723"/>
      <c r="BH22" s="723"/>
      <c r="BI22" s="723"/>
      <c r="BJ22" s="724">
        <f>BJ5+BJ20+BJ21</f>
        <v>2781.6591434742204</v>
      </c>
      <c r="BK22" s="723"/>
      <c r="BL22" s="723"/>
      <c r="BM22" s="723"/>
      <c r="BN22" s="723"/>
      <c r="BO22" s="724">
        <f>BO5+BO20+BO21</f>
        <v>3199.0145548818527</v>
      </c>
      <c r="BP22" s="723"/>
      <c r="BQ22" s="723"/>
      <c r="BR22" s="723"/>
      <c r="BS22" s="723"/>
      <c r="BT22" s="724">
        <f>BT5+BT20+BT21</f>
        <v>3683.9331419503533</v>
      </c>
      <c r="BU22" s="723"/>
      <c r="BV22" s="723"/>
      <c r="BW22" s="723"/>
      <c r="BX22" s="723"/>
      <c r="BY22" s="724">
        <f>BY5+BY20+BY21</f>
        <v>4199.75684543651</v>
      </c>
      <c r="BZ22" s="723"/>
      <c r="CA22" s="723"/>
      <c r="CB22" s="723"/>
      <c r="CC22" s="723"/>
      <c r="CD22" s="724">
        <f>CD5+CD20+CD21</f>
        <v>4670.1265567018136</v>
      </c>
      <c r="CE22" s="723"/>
      <c r="CF22" s="723"/>
      <c r="CG22" s="723"/>
      <c r="CH22" s="723"/>
      <c r="CI22" s="724">
        <f>CI5+CI20+CI21</f>
        <v>5075.7839688990825</v>
      </c>
      <c r="CJ22" s="723"/>
      <c r="CK22" s="723"/>
      <c r="CL22" s="723"/>
      <c r="CM22" s="723"/>
      <c r="CN22" s="724">
        <f>CN5+CN20+CN21</f>
        <v>5366.9602253667254</v>
      </c>
      <c r="CO22" s="723"/>
      <c r="CP22" s="723"/>
      <c r="CQ22" s="723"/>
      <c r="CR22" s="723"/>
      <c r="CS22" s="724">
        <f>CS5+CS20+CS21</f>
        <v>5683.8724858604055</v>
      </c>
      <c r="CT22" s="723"/>
      <c r="CU22" s="723"/>
      <c r="CV22" s="723"/>
      <c r="CW22" s="723"/>
      <c r="CX22" s="724">
        <f>CX5+CX20+CX21</f>
        <v>5993.8798681672597</v>
      </c>
      <c r="DA22"/>
      <c r="DB22"/>
      <c r="DC22"/>
      <c r="DD22"/>
      <c r="DE22"/>
      <c r="DF22"/>
    </row>
    <row r="23" spans="2:110" s="172" customFormat="1" ht="14.25" outlineLevel="1" thickBot="1">
      <c r="B23" s="722" t="s">
        <v>573</v>
      </c>
      <c r="C23" s="722"/>
      <c r="D23" s="722"/>
      <c r="E23" s="722"/>
      <c r="F23" s="722"/>
      <c r="G23" s="722"/>
      <c r="H23" s="722"/>
      <c r="I23" s="722"/>
      <c r="J23" s="722"/>
      <c r="K23" s="722"/>
      <c r="L23" s="722"/>
      <c r="M23" s="722"/>
      <c r="N23" s="722"/>
      <c r="O23" s="722"/>
      <c r="P23" s="722"/>
      <c r="Q23" s="722"/>
      <c r="R23" s="722"/>
      <c r="S23" s="722"/>
      <c r="T23" s="722"/>
      <c r="U23" s="722"/>
      <c r="V23" s="722"/>
      <c r="W23" s="722"/>
      <c r="X23" s="722"/>
      <c r="Y23" s="722"/>
      <c r="Z23" s="722"/>
      <c r="AA23" s="722"/>
      <c r="AB23" s="722"/>
      <c r="AC23" s="722"/>
      <c r="AD23" s="722"/>
      <c r="AE23" s="722"/>
      <c r="AF23" s="722"/>
      <c r="AG23" s="722"/>
      <c r="AH23" s="722"/>
      <c r="AI23" s="722"/>
      <c r="AJ23" s="722"/>
      <c r="AK23" s="722"/>
      <c r="AL23" s="722">
        <f>_xll.TR($DH$1,"TR.RevenueMean","Period=#1 Curn=#2 Scale=6 Null=-",,LEFT(AL$2,1)&amp;"CQ20"&amp;MID(AL$2,3,2),$DH$2)</f>
        <v>348.56706000000003</v>
      </c>
      <c r="AM23" s="722">
        <f>_xll.TR($DH$1,"TR.RevenueMean","Period=#1 Curn=#2 Scale=6 Null=-",,LEFT(AM$2,1)&amp;"CQ20"&amp;MID(AM$2,3,2),$DH$2)</f>
        <v>364.05029000000002</v>
      </c>
      <c r="AN23" s="722">
        <f>_xll.TR($DH$1,"TR.RevenueMean","Period=#1 Curn=#2 Scale=6 Null=-",,LEFT(AN$2,1)&amp;"CQ20"&amp;MID(AN$2,3,2),$DH$2)</f>
        <v>373.59746999999999</v>
      </c>
      <c r="AO23" s="722">
        <f>_xll.TR($DH$1,"TR.RevenueMean","Period=#1 Curn=#2 Scale=6 Null=-",,LEFT(AO$2,1)&amp;"CQ20"&amp;MID(AO$2,3,2),$DH$2)</f>
        <v>402.76265000000001</v>
      </c>
      <c r="AP23" s="722">
        <f>_xll.TR($DH$1,"AVAIL(TR.RevenueMean(Methodology=WeightedAnnual),TR.RevenueMean(Methodology=InterimSum))","Period=#1 Curn=#2 Scale=6 Null=-",,"CY"&amp;LEFT(AP$2,4),$DH$2)</f>
        <v>1491.8140000000001</v>
      </c>
      <c r="AQ23" s="722"/>
      <c r="AR23" s="722"/>
      <c r="AS23" s="722"/>
      <c r="AT23" s="722"/>
      <c r="AU23" s="722">
        <f>_xll.TR($DH$1,"AVAIL(TR.RevenueMean(Methodology=WeightedAnnual),TR.RevenueMean(Methodology=InterimSum))","Period=#1 Curn=#2 Scale=6 Null=-",,"CY"&amp;LEFT(AU$2,4),$DH$2)</f>
        <v>1735.6031800000001</v>
      </c>
      <c r="AV23" s="722"/>
      <c r="AW23" s="722"/>
      <c r="AX23" s="722"/>
      <c r="AY23" s="722"/>
      <c r="AZ23" s="722">
        <f>_xll.TR($DH$1,"AVAIL(TR.RevenueMean(Methodology=WeightedAnnual),TR.RevenueMean(Methodology=InterimSum))","Period=#1 Curn=#2 Scale=6 Null=-",,"CY"&amp;LEFT(AZ$2,4),$DH$2)</f>
        <v>2032.09195</v>
      </c>
      <c r="BA23" s="722" t="str">
        <f>_xll.TR($DH$1,"TR.RevenueMean","Period=#1 Curn=#2 Scale=6 Null=-",,LEFT(BA$2,1)&amp;"CQ20"&amp;MID(BA$2,3,2),$DH$2)</f>
        <v>-</v>
      </c>
      <c r="BB23" s="722" t="str">
        <f>_xll.TR($DH$1,"TR.RevenueMean","Period=#1 Curn=#2 Scale=6 Null=-",,LEFT(BB$2,1)&amp;"CQ20"&amp;MID(BB$2,3,2),$DH$2)</f>
        <v>-</v>
      </c>
      <c r="BC23" s="722" t="str">
        <f>_xll.TR($DH$1,"TR.RevenueMean","Period=#1 Curn=#2 Scale=6 Null=-",,LEFT(BC$2,1)&amp;"CQ20"&amp;MID(BC$2,3,2),$DH$2)</f>
        <v>-</v>
      </c>
      <c r="BD23" s="722" t="str">
        <f>_xll.TR($DH$1,"TR.RevenueMean","Period=#1 Curn=#2 Scale=6 Null=-",,LEFT(BD$2,1)&amp;"CQ20"&amp;MID(BD$2,3,2),$DH$2)</f>
        <v>-</v>
      </c>
      <c r="BE23" s="722"/>
      <c r="BF23" s="722"/>
      <c r="BG23" s="722"/>
      <c r="BH23" s="722"/>
      <c r="BI23" s="722"/>
      <c r="BJ23" s="722"/>
      <c r="BK23" s="722"/>
      <c r="BL23" s="722"/>
      <c r="BM23" s="722"/>
      <c r="BN23" s="722"/>
      <c r="BO23" s="722"/>
      <c r="BP23" s="722"/>
      <c r="BQ23" s="722"/>
      <c r="BR23" s="722"/>
      <c r="BS23" s="722"/>
      <c r="BT23" s="722"/>
      <c r="BU23" s="722"/>
      <c r="BV23" s="722"/>
      <c r="BW23" s="722"/>
      <c r="BX23" s="722"/>
      <c r="BY23" s="722"/>
      <c r="BZ23" s="722"/>
      <c r="CA23" s="722"/>
      <c r="CB23" s="722"/>
      <c r="CC23" s="722"/>
      <c r="CD23" s="722"/>
      <c r="CE23" s="722"/>
      <c r="CF23" s="722"/>
      <c r="CG23" s="722"/>
      <c r="CH23" s="722"/>
      <c r="CI23" s="722"/>
      <c r="CJ23" s="722"/>
      <c r="CK23" s="722"/>
      <c r="CL23" s="722"/>
      <c r="CM23" s="722"/>
      <c r="CN23" s="722"/>
      <c r="CO23" s="722"/>
      <c r="CP23" s="722"/>
      <c r="CQ23" s="722"/>
      <c r="CR23" s="722"/>
      <c r="CS23" s="722"/>
      <c r="CT23" s="722"/>
      <c r="CU23" s="722"/>
      <c r="CV23" s="722"/>
      <c r="CW23" s="722"/>
      <c r="CX23" s="722"/>
      <c r="DA23"/>
      <c r="DB23"/>
      <c r="DC23"/>
      <c r="DD23"/>
      <c r="DE23"/>
      <c r="DF23"/>
    </row>
    <row r="24" spans="2:110" s="172" customFormat="1" ht="14.25" thickBot="1">
      <c r="B24" s="175"/>
      <c r="C24" s="176"/>
      <c r="D24" s="176"/>
      <c r="E24" s="176"/>
      <c r="F24" s="176"/>
      <c r="G24" s="177"/>
      <c r="H24" s="432"/>
      <c r="I24" s="176"/>
      <c r="J24" s="176"/>
      <c r="K24" s="176"/>
      <c r="L24" s="177"/>
      <c r="M24" s="176"/>
      <c r="N24" s="176"/>
      <c r="O24" s="176"/>
      <c r="P24" s="176"/>
      <c r="Q24" s="177"/>
      <c r="R24" s="176"/>
      <c r="S24" s="176"/>
      <c r="T24" s="176"/>
      <c r="U24" s="176"/>
      <c r="V24" s="177"/>
      <c r="W24" s="422"/>
      <c r="X24" s="422"/>
      <c r="Y24" s="422"/>
      <c r="Z24" s="422"/>
      <c r="AA24" s="177"/>
      <c r="AB24" s="422"/>
      <c r="AC24" s="422"/>
      <c r="AD24" s="422"/>
      <c r="AE24" s="422"/>
      <c r="AF24" s="178"/>
      <c r="AG24" s="422"/>
      <c r="AH24" s="422"/>
      <c r="AI24" s="420"/>
      <c r="AJ24" s="420"/>
      <c r="AK24" s="415"/>
      <c r="AL24" s="422"/>
      <c r="AM24" s="422"/>
      <c r="AN24" s="711" t="s">
        <v>568</v>
      </c>
      <c r="AO24" s="712"/>
      <c r="AP24" s="713" t="s">
        <v>615</v>
      </c>
      <c r="AQ24" s="422"/>
      <c r="AR24" s="422"/>
      <c r="AS24" s="422"/>
      <c r="AT24" s="422"/>
      <c r="AU24" s="178"/>
      <c r="AV24" s="422"/>
      <c r="AW24" s="422"/>
      <c r="AX24" s="422"/>
      <c r="AY24" s="422"/>
      <c r="AZ24" s="178"/>
      <c r="BA24" s="422"/>
      <c r="BB24" s="422"/>
      <c r="BC24" s="422"/>
      <c r="BD24" s="422"/>
      <c r="BE24" s="178"/>
      <c r="BF24" s="422"/>
      <c r="BG24" s="422"/>
      <c r="BH24" s="422"/>
      <c r="BI24" s="422"/>
      <c r="BJ24" s="178"/>
      <c r="BK24" s="422"/>
      <c r="BL24" s="422"/>
      <c r="BM24" s="422"/>
      <c r="BN24" s="422"/>
      <c r="BO24" s="178"/>
      <c r="BP24" s="422"/>
      <c r="BQ24" s="422"/>
      <c r="BR24" s="422"/>
      <c r="BS24" s="422"/>
      <c r="BT24" s="178"/>
      <c r="BU24" s="422"/>
      <c r="BV24" s="422"/>
      <c r="BW24" s="422"/>
      <c r="BX24" s="422"/>
      <c r="BY24" s="178"/>
      <c r="BZ24" s="422"/>
      <c r="CA24" s="422"/>
      <c r="CB24" s="422"/>
      <c r="CC24" s="422"/>
      <c r="CD24" s="178"/>
      <c r="CE24" s="422"/>
      <c r="CF24" s="422"/>
      <c r="CG24" s="422"/>
      <c r="CH24" s="422"/>
      <c r="CI24" s="178"/>
      <c r="CJ24" s="422"/>
      <c r="CK24" s="422"/>
      <c r="CL24" s="422"/>
      <c r="CM24" s="422"/>
      <c r="CN24" s="178"/>
      <c r="CO24" s="422"/>
      <c r="CP24" s="422"/>
      <c r="CQ24" s="422"/>
      <c r="CR24" s="422"/>
      <c r="CS24" s="178"/>
      <c r="CT24" s="422"/>
      <c r="CU24" s="422"/>
      <c r="CV24" s="422"/>
      <c r="CW24" s="422"/>
      <c r="CX24" s="178"/>
      <c r="DA24"/>
      <c r="DB24"/>
      <c r="DC24"/>
      <c r="DD24"/>
      <c r="DE24"/>
      <c r="DF24"/>
    </row>
    <row r="25" spans="2:110" s="179" customFormat="1">
      <c r="B25" s="180"/>
      <c r="C25" s="181"/>
      <c r="D25" s="181"/>
      <c r="E25" s="181"/>
      <c r="F25" s="181"/>
      <c r="G25" s="182"/>
      <c r="H25" s="181"/>
      <c r="I25" s="181"/>
      <c r="J25" s="181"/>
      <c r="K25" s="181"/>
      <c r="L25" s="182"/>
      <c r="M25" s="181"/>
      <c r="N25" s="181"/>
      <c r="O25" s="181"/>
      <c r="P25" s="181"/>
      <c r="Q25" s="182"/>
      <c r="R25" s="181"/>
      <c r="S25" s="181"/>
      <c r="T25" s="181"/>
      <c r="U25" s="181"/>
      <c r="V25" s="182"/>
      <c r="W25" s="183"/>
      <c r="X25" s="183"/>
      <c r="Y25" s="183"/>
      <c r="Z25" s="183"/>
      <c r="AA25" s="182"/>
      <c r="AB25" s="183"/>
      <c r="AC25" s="183"/>
      <c r="AD25" s="183"/>
      <c r="AE25" s="185"/>
      <c r="AF25" s="184"/>
      <c r="AG25" s="185"/>
      <c r="AH25" s="185"/>
      <c r="AI25" s="185"/>
      <c r="AJ25" s="185"/>
      <c r="AK25" s="186"/>
      <c r="AL25" s="185"/>
      <c r="AM25" s="185"/>
      <c r="AN25" s="185"/>
      <c r="AO25" s="185"/>
      <c r="AP25" s="738"/>
      <c r="AQ25" s="185"/>
      <c r="AR25" s="185"/>
      <c r="AS25" s="185"/>
      <c r="AT25" s="185"/>
      <c r="AU25" s="186"/>
      <c r="AV25" s="185"/>
      <c r="AW25" s="185"/>
      <c r="AX25" s="185"/>
      <c r="AY25" s="185"/>
      <c r="AZ25" s="186"/>
      <c r="BA25" s="185"/>
      <c r="BB25" s="185"/>
      <c r="BC25" s="185"/>
      <c r="BD25" s="185"/>
      <c r="BE25" s="186"/>
      <c r="BF25" s="185"/>
      <c r="BG25" s="185"/>
      <c r="BH25" s="185"/>
      <c r="BI25" s="185"/>
      <c r="BJ25" s="186"/>
      <c r="BK25" s="185"/>
      <c r="BL25" s="185"/>
      <c r="BM25" s="185"/>
      <c r="BN25" s="185"/>
      <c r="BO25" s="186"/>
      <c r="BP25" s="185"/>
      <c r="BQ25" s="185"/>
      <c r="BR25" s="185"/>
      <c r="BS25" s="185"/>
      <c r="BT25" s="186"/>
      <c r="BU25" s="185"/>
      <c r="BV25" s="185"/>
      <c r="BW25" s="185"/>
      <c r="BX25" s="185"/>
      <c r="BY25" s="186"/>
      <c r="BZ25" s="185"/>
      <c r="CA25" s="185"/>
      <c r="CB25" s="185"/>
      <c r="CC25" s="185"/>
      <c r="CD25" s="186"/>
      <c r="CE25" s="185"/>
      <c r="CF25" s="185"/>
      <c r="CG25" s="185"/>
      <c r="CH25" s="185"/>
      <c r="CI25" s="186"/>
      <c r="CJ25" s="185"/>
      <c r="CK25" s="185"/>
      <c r="CL25" s="185"/>
      <c r="CM25" s="185"/>
      <c r="CN25" s="186"/>
      <c r="CO25" s="185"/>
      <c r="CP25" s="185"/>
      <c r="CQ25" s="185"/>
      <c r="CR25" s="185"/>
      <c r="CS25" s="186"/>
      <c r="CT25" s="185"/>
      <c r="CU25" s="185"/>
      <c r="CV25" s="185"/>
      <c r="CW25" s="185"/>
      <c r="CX25" s="186"/>
      <c r="DA25"/>
      <c r="DB25"/>
      <c r="DC25"/>
      <c r="DD25"/>
      <c r="DE25"/>
      <c r="DF25"/>
    </row>
    <row r="26" spans="2:110" hidden="1" outlineLevel="1">
      <c r="B26" s="414" t="s">
        <v>510</v>
      </c>
      <c r="C26" s="421"/>
      <c r="D26" s="421"/>
      <c r="E26" s="421"/>
      <c r="F26" s="421"/>
      <c r="G26" s="414"/>
      <c r="H26" s="421"/>
      <c r="I26" s="421"/>
      <c r="J26" s="421"/>
      <c r="K26" s="421"/>
      <c r="L26" s="414"/>
      <c r="M26" s="421"/>
      <c r="N26" s="421"/>
      <c r="O26" s="421"/>
      <c r="P26" s="421"/>
      <c r="Q26" s="414"/>
      <c r="R26" s="420"/>
      <c r="S26" s="420"/>
      <c r="T26" s="420"/>
      <c r="U26" s="420"/>
      <c r="V26" s="414">
        <f>V28+V27</f>
        <v>124.063</v>
      </c>
      <c r="W26" s="420">
        <f t="shared" ref="W26:Z26" si="15">W28+W27</f>
        <v>30.998000000000001</v>
      </c>
      <c r="X26" s="420">
        <f t="shared" si="15"/>
        <v>38.063000000000002</v>
      </c>
      <c r="Y26" s="420">
        <f t="shared" si="15"/>
        <v>34.904000000000003</v>
      </c>
      <c r="Z26" s="420">
        <f t="shared" si="15"/>
        <v>48.043999999999997</v>
      </c>
      <c r="AA26" s="414">
        <f>SUM(W26:Z26)</f>
        <v>152.00900000000001</v>
      </c>
      <c r="AB26" s="420">
        <f t="shared" ref="AB26" si="16">AB28+AB27</f>
        <v>43.118000000000002</v>
      </c>
      <c r="AC26" s="420">
        <f t="shared" ref="AC26" si="17">AC28+AC27</f>
        <v>51.616999999999997</v>
      </c>
      <c r="AD26" s="420">
        <f t="shared" ref="AD26" si="18">AD28+AD27</f>
        <v>50.738</v>
      </c>
      <c r="AE26" s="420">
        <v>64.147000000000006</v>
      </c>
      <c r="AF26" s="414">
        <f>SUM(AB26:AE26)</f>
        <v>209.62</v>
      </c>
      <c r="AG26" s="420">
        <v>50.006</v>
      </c>
      <c r="AH26" s="420">
        <v>56.305</v>
      </c>
      <c r="AI26" s="420">
        <v>59.48</v>
      </c>
      <c r="AJ26" s="420">
        <v>75.995000000000005</v>
      </c>
      <c r="AK26" s="414">
        <f>SUM(AG26:AJ26)</f>
        <v>241.786</v>
      </c>
      <c r="AL26" s="420">
        <f t="shared" ref="AL26:AO26" si="19">AL28+AL27</f>
        <v>64.825454465148567</v>
      </c>
      <c r="AM26" s="420">
        <f t="shared" si="19"/>
        <v>68.267426256130165</v>
      </c>
      <c r="AN26" s="420">
        <f t="shared" si="19"/>
        <v>66.037212301019963</v>
      </c>
      <c r="AO26" s="420">
        <f t="shared" si="19"/>
        <v>82.645756053270588</v>
      </c>
      <c r="AP26" s="414">
        <f>AP28+AP27</f>
        <v>281.77584907556928</v>
      </c>
      <c r="AQ26" s="420"/>
      <c r="AR26" s="420"/>
      <c r="AS26" s="420"/>
      <c r="AT26" s="420"/>
      <c r="AU26" s="414">
        <f>AU28+AU27</f>
        <v>319.95057943288799</v>
      </c>
      <c r="AV26" s="420"/>
      <c r="AW26" s="420"/>
      <c r="AX26" s="420"/>
      <c r="AY26" s="420"/>
      <c r="AZ26" s="414">
        <f>AZ28+AZ27</f>
        <v>387.1949377621923</v>
      </c>
      <c r="BA26" s="420"/>
      <c r="BB26" s="420"/>
      <c r="BC26" s="420"/>
      <c r="BD26" s="420"/>
      <c r="BE26" s="414">
        <f>BE28+BE27</f>
        <v>464.09048246815343</v>
      </c>
      <c r="BF26" s="420"/>
      <c r="BG26" s="420"/>
      <c r="BH26" s="420"/>
      <c r="BI26" s="420"/>
      <c r="BJ26" s="414">
        <f>BJ28+BJ27</f>
        <v>538.26995366065989</v>
      </c>
      <c r="BK26" s="420"/>
      <c r="BL26" s="420"/>
      <c r="BM26" s="420"/>
      <c r="BN26" s="420"/>
      <c r="BO26" s="414">
        <f>BO28+BO27</f>
        <v>612.63062826309704</v>
      </c>
      <c r="BP26" s="420"/>
      <c r="BQ26" s="420"/>
      <c r="BR26" s="420"/>
      <c r="BS26" s="420"/>
      <c r="BT26" s="414">
        <f>BT28+BT27</f>
        <v>695.66128066407657</v>
      </c>
      <c r="BU26" s="420"/>
      <c r="BV26" s="420"/>
      <c r="BW26" s="420"/>
      <c r="BX26" s="420"/>
      <c r="BY26" s="414">
        <f>BY28+BY27</f>
        <v>784.83804675747035</v>
      </c>
      <c r="BZ26" s="420"/>
      <c r="CA26" s="420"/>
      <c r="CB26" s="420"/>
      <c r="CC26" s="420"/>
      <c r="CD26" s="414">
        <f>CD28+CD27</f>
        <v>873.40577475228918</v>
      </c>
      <c r="CE26" s="420"/>
      <c r="CF26" s="420"/>
      <c r="CG26" s="420"/>
      <c r="CH26" s="420"/>
      <c r="CI26" s="414">
        <f>CI28+CI27</f>
        <v>950.49182378171736</v>
      </c>
      <c r="CJ26" s="420"/>
      <c r="CK26" s="420"/>
      <c r="CL26" s="420"/>
      <c r="CM26" s="420"/>
      <c r="CN26" s="414">
        <f>CN28+CN27</f>
        <v>1005.3030244513789</v>
      </c>
      <c r="CO26" s="420"/>
      <c r="CP26" s="420"/>
      <c r="CQ26" s="420"/>
      <c r="CR26" s="420"/>
      <c r="CS26" s="414">
        <f>CS28+CS27</f>
        <v>1064.7738710090875</v>
      </c>
      <c r="CT26" s="420"/>
      <c r="CU26" s="420"/>
      <c r="CV26" s="420"/>
      <c r="CW26" s="420"/>
      <c r="CX26" s="414">
        <f>CX28+CX27</f>
        <v>1123.1163038091636</v>
      </c>
    </row>
    <row r="27" spans="2:110" hidden="1" outlineLevel="1">
      <c r="B27" s="556" t="s">
        <v>451</v>
      </c>
      <c r="C27" s="421"/>
      <c r="D27" s="421"/>
      <c r="E27" s="421"/>
      <c r="F27" s="421"/>
      <c r="G27" s="414"/>
      <c r="H27" s="421"/>
      <c r="I27" s="421"/>
      <c r="J27" s="421"/>
      <c r="K27" s="421"/>
      <c r="L27" s="414"/>
      <c r="M27" s="421"/>
      <c r="N27" s="421"/>
      <c r="O27" s="421"/>
      <c r="P27" s="421"/>
      <c r="Q27" s="414"/>
      <c r="R27" s="420"/>
      <c r="S27" s="420"/>
      <c r="T27" s="420"/>
      <c r="U27" s="420"/>
      <c r="V27" s="414">
        <f>V104</f>
        <v>6.1059999999999999</v>
      </c>
      <c r="W27" s="420">
        <f t="shared" ref="W27:AO27" si="20">W104</f>
        <v>1.3</v>
      </c>
      <c r="X27" s="420">
        <f t="shared" si="20"/>
        <v>1.75</v>
      </c>
      <c r="Y27" s="420">
        <f t="shared" si="20"/>
        <v>1.3859999999999999</v>
      </c>
      <c r="Z27" s="420">
        <f t="shared" si="20"/>
        <v>2.5</v>
      </c>
      <c r="AA27" s="414">
        <f>SUM(W27:Z27)</f>
        <v>6.9359999999999999</v>
      </c>
      <c r="AB27" s="420">
        <f t="shared" si="20"/>
        <v>1.5620000000000001</v>
      </c>
      <c r="AC27" s="420">
        <f t="shared" si="20"/>
        <v>2.2890000000000001</v>
      </c>
      <c r="AD27" s="420">
        <f t="shared" si="20"/>
        <v>2.0920000000000001</v>
      </c>
      <c r="AE27" s="420">
        <f t="shared" si="20"/>
        <v>3</v>
      </c>
      <c r="AF27" s="414">
        <f>SUM(AB27:AE27)</f>
        <v>8.9429999999999996</v>
      </c>
      <c r="AG27" s="420">
        <v>2</v>
      </c>
      <c r="AH27" s="420">
        <v>2.5</v>
      </c>
      <c r="AI27" s="420">
        <f>AI104</f>
        <v>3</v>
      </c>
      <c r="AJ27" s="420">
        <v>2.8</v>
      </c>
      <c r="AK27" s="414">
        <f>SUM(AG27:AJ27)</f>
        <v>10.3</v>
      </c>
      <c r="AL27" s="420">
        <f t="shared" si="20"/>
        <v>2.75</v>
      </c>
      <c r="AM27" s="420">
        <f t="shared" si="20"/>
        <v>2.8187499999999996</v>
      </c>
      <c r="AN27" s="420">
        <f t="shared" si="20"/>
        <v>2.8892187499999995</v>
      </c>
      <c r="AO27" s="420">
        <f t="shared" si="20"/>
        <v>2.6573312500000021</v>
      </c>
      <c r="AP27" s="414">
        <f t="shared" ref="AP27" si="21">AP104</f>
        <v>11.115300000000001</v>
      </c>
      <c r="AQ27" s="420"/>
      <c r="AR27" s="420"/>
      <c r="AS27" s="420"/>
      <c r="AT27" s="420"/>
      <c r="AU27" s="414">
        <f t="shared" ref="AU27" si="22">AU104</f>
        <v>11.671065000000002</v>
      </c>
      <c r="AV27" s="420"/>
      <c r="AW27" s="420"/>
      <c r="AX27" s="420"/>
      <c r="AY27" s="420"/>
      <c r="AZ27" s="414">
        <f t="shared" ref="AZ27" si="23">AZ104</f>
        <v>12.254618250000004</v>
      </c>
      <c r="BA27" s="420"/>
      <c r="BB27" s="420"/>
      <c r="BC27" s="420"/>
      <c r="BD27" s="420"/>
      <c r="BE27" s="414">
        <f t="shared" ref="BE27" si="24">BE104</f>
        <v>12.867349162500004</v>
      </c>
      <c r="BF27" s="420"/>
      <c r="BG27" s="420"/>
      <c r="BH27" s="420"/>
      <c r="BI27" s="420"/>
      <c r="BJ27" s="414">
        <f t="shared" ref="BJ27" si="25">BJ104</f>
        <v>13.510716620625004</v>
      </c>
      <c r="BK27" s="420"/>
      <c r="BL27" s="420"/>
      <c r="BM27" s="420"/>
      <c r="BN27" s="420"/>
      <c r="BO27" s="414">
        <f t="shared" ref="BO27" si="26">BO104</f>
        <v>14.186252451656255</v>
      </c>
      <c r="BP27" s="420"/>
      <c r="BQ27" s="420"/>
      <c r="BR27" s="420"/>
      <c r="BS27" s="420"/>
      <c r="BT27" s="414">
        <f t="shared" ref="BT27" si="27">BT104</f>
        <v>14.895565074239068</v>
      </c>
      <c r="BU27" s="420"/>
      <c r="BV27" s="420"/>
      <c r="BW27" s="420"/>
      <c r="BX27" s="420"/>
      <c r="BY27" s="414">
        <f t="shared" ref="BY27" si="28">BY104</f>
        <v>15.640343327951022</v>
      </c>
      <c r="BZ27" s="420"/>
      <c r="CA27" s="420"/>
      <c r="CB27" s="420"/>
      <c r="CC27" s="420"/>
      <c r="CD27" s="414">
        <f t="shared" ref="CD27" si="29">CD104</f>
        <v>16.422360494348574</v>
      </c>
      <c r="CE27" s="420"/>
      <c r="CF27" s="420"/>
      <c r="CG27" s="420"/>
      <c r="CH27" s="420"/>
      <c r="CI27" s="414">
        <f t="shared" ref="CI27" si="30">CI104</f>
        <v>17.243478519066002</v>
      </c>
      <c r="CJ27" s="420"/>
      <c r="CK27" s="420"/>
      <c r="CL27" s="420"/>
      <c r="CM27" s="420"/>
      <c r="CN27" s="414">
        <f t="shared" ref="CN27" si="31">CN104</f>
        <v>18.105652445019302</v>
      </c>
      <c r="CO27" s="420"/>
      <c r="CP27" s="420"/>
      <c r="CQ27" s="420"/>
      <c r="CR27" s="420"/>
      <c r="CS27" s="414">
        <f t="shared" ref="CS27" si="32">CS104</f>
        <v>19.010935067270267</v>
      </c>
      <c r="CT27" s="420"/>
      <c r="CU27" s="420"/>
      <c r="CV27" s="420"/>
      <c r="CW27" s="420"/>
      <c r="CX27" s="414">
        <f t="shared" ref="CX27" si="33">CX104</f>
        <v>19.961481820633782</v>
      </c>
    </row>
    <row r="28" spans="2:110" s="172" customFormat="1" collapsed="1">
      <c r="B28" s="177" t="s">
        <v>33</v>
      </c>
      <c r="C28" s="176">
        <f>20.796-C104</f>
        <v>19.393999999999998</v>
      </c>
      <c r="D28" s="176">
        <f>19.263-D104</f>
        <v>18.136000000000003</v>
      </c>
      <c r="E28" s="176">
        <f>22.445-E104</f>
        <v>21.111000000000001</v>
      </c>
      <c r="F28" s="176">
        <f>21.519-F104</f>
        <v>20.212</v>
      </c>
      <c r="G28" s="177">
        <f>SUM(C28:F28)</f>
        <v>78.853000000000009</v>
      </c>
      <c r="H28" s="176">
        <f>17.105-H104</f>
        <v>16.231999999999999</v>
      </c>
      <c r="I28" s="176">
        <f>23.574-I104</f>
        <v>22.239000000000001</v>
      </c>
      <c r="J28" s="176">
        <f>24.619-J104</f>
        <v>23.292000000000002</v>
      </c>
      <c r="K28" s="176">
        <f>26.532-K104</f>
        <v>25.177</v>
      </c>
      <c r="L28" s="177">
        <f>SUM(H28:K28)</f>
        <v>86.94</v>
      </c>
      <c r="M28" s="176">
        <f>20.5-M104</f>
        <v>19.456</v>
      </c>
      <c r="N28" s="176">
        <f>22.567-N104</f>
        <v>21.437000000000001</v>
      </c>
      <c r="O28" s="176">
        <f>28.054-O104</f>
        <v>26.564999999999998</v>
      </c>
      <c r="P28" s="176">
        <f>24.621-P104</f>
        <v>23.423999999999999</v>
      </c>
      <c r="Q28" s="177">
        <f>SUM(M28:P28)</f>
        <v>90.882000000000005</v>
      </c>
      <c r="R28" s="422">
        <f>22.816-R104</f>
        <v>21.73</v>
      </c>
      <c r="S28" s="422">
        <f>31.21-S104-1.9</f>
        <v>27.67</v>
      </c>
      <c r="T28" s="422">
        <f>29.92-T104-1.9</f>
        <v>26.840000000000003</v>
      </c>
      <c r="U28" s="422">
        <f>43.917-U104</f>
        <v>41.716999999999999</v>
      </c>
      <c r="V28" s="177">
        <f>SUM(R28:U28)</f>
        <v>117.95700000000001</v>
      </c>
      <c r="W28" s="422">
        <f>30.998-W104</f>
        <v>29.698</v>
      </c>
      <c r="X28" s="422">
        <f>38.063-X104</f>
        <v>36.313000000000002</v>
      </c>
      <c r="Y28" s="422">
        <f>34.904-Y104</f>
        <v>33.518000000000001</v>
      </c>
      <c r="Z28" s="422">
        <f>48.044-Z104</f>
        <v>45.543999999999997</v>
      </c>
      <c r="AA28" s="177">
        <f>SUM(W28:Z28)</f>
        <v>145.07299999999998</v>
      </c>
      <c r="AB28" s="422">
        <f>43.118-AB104</f>
        <v>41.556000000000004</v>
      </c>
      <c r="AC28" s="422">
        <f>51.617-AC104</f>
        <v>49.327999999999996</v>
      </c>
      <c r="AD28" s="422">
        <f>50.738-AD104</f>
        <v>48.646000000000001</v>
      </c>
      <c r="AE28" s="422">
        <f>AE26-AE27</f>
        <v>61.147000000000006</v>
      </c>
      <c r="AF28" s="178">
        <f>AE28+AD28+AC28+AB28</f>
        <v>200.67700000000002</v>
      </c>
      <c r="AG28" s="422">
        <f>AG26-AG27</f>
        <v>48.006</v>
      </c>
      <c r="AH28" s="422">
        <f>AH26-AH27</f>
        <v>53.805</v>
      </c>
      <c r="AI28" s="422">
        <f>AI26-AI27</f>
        <v>56.48</v>
      </c>
      <c r="AJ28" s="422">
        <f>AJ26-AJ27</f>
        <v>73.195000000000007</v>
      </c>
      <c r="AK28" s="178">
        <f>AJ28+AI28+AH28+AG28</f>
        <v>231.48600000000002</v>
      </c>
      <c r="AL28" s="422">
        <f>'Rev-Exp'!AB225</f>
        <v>62.075454465148567</v>
      </c>
      <c r="AM28" s="422">
        <f>'Rev-Exp'!AC225</f>
        <v>65.44867625613017</v>
      </c>
      <c r="AN28" s="422">
        <f>'Rev-Exp'!AD225</f>
        <v>63.147993551019965</v>
      </c>
      <c r="AO28" s="422">
        <f>'Rev-Exp'!AE225</f>
        <v>79.98842480327059</v>
      </c>
      <c r="AP28" s="178">
        <f>'Rev-Exp'!AF225</f>
        <v>270.66054907556929</v>
      </c>
      <c r="AQ28" s="422"/>
      <c r="AR28" s="422"/>
      <c r="AS28" s="422"/>
      <c r="AT28" s="422"/>
      <c r="AU28" s="178">
        <f>'Rev-Exp'!AG225</f>
        <v>308.27951443288799</v>
      </c>
      <c r="AV28" s="422"/>
      <c r="AW28" s="422"/>
      <c r="AX28" s="422"/>
      <c r="AY28" s="422"/>
      <c r="AZ28" s="178">
        <f>'Rev-Exp'!AH225</f>
        <v>374.94031951219227</v>
      </c>
      <c r="BA28" s="422"/>
      <c r="BB28" s="422"/>
      <c r="BC28" s="422"/>
      <c r="BD28" s="422"/>
      <c r="BE28" s="178">
        <f>'Rev-Exp'!AI225</f>
        <v>451.22313330565345</v>
      </c>
      <c r="BF28" s="422"/>
      <c r="BG28" s="422"/>
      <c r="BH28" s="422"/>
      <c r="BI28" s="422"/>
      <c r="BJ28" s="178">
        <f>'Rev-Exp'!AJ225</f>
        <v>524.75923704003492</v>
      </c>
      <c r="BK28" s="422"/>
      <c r="BL28" s="422"/>
      <c r="BM28" s="422"/>
      <c r="BN28" s="422"/>
      <c r="BO28" s="178">
        <f>'Rev-Exp'!AK225</f>
        <v>598.44437581144075</v>
      </c>
      <c r="BP28" s="422"/>
      <c r="BQ28" s="422"/>
      <c r="BR28" s="422"/>
      <c r="BS28" s="422"/>
      <c r="BT28" s="178">
        <f>'Rev-Exp'!AL225</f>
        <v>680.76571558983755</v>
      </c>
      <c r="BU28" s="422"/>
      <c r="BV28" s="422"/>
      <c r="BW28" s="422"/>
      <c r="BX28" s="422"/>
      <c r="BY28" s="178">
        <f>'Rev-Exp'!AM225</f>
        <v>769.19770342951938</v>
      </c>
      <c r="BZ28" s="422"/>
      <c r="CA28" s="422"/>
      <c r="CB28" s="422"/>
      <c r="CC28" s="422"/>
      <c r="CD28" s="178">
        <f>'Rev-Exp'!AN225</f>
        <v>856.98341425794058</v>
      </c>
      <c r="CE28" s="422"/>
      <c r="CF28" s="422"/>
      <c r="CG28" s="422"/>
      <c r="CH28" s="422"/>
      <c r="CI28" s="178">
        <f>'Rev-Exp'!AO225</f>
        <v>933.24834526265136</v>
      </c>
      <c r="CJ28" s="422"/>
      <c r="CK28" s="422"/>
      <c r="CL28" s="422"/>
      <c r="CM28" s="422"/>
      <c r="CN28" s="178">
        <f>'Rev-Exp'!AP225</f>
        <v>987.1973720063595</v>
      </c>
      <c r="CO28" s="422"/>
      <c r="CP28" s="422"/>
      <c r="CQ28" s="422"/>
      <c r="CR28" s="422"/>
      <c r="CS28" s="178">
        <f>'Rev-Exp'!AQ225</f>
        <v>1045.7629359418172</v>
      </c>
      <c r="CT28" s="422"/>
      <c r="CU28" s="422"/>
      <c r="CV28" s="422"/>
      <c r="CW28" s="422"/>
      <c r="CX28" s="178">
        <f>'Rev-Exp'!AR225</f>
        <v>1103.1548219885299</v>
      </c>
      <c r="DA28"/>
      <c r="DB28"/>
      <c r="DC28"/>
      <c r="DD28"/>
      <c r="DE28"/>
      <c r="DF28"/>
    </row>
    <row r="29" spans="2:110" s="172" customFormat="1">
      <c r="B29" s="177" t="s">
        <v>29</v>
      </c>
      <c r="C29" s="422">
        <f t="shared" ref="C29:D29" si="34">C22-C28</f>
        <v>90.061999999999983</v>
      </c>
      <c r="D29" s="422">
        <f t="shared" si="34"/>
        <v>92.495000000000005</v>
      </c>
      <c r="E29" s="422">
        <f t="shared" ref="E29" si="35">E22-E28</f>
        <v>92.314000000000007</v>
      </c>
      <c r="F29" s="176">
        <f>F22-F28</f>
        <v>87.633999999999986</v>
      </c>
      <c r="G29" s="177">
        <f>G22-G28</f>
        <v>362.50500000000005</v>
      </c>
      <c r="H29" s="422">
        <f t="shared" ref="H29:I29" si="36">H22-H28</f>
        <v>100.417</v>
      </c>
      <c r="I29" s="422">
        <f t="shared" si="36"/>
        <v>101.78</v>
      </c>
      <c r="J29" s="422">
        <f t="shared" ref="J29" si="37">J22-J28</f>
        <v>104.82499999999999</v>
      </c>
      <c r="K29" s="422">
        <f t="shared" ref="K29" si="38">K22-K28</f>
        <v>106.761</v>
      </c>
      <c r="L29" s="177">
        <f>L22-L28</f>
        <v>413.78300000000002</v>
      </c>
      <c r="M29" s="176">
        <f t="shared" ref="M29:O29" si="39">M22-M28</f>
        <v>108.47199999999999</v>
      </c>
      <c r="N29" s="176">
        <f t="shared" si="39"/>
        <v>115.373</v>
      </c>
      <c r="O29" s="176">
        <f t="shared" si="39"/>
        <v>110.309</v>
      </c>
      <c r="P29" s="176">
        <f t="shared" ref="P29:X29" si="40">P22-P28</f>
        <v>123.49300000000002</v>
      </c>
      <c r="Q29" s="177">
        <f t="shared" si="40"/>
        <v>457.64699999999999</v>
      </c>
      <c r="R29" s="422">
        <f t="shared" si="40"/>
        <v>129.822</v>
      </c>
      <c r="S29" s="422">
        <f t="shared" si="40"/>
        <v>164.11700000000002</v>
      </c>
      <c r="T29" s="422">
        <f t="shared" si="40"/>
        <v>149.709</v>
      </c>
      <c r="U29" s="422">
        <f t="shared" si="40"/>
        <v>188.35200000000003</v>
      </c>
      <c r="V29" s="177">
        <f t="shared" si="40"/>
        <v>632</v>
      </c>
      <c r="W29" s="422">
        <f t="shared" si="40"/>
        <v>173.22200000000001</v>
      </c>
      <c r="X29" s="422">
        <f t="shared" si="40"/>
        <v>213.822</v>
      </c>
      <c r="Y29" s="422">
        <f t="shared" ref="Y29" si="41">Y22-Y28</f>
        <v>175.38599999999997</v>
      </c>
      <c r="Z29" s="422">
        <f t="shared" ref="Z29:AF29" si="42">Z22-Z28</f>
        <v>182.392</v>
      </c>
      <c r="AA29" s="177">
        <f t="shared" si="42"/>
        <v>744.822</v>
      </c>
      <c r="AB29" s="422">
        <f t="shared" si="42"/>
        <v>195.17999999999998</v>
      </c>
      <c r="AC29" s="726">
        <f t="shared" si="42"/>
        <v>250.80300000000003</v>
      </c>
      <c r="AD29" s="422">
        <f t="shared" si="42"/>
        <v>231.25</v>
      </c>
      <c r="AE29" s="422">
        <f t="shared" si="42"/>
        <v>238.94399999999996</v>
      </c>
      <c r="AF29" s="178">
        <f t="shared" si="42"/>
        <v>916.17700000000002</v>
      </c>
      <c r="AG29" s="422">
        <f t="shared" ref="AG29" si="43">AG22-AG28</f>
        <v>255.739</v>
      </c>
      <c r="AH29" s="422">
        <f t="shared" ref="AH29" si="44">AH22-AH28</f>
        <v>263.64299999999997</v>
      </c>
      <c r="AI29" s="422">
        <f t="shared" ref="AI29" si="45">AI22-AI28</f>
        <v>246.22</v>
      </c>
      <c r="AJ29" s="422">
        <f t="shared" ref="AJ29:AO29" si="46">AJ22-AJ28</f>
        <v>285.10500000000008</v>
      </c>
      <c r="AK29" s="178">
        <f>AK22-AK28</f>
        <v>1050.6809999999998</v>
      </c>
      <c r="AL29" s="422">
        <f t="shared" si="46"/>
        <v>282.67082830187144</v>
      </c>
      <c r="AM29" s="422">
        <f t="shared" si="46"/>
        <v>297.89856525532457</v>
      </c>
      <c r="AN29" s="422">
        <f t="shared" si="46"/>
        <v>282.34417004368601</v>
      </c>
      <c r="AO29" s="422">
        <f t="shared" si="46"/>
        <v>346.29536454944457</v>
      </c>
      <c r="AP29" s="178">
        <f>AP22-AP28</f>
        <v>1209.2089281503268</v>
      </c>
      <c r="AQ29" s="422"/>
      <c r="AR29" s="422"/>
      <c r="AS29" s="422"/>
      <c r="AT29" s="422"/>
      <c r="AU29" s="178">
        <f>AU22-AU28</f>
        <v>1367.5550001401459</v>
      </c>
      <c r="AV29" s="422"/>
      <c r="AW29" s="422"/>
      <c r="AX29" s="422"/>
      <c r="AY29" s="422"/>
      <c r="AZ29" s="178">
        <f>AZ22-AZ28</f>
        <v>1634.8822299161093</v>
      </c>
      <c r="BA29" s="422"/>
      <c r="BB29" s="422"/>
      <c r="BC29" s="422"/>
      <c r="BD29" s="422"/>
      <c r="BE29" s="178">
        <f>BE22-BE28</f>
        <v>1940.5721441795686</v>
      </c>
      <c r="BF29" s="422"/>
      <c r="BG29" s="422"/>
      <c r="BH29" s="422"/>
      <c r="BI29" s="422"/>
      <c r="BJ29" s="178">
        <f>BJ22-BJ28</f>
        <v>2256.8999064341856</v>
      </c>
      <c r="BK29" s="422"/>
      <c r="BL29" s="422"/>
      <c r="BM29" s="422"/>
      <c r="BN29" s="422"/>
      <c r="BO29" s="178">
        <f>BO22-BO28</f>
        <v>2600.570179070412</v>
      </c>
      <c r="BP29" s="422"/>
      <c r="BQ29" s="422"/>
      <c r="BR29" s="422"/>
      <c r="BS29" s="422"/>
      <c r="BT29" s="178">
        <f>BT22-BT28</f>
        <v>3003.1674263605155</v>
      </c>
      <c r="BU29" s="422"/>
      <c r="BV29" s="422"/>
      <c r="BW29" s="422"/>
      <c r="BX29" s="422"/>
      <c r="BY29" s="178">
        <f>BY22-BY28</f>
        <v>3430.5591420069904</v>
      </c>
      <c r="BZ29" s="422"/>
      <c r="CA29" s="422"/>
      <c r="CB29" s="422"/>
      <c r="CC29" s="422"/>
      <c r="CD29" s="178">
        <f>CD22-CD28</f>
        <v>3813.1431424438729</v>
      </c>
      <c r="CE29" s="422"/>
      <c r="CF29" s="422"/>
      <c r="CG29" s="422"/>
      <c r="CH29" s="422"/>
      <c r="CI29" s="178">
        <f>CI22-CI28</f>
        <v>4142.5356236364314</v>
      </c>
      <c r="CJ29" s="422"/>
      <c r="CK29" s="422"/>
      <c r="CL29" s="422"/>
      <c r="CM29" s="422"/>
      <c r="CN29" s="178">
        <f>CN22-CN28</f>
        <v>4379.7628533603656</v>
      </c>
      <c r="CO29" s="422"/>
      <c r="CP29" s="422"/>
      <c r="CQ29" s="422"/>
      <c r="CR29" s="422"/>
      <c r="CS29" s="178">
        <f>CS22-CS28</f>
        <v>4638.1095499185885</v>
      </c>
      <c r="CT29" s="422"/>
      <c r="CU29" s="422"/>
      <c r="CV29" s="422"/>
      <c r="CW29" s="422"/>
      <c r="CX29" s="178">
        <f>CX22-CX28</f>
        <v>4890.7250461787298</v>
      </c>
      <c r="DA29"/>
      <c r="DB29"/>
      <c r="DC29"/>
      <c r="DD29"/>
      <c r="DE29"/>
      <c r="DF29"/>
    </row>
    <row r="30" spans="2:110">
      <c r="B30" s="414"/>
      <c r="C30" s="421"/>
      <c r="D30" s="421"/>
      <c r="E30" s="421"/>
      <c r="F30" s="421"/>
      <c r="G30" s="414"/>
      <c r="H30" s="421"/>
      <c r="I30" s="421"/>
      <c r="J30" s="421"/>
      <c r="K30" s="421"/>
      <c r="L30" s="414"/>
      <c r="M30" s="421"/>
      <c r="N30" s="421"/>
      <c r="O30" s="421"/>
      <c r="P30" s="421"/>
      <c r="Q30" s="414"/>
      <c r="R30" s="420"/>
      <c r="S30" s="420"/>
      <c r="T30" s="420"/>
      <c r="U30" s="420"/>
      <c r="V30" s="414"/>
      <c r="W30" s="420"/>
      <c r="X30" s="420"/>
      <c r="Y30" s="420"/>
      <c r="Z30" s="420"/>
      <c r="AA30" s="414"/>
      <c r="AB30" s="420"/>
      <c r="AC30" s="420"/>
      <c r="AD30" s="420"/>
      <c r="AE30" s="420"/>
      <c r="AF30" s="415"/>
      <c r="AG30" s="211"/>
      <c r="AH30" s="211"/>
      <c r="AI30" s="211"/>
      <c r="AJ30" s="420"/>
      <c r="AK30" s="415"/>
      <c r="AL30" s="420"/>
      <c r="AM30" s="420"/>
      <c r="AN30" s="420"/>
      <c r="AO30" s="420"/>
      <c r="AP30" s="415"/>
      <c r="AQ30" s="420"/>
      <c r="AR30" s="420"/>
      <c r="AS30" s="420"/>
      <c r="AT30" s="420"/>
      <c r="AU30" s="415"/>
      <c r="AV30" s="420"/>
      <c r="AW30" s="420"/>
      <c r="AX30" s="420"/>
      <c r="AY30" s="420"/>
      <c r="AZ30" s="415"/>
      <c r="BA30" s="420"/>
      <c r="BB30" s="420"/>
      <c r="BC30" s="420"/>
      <c r="BD30" s="420"/>
      <c r="BE30" s="415"/>
      <c r="BF30" s="420"/>
      <c r="BG30" s="420"/>
      <c r="BH30" s="420"/>
      <c r="BI30" s="420"/>
      <c r="BJ30" s="415"/>
      <c r="BK30" s="420"/>
      <c r="BL30" s="420"/>
      <c r="BM30" s="420"/>
      <c r="BN30" s="420"/>
      <c r="BO30" s="415"/>
      <c r="BP30" s="420"/>
      <c r="BQ30" s="420"/>
      <c r="BR30" s="420"/>
      <c r="BS30" s="420"/>
      <c r="BT30" s="415"/>
      <c r="BU30" s="420"/>
      <c r="BV30" s="420"/>
      <c r="BW30" s="420"/>
      <c r="BX30" s="420"/>
      <c r="BY30" s="415"/>
      <c r="BZ30" s="420"/>
      <c r="CA30" s="420"/>
      <c r="CB30" s="420"/>
      <c r="CC30" s="420"/>
      <c r="CD30" s="415"/>
      <c r="CE30" s="420"/>
      <c r="CF30" s="420"/>
      <c r="CG30" s="420"/>
      <c r="CH30" s="420"/>
      <c r="CI30" s="415"/>
      <c r="CJ30" s="420"/>
      <c r="CK30" s="420"/>
      <c r="CL30" s="420"/>
      <c r="CM30" s="420"/>
      <c r="CN30" s="415"/>
      <c r="CO30" s="420"/>
      <c r="CP30" s="420"/>
      <c r="CQ30" s="420"/>
      <c r="CR30" s="420"/>
      <c r="CS30" s="415"/>
      <c r="CT30" s="420"/>
      <c r="CU30" s="420"/>
      <c r="CV30" s="420"/>
      <c r="CW30" s="420"/>
      <c r="CX30" s="415"/>
    </row>
    <row r="31" spans="2:110" ht="12.75" hidden="1" customHeight="1" outlineLevel="2">
      <c r="B31" s="556" t="s">
        <v>2</v>
      </c>
      <c r="C31" s="421"/>
      <c r="D31" s="421"/>
      <c r="E31" s="421"/>
      <c r="F31" s="421"/>
      <c r="G31" s="414"/>
      <c r="H31" s="421"/>
      <c r="I31" s="421"/>
      <c r="J31" s="421"/>
      <c r="K31" s="421"/>
      <c r="L31" s="414"/>
      <c r="M31" s="421"/>
      <c r="N31" s="421"/>
      <c r="O31" s="421"/>
      <c r="P31" s="421"/>
      <c r="Q31" s="414">
        <v>82</v>
      </c>
      <c r="R31" s="420"/>
      <c r="S31" s="420"/>
      <c r="T31" s="420"/>
      <c r="U31" s="420"/>
      <c r="V31" s="414">
        <v>63.6</v>
      </c>
      <c r="W31" s="420">
        <f>'Rev-Exp'!M122</f>
        <v>12.5</v>
      </c>
      <c r="X31" s="420">
        <f>'Rev-Exp'!N122</f>
        <v>11.7</v>
      </c>
      <c r="Y31" s="420">
        <f>'Rev-Exp'!O122</f>
        <v>10.5</v>
      </c>
      <c r="Z31" s="420">
        <f>'Rev-Exp'!P122</f>
        <v>11.000000000000004</v>
      </c>
      <c r="AA31" s="414">
        <f t="shared" ref="AA31:AA40" si="47">SUM(W31:Z31)</f>
        <v>45.7</v>
      </c>
      <c r="AB31" s="420">
        <f>'Rev-Exp'!R122</f>
        <v>7.8</v>
      </c>
      <c r="AC31" s="420">
        <f>'Rev-Exp'!S122</f>
        <v>6</v>
      </c>
      <c r="AD31" s="420">
        <f>'Rev-Exp'!T122</f>
        <v>5.9</v>
      </c>
      <c r="AE31" s="420">
        <v>6</v>
      </c>
      <c r="AF31" s="414">
        <f t="shared" ref="AF31:AF53" si="48">SUM(AB31:AE31)</f>
        <v>25.700000000000003</v>
      </c>
      <c r="AG31" s="420"/>
      <c r="AH31" s="420"/>
      <c r="AI31" s="420"/>
      <c r="AJ31" s="420"/>
      <c r="AK31" s="414"/>
      <c r="AL31" s="420"/>
      <c r="AM31" s="420"/>
      <c r="AN31" s="420"/>
      <c r="AO31" s="420"/>
      <c r="AP31" s="414"/>
      <c r="AQ31" s="420"/>
      <c r="AR31" s="420"/>
      <c r="AS31" s="420"/>
      <c r="AT31" s="420"/>
      <c r="AU31" s="414"/>
      <c r="AV31" s="420"/>
      <c r="AW31" s="420"/>
      <c r="AX31" s="420"/>
      <c r="AY31" s="420"/>
      <c r="AZ31" s="414"/>
      <c r="BA31" s="420"/>
      <c r="BB31" s="420"/>
      <c r="BC31" s="420"/>
      <c r="BD31" s="420"/>
      <c r="BE31" s="414"/>
      <c r="BF31" s="420"/>
      <c r="BG31" s="420"/>
      <c r="BH31" s="420"/>
      <c r="BI31" s="420"/>
      <c r="BJ31" s="414"/>
      <c r="BK31" s="420"/>
      <c r="BL31" s="420"/>
      <c r="BM31" s="420"/>
      <c r="BN31" s="420"/>
      <c r="BO31" s="414"/>
      <c r="BP31" s="420"/>
      <c r="BQ31" s="420"/>
      <c r="BR31" s="420"/>
      <c r="BS31" s="420"/>
      <c r="BT31" s="414"/>
      <c r="BU31" s="420"/>
      <c r="BV31" s="420"/>
      <c r="BW31" s="420"/>
      <c r="BX31" s="420"/>
      <c r="BY31" s="414"/>
      <c r="BZ31" s="420"/>
      <c r="CA31" s="420"/>
      <c r="CB31" s="420"/>
      <c r="CC31" s="420"/>
      <c r="CD31" s="414"/>
      <c r="CE31" s="420"/>
      <c r="CF31" s="420"/>
      <c r="CG31" s="420"/>
      <c r="CH31" s="420"/>
      <c r="CI31" s="414"/>
      <c r="CJ31" s="420"/>
      <c r="CK31" s="420"/>
      <c r="CL31" s="420"/>
      <c r="CM31" s="420"/>
      <c r="CN31" s="414"/>
      <c r="CO31" s="420"/>
      <c r="CP31" s="420"/>
      <c r="CQ31" s="420"/>
      <c r="CR31" s="420"/>
      <c r="CS31" s="414"/>
      <c r="CT31" s="420"/>
      <c r="CU31" s="420"/>
      <c r="CV31" s="420"/>
      <c r="CW31" s="420"/>
      <c r="CX31" s="414"/>
    </row>
    <row r="32" spans="2:110" ht="12.75" hidden="1" customHeight="1" outlineLevel="2">
      <c r="B32" s="556" t="s">
        <v>21</v>
      </c>
      <c r="C32" s="421"/>
      <c r="D32" s="421"/>
      <c r="E32" s="421"/>
      <c r="F32" s="421"/>
      <c r="G32" s="414"/>
      <c r="H32" s="421"/>
      <c r="I32" s="421"/>
      <c r="J32" s="421"/>
      <c r="K32" s="421"/>
      <c r="L32" s="414"/>
      <c r="M32" s="421"/>
      <c r="N32" s="421"/>
      <c r="O32" s="421"/>
      <c r="P32" s="421"/>
      <c r="Q32" s="414"/>
      <c r="R32" s="420"/>
      <c r="S32" s="420"/>
      <c r="T32" s="420"/>
      <c r="U32" s="420"/>
      <c r="V32" s="414"/>
      <c r="W32" s="420">
        <f>'Rev-Exp'!M130</f>
        <v>2.6999999999999997</v>
      </c>
      <c r="X32" s="420">
        <f>'Rev-Exp'!N130</f>
        <v>3.4</v>
      </c>
      <c r="Y32" s="420">
        <f>'Rev-Exp'!O130</f>
        <v>3.2</v>
      </c>
      <c r="Z32" s="420">
        <f>'Rev-Exp'!P130</f>
        <v>3.5000000000000013</v>
      </c>
      <c r="AA32" s="414">
        <f t="shared" si="47"/>
        <v>12.800000000000002</v>
      </c>
      <c r="AB32" s="420">
        <f>'Rev-Exp'!R130</f>
        <v>2.9</v>
      </c>
      <c r="AC32" s="420">
        <f>'Rev-Exp'!S130</f>
        <v>2.6</v>
      </c>
      <c r="AD32" s="420">
        <f>'Rev-Exp'!T130</f>
        <v>0</v>
      </c>
      <c r="AE32" s="420"/>
      <c r="AF32" s="414">
        <f t="shared" si="48"/>
        <v>5.5</v>
      </c>
      <c r="AG32" s="420"/>
      <c r="AH32" s="420"/>
      <c r="AI32" s="420"/>
      <c r="AJ32" s="420"/>
      <c r="AK32" s="414"/>
      <c r="AL32" s="420"/>
      <c r="AM32" s="420"/>
      <c r="AN32" s="420"/>
      <c r="AO32" s="420"/>
      <c r="AP32" s="414"/>
      <c r="AQ32" s="420"/>
      <c r="AR32" s="420"/>
      <c r="AS32" s="420"/>
      <c r="AT32" s="420"/>
      <c r="AU32" s="414"/>
      <c r="AV32" s="420"/>
      <c r="AW32" s="420"/>
      <c r="AX32" s="420"/>
      <c r="AY32" s="420"/>
      <c r="AZ32" s="414"/>
      <c r="BA32" s="420"/>
      <c r="BB32" s="420"/>
      <c r="BC32" s="420"/>
      <c r="BD32" s="420"/>
      <c r="BE32" s="414"/>
      <c r="BF32" s="420"/>
      <c r="BG32" s="420"/>
      <c r="BH32" s="420"/>
      <c r="BI32" s="420"/>
      <c r="BJ32" s="414"/>
      <c r="BK32" s="420"/>
      <c r="BL32" s="420"/>
      <c r="BM32" s="420"/>
      <c r="BN32" s="420"/>
      <c r="BO32" s="414"/>
      <c r="BP32" s="420"/>
      <c r="BQ32" s="420"/>
      <c r="BR32" s="420"/>
      <c r="BS32" s="420"/>
      <c r="BT32" s="414"/>
      <c r="BU32" s="420"/>
      <c r="BV32" s="420"/>
      <c r="BW32" s="420"/>
      <c r="BX32" s="420"/>
      <c r="BY32" s="414"/>
      <c r="BZ32" s="420"/>
      <c r="CA32" s="420"/>
      <c r="CB32" s="420"/>
      <c r="CC32" s="420"/>
      <c r="CD32" s="414"/>
      <c r="CE32" s="420"/>
      <c r="CF32" s="420"/>
      <c r="CG32" s="420"/>
      <c r="CH32" s="420"/>
      <c r="CI32" s="414"/>
      <c r="CJ32" s="420"/>
      <c r="CK32" s="420"/>
      <c r="CL32" s="420"/>
      <c r="CM32" s="420"/>
      <c r="CN32" s="414"/>
      <c r="CO32" s="420"/>
      <c r="CP32" s="420"/>
      <c r="CQ32" s="420"/>
      <c r="CR32" s="420"/>
      <c r="CS32" s="414"/>
      <c r="CT32" s="420"/>
      <c r="CU32" s="420"/>
      <c r="CV32" s="420"/>
      <c r="CW32" s="420"/>
      <c r="CX32" s="414"/>
    </row>
    <row r="33" spans="2:102" ht="12.75" hidden="1" customHeight="1" outlineLevel="2">
      <c r="B33" s="556" t="s">
        <v>22</v>
      </c>
      <c r="C33" s="421"/>
      <c r="D33" s="421"/>
      <c r="E33" s="421"/>
      <c r="F33" s="421"/>
      <c r="G33" s="414"/>
      <c r="H33" s="421"/>
      <c r="I33" s="421"/>
      <c r="J33" s="421"/>
      <c r="K33" s="421"/>
      <c r="L33" s="414"/>
      <c r="M33" s="421"/>
      <c r="N33" s="421"/>
      <c r="O33" s="421"/>
      <c r="P33" s="421"/>
      <c r="Q33" s="414"/>
      <c r="R33" s="420"/>
      <c r="S33" s="420"/>
      <c r="T33" s="420"/>
      <c r="U33" s="420"/>
      <c r="V33" s="414"/>
      <c r="W33" s="420">
        <f>'Rev-Exp'!M138</f>
        <v>3.7</v>
      </c>
      <c r="X33" s="420">
        <f>'Rev-Exp'!N138</f>
        <v>2.8</v>
      </c>
      <c r="Y33" s="420">
        <f>'Rev-Exp'!O138</f>
        <v>4</v>
      </c>
      <c r="Z33" s="420">
        <f>'Rev-Exp'!P138</f>
        <v>4.9000000000000012</v>
      </c>
      <c r="AA33" s="414">
        <f t="shared" si="47"/>
        <v>15.400000000000002</v>
      </c>
      <c r="AB33" s="420">
        <f>'Rev-Exp'!R138</f>
        <v>5.7999999999999989</v>
      </c>
      <c r="AC33" s="420">
        <f>'Rev-Exp'!S138</f>
        <v>5.4</v>
      </c>
      <c r="AD33" s="420">
        <f>'Rev-Exp'!T138</f>
        <v>0</v>
      </c>
      <c r="AE33" s="420"/>
      <c r="AF33" s="414">
        <f t="shared" si="48"/>
        <v>11.2</v>
      </c>
      <c r="AG33" s="420"/>
      <c r="AH33" s="420"/>
      <c r="AI33" s="420"/>
      <c r="AJ33" s="420"/>
      <c r="AK33" s="414"/>
      <c r="AL33" s="420"/>
      <c r="AM33" s="420"/>
      <c r="AN33" s="420"/>
      <c r="AO33" s="420"/>
      <c r="AP33" s="414"/>
      <c r="AQ33" s="420"/>
      <c r="AR33" s="420"/>
      <c r="AS33" s="420"/>
      <c r="AT33" s="420"/>
      <c r="AU33" s="414"/>
      <c r="AV33" s="420"/>
      <c r="AW33" s="420"/>
      <c r="AX33" s="420"/>
      <c r="AY33" s="420"/>
      <c r="AZ33" s="414"/>
      <c r="BA33" s="420"/>
      <c r="BB33" s="420"/>
      <c r="BC33" s="420"/>
      <c r="BD33" s="420"/>
      <c r="BE33" s="414"/>
      <c r="BF33" s="420"/>
      <c r="BG33" s="420"/>
      <c r="BH33" s="420"/>
      <c r="BI33" s="420"/>
      <c r="BJ33" s="414"/>
      <c r="BK33" s="420"/>
      <c r="BL33" s="420"/>
      <c r="BM33" s="420"/>
      <c r="BN33" s="420"/>
      <c r="BO33" s="414"/>
      <c r="BP33" s="420"/>
      <c r="BQ33" s="420"/>
      <c r="BR33" s="420"/>
      <c r="BS33" s="420"/>
      <c r="BT33" s="414"/>
      <c r="BU33" s="420"/>
      <c r="BV33" s="420"/>
      <c r="BW33" s="420"/>
      <c r="BX33" s="420"/>
      <c r="BY33" s="414"/>
      <c r="BZ33" s="420"/>
      <c r="CA33" s="420"/>
      <c r="CB33" s="420"/>
      <c r="CC33" s="420"/>
      <c r="CD33" s="414"/>
      <c r="CE33" s="420"/>
      <c r="CF33" s="420"/>
      <c r="CG33" s="420"/>
      <c r="CH33" s="420"/>
      <c r="CI33" s="414"/>
      <c r="CJ33" s="420"/>
      <c r="CK33" s="420"/>
      <c r="CL33" s="420"/>
      <c r="CM33" s="420"/>
      <c r="CN33" s="414"/>
      <c r="CO33" s="420"/>
      <c r="CP33" s="420"/>
      <c r="CQ33" s="420"/>
      <c r="CR33" s="420"/>
      <c r="CS33" s="414"/>
      <c r="CT33" s="420"/>
      <c r="CU33" s="420"/>
      <c r="CV33" s="420"/>
      <c r="CW33" s="420"/>
      <c r="CX33" s="414"/>
    </row>
    <row r="34" spans="2:102" ht="12.75" hidden="1" customHeight="1" outlineLevel="2">
      <c r="B34" s="556" t="s">
        <v>16</v>
      </c>
      <c r="C34" s="421"/>
      <c r="D34" s="421"/>
      <c r="E34" s="421"/>
      <c r="F34" s="421"/>
      <c r="G34" s="414"/>
      <c r="H34" s="421"/>
      <c r="I34" s="421"/>
      <c r="J34" s="421"/>
      <c r="K34" s="421"/>
      <c r="L34" s="414"/>
      <c r="M34" s="421"/>
      <c r="N34" s="421"/>
      <c r="O34" s="421"/>
      <c r="P34" s="421"/>
      <c r="Q34" s="414"/>
      <c r="R34" s="420"/>
      <c r="S34" s="420"/>
      <c r="T34" s="420"/>
      <c r="U34" s="420"/>
      <c r="V34" s="414"/>
      <c r="W34" s="420">
        <f>'Rev-Exp'!M146</f>
        <v>0.7</v>
      </c>
      <c r="X34" s="420">
        <f>'Rev-Exp'!N146</f>
        <v>0.7</v>
      </c>
      <c r="Y34" s="420">
        <f>'Rev-Exp'!O146</f>
        <v>1</v>
      </c>
      <c r="Z34" s="420">
        <f>'Rev-Exp'!P146</f>
        <v>1.2000000000000002</v>
      </c>
      <c r="AA34" s="414">
        <f t="shared" si="47"/>
        <v>3.6</v>
      </c>
      <c r="AB34" s="420">
        <f>'Rev-Exp'!R146</f>
        <v>0.4</v>
      </c>
      <c r="AC34" s="420">
        <f>'Rev-Exp'!S146</f>
        <v>0.4</v>
      </c>
      <c r="AD34" s="420">
        <f>'Rev-Exp'!T146</f>
        <v>1</v>
      </c>
      <c r="AE34" s="420"/>
      <c r="AF34" s="414">
        <f t="shared" si="48"/>
        <v>1.8</v>
      </c>
      <c r="AG34" s="420"/>
      <c r="AH34" s="420"/>
      <c r="AI34" s="420"/>
      <c r="AJ34" s="420"/>
      <c r="AK34" s="414"/>
      <c r="AL34" s="420"/>
      <c r="AM34" s="420"/>
      <c r="AN34" s="420"/>
      <c r="AO34" s="420"/>
      <c r="AP34" s="414"/>
      <c r="AQ34" s="420"/>
      <c r="AR34" s="420"/>
      <c r="AS34" s="420"/>
      <c r="AT34" s="420"/>
      <c r="AU34" s="414"/>
      <c r="AV34" s="420"/>
      <c r="AW34" s="420"/>
      <c r="AX34" s="420"/>
      <c r="AY34" s="420"/>
      <c r="AZ34" s="414"/>
      <c r="BA34" s="420"/>
      <c r="BB34" s="420"/>
      <c r="BC34" s="420"/>
      <c r="BD34" s="420"/>
      <c r="BE34" s="414"/>
      <c r="BF34" s="420"/>
      <c r="BG34" s="420"/>
      <c r="BH34" s="420"/>
      <c r="BI34" s="420"/>
      <c r="BJ34" s="414"/>
      <c r="BK34" s="420"/>
      <c r="BL34" s="420"/>
      <c r="BM34" s="420"/>
      <c r="BN34" s="420"/>
      <c r="BO34" s="414"/>
      <c r="BP34" s="420"/>
      <c r="BQ34" s="420"/>
      <c r="BR34" s="420"/>
      <c r="BS34" s="420"/>
      <c r="BT34" s="414"/>
      <c r="BU34" s="420"/>
      <c r="BV34" s="420"/>
      <c r="BW34" s="420"/>
      <c r="BX34" s="420"/>
      <c r="BY34" s="414"/>
      <c r="BZ34" s="420"/>
      <c r="CA34" s="420"/>
      <c r="CB34" s="420"/>
      <c r="CC34" s="420"/>
      <c r="CD34" s="414"/>
      <c r="CE34" s="420"/>
      <c r="CF34" s="420"/>
      <c r="CG34" s="420"/>
      <c r="CH34" s="420"/>
      <c r="CI34" s="414"/>
      <c r="CJ34" s="420"/>
      <c r="CK34" s="420"/>
      <c r="CL34" s="420"/>
      <c r="CM34" s="420"/>
      <c r="CN34" s="414"/>
      <c r="CO34" s="420"/>
      <c r="CP34" s="420"/>
      <c r="CQ34" s="420"/>
      <c r="CR34" s="420"/>
      <c r="CS34" s="414"/>
      <c r="CT34" s="420"/>
      <c r="CU34" s="420"/>
      <c r="CV34" s="420"/>
      <c r="CW34" s="420"/>
      <c r="CX34" s="414"/>
    </row>
    <row r="35" spans="2:102" ht="12.75" hidden="1" customHeight="1" outlineLevel="2">
      <c r="B35" s="556" t="s">
        <v>23</v>
      </c>
      <c r="C35" s="421"/>
      <c r="D35" s="421"/>
      <c r="E35" s="421"/>
      <c r="F35" s="421"/>
      <c r="G35" s="414"/>
      <c r="H35" s="421"/>
      <c r="I35" s="421"/>
      <c r="J35" s="421"/>
      <c r="K35" s="421"/>
      <c r="L35" s="414"/>
      <c r="M35" s="421"/>
      <c r="N35" s="421"/>
      <c r="O35" s="421"/>
      <c r="P35" s="421"/>
      <c r="Q35" s="414"/>
      <c r="R35" s="420"/>
      <c r="S35" s="420"/>
      <c r="T35" s="420"/>
      <c r="U35" s="420"/>
      <c r="V35" s="414"/>
      <c r="W35" s="420">
        <f>'Rev-Exp'!M152</f>
        <v>0.90000000000000013</v>
      </c>
      <c r="X35" s="420">
        <f>'Rev-Exp'!N152</f>
        <v>1.3</v>
      </c>
      <c r="Y35" s="420">
        <f>'Rev-Exp'!O152</f>
        <v>1.1000000000000001</v>
      </c>
      <c r="Z35" s="420">
        <f>'Rev-Exp'!P152</f>
        <v>1.1999999999999995</v>
      </c>
      <c r="AA35" s="414">
        <f t="shared" si="47"/>
        <v>4.5</v>
      </c>
      <c r="AB35" s="420">
        <f>'Rev-Exp'!R152</f>
        <v>1.0999999999999999</v>
      </c>
      <c r="AC35" s="420">
        <f>'Rev-Exp'!S152</f>
        <v>1.3</v>
      </c>
      <c r="AD35" s="420">
        <f>'Rev-Exp'!T152</f>
        <v>1.1000000000000001</v>
      </c>
      <c r="AE35" s="420"/>
      <c r="AF35" s="414">
        <f t="shared" si="48"/>
        <v>3.5</v>
      </c>
      <c r="AG35" s="420"/>
      <c r="AH35" s="420"/>
      <c r="AI35" s="420"/>
      <c r="AJ35" s="420"/>
      <c r="AK35" s="414"/>
      <c r="AL35" s="420"/>
      <c r="AM35" s="420"/>
      <c r="AN35" s="420"/>
      <c r="AO35" s="420"/>
      <c r="AP35" s="414"/>
      <c r="AQ35" s="420"/>
      <c r="AR35" s="420"/>
      <c r="AS35" s="420"/>
      <c r="AT35" s="420"/>
      <c r="AU35" s="414"/>
      <c r="AV35" s="420"/>
      <c r="AW35" s="420"/>
      <c r="AX35" s="420"/>
      <c r="AY35" s="420"/>
      <c r="AZ35" s="414"/>
      <c r="BA35" s="420"/>
      <c r="BB35" s="420"/>
      <c r="BC35" s="420"/>
      <c r="BD35" s="420"/>
      <c r="BE35" s="414"/>
      <c r="BF35" s="420"/>
      <c r="BG35" s="420"/>
      <c r="BH35" s="420"/>
      <c r="BI35" s="420"/>
      <c r="BJ35" s="414"/>
      <c r="BK35" s="420"/>
      <c r="BL35" s="420"/>
      <c r="BM35" s="420"/>
      <c r="BN35" s="420"/>
      <c r="BO35" s="414"/>
      <c r="BP35" s="420"/>
      <c r="BQ35" s="420"/>
      <c r="BR35" s="420"/>
      <c r="BS35" s="420"/>
      <c r="BT35" s="414"/>
      <c r="BU35" s="420"/>
      <c r="BV35" s="420"/>
      <c r="BW35" s="420"/>
      <c r="BX35" s="420"/>
      <c r="BY35" s="414"/>
      <c r="BZ35" s="420"/>
      <c r="CA35" s="420"/>
      <c r="CB35" s="420"/>
      <c r="CC35" s="420"/>
      <c r="CD35" s="414"/>
      <c r="CE35" s="420"/>
      <c r="CF35" s="420"/>
      <c r="CG35" s="420"/>
      <c r="CH35" s="420"/>
      <c r="CI35" s="414"/>
      <c r="CJ35" s="420"/>
      <c r="CK35" s="420"/>
      <c r="CL35" s="420"/>
      <c r="CM35" s="420"/>
      <c r="CN35" s="414"/>
      <c r="CO35" s="420"/>
      <c r="CP35" s="420"/>
      <c r="CQ35" s="420"/>
      <c r="CR35" s="420"/>
      <c r="CS35" s="414"/>
      <c r="CT35" s="420"/>
      <c r="CU35" s="420"/>
      <c r="CV35" s="420"/>
      <c r="CW35" s="420"/>
      <c r="CX35" s="414"/>
    </row>
    <row r="36" spans="2:102" ht="12.75" hidden="1" customHeight="1" outlineLevel="2">
      <c r="B36" s="171" t="s">
        <v>570</v>
      </c>
      <c r="C36" s="421"/>
      <c r="D36" s="421"/>
      <c r="E36" s="421"/>
      <c r="F36" s="421"/>
      <c r="G36" s="414"/>
      <c r="H36" s="421"/>
      <c r="I36" s="421"/>
      <c r="J36" s="421"/>
      <c r="K36" s="421"/>
      <c r="L36" s="414"/>
      <c r="M36" s="421"/>
      <c r="N36" s="421"/>
      <c r="O36" s="421"/>
      <c r="P36" s="421"/>
      <c r="Q36" s="414"/>
      <c r="R36" s="420"/>
      <c r="S36" s="420"/>
      <c r="T36" s="420"/>
      <c r="U36" s="420"/>
      <c r="V36" s="414"/>
      <c r="W36" s="420"/>
      <c r="X36" s="420"/>
      <c r="Y36" s="420"/>
      <c r="Z36" s="420"/>
      <c r="AA36" s="414"/>
      <c r="AB36" s="420"/>
      <c r="AC36" s="420"/>
      <c r="AD36" s="420"/>
      <c r="AE36" s="420"/>
      <c r="AF36" s="414"/>
      <c r="AG36" s="420">
        <f>'Rev-Exp'!W156</f>
        <v>17.2</v>
      </c>
      <c r="AH36" s="420"/>
      <c r="AI36" s="420"/>
      <c r="AJ36" s="420"/>
      <c r="AK36" s="414"/>
      <c r="AL36" s="420"/>
      <c r="AM36" s="420"/>
      <c r="AN36" s="420"/>
      <c r="AO36" s="420"/>
      <c r="AP36" s="414"/>
      <c r="AQ36" s="420"/>
      <c r="AR36" s="420"/>
      <c r="AS36" s="420"/>
      <c r="AT36" s="420"/>
      <c r="AU36" s="414"/>
      <c r="AV36" s="420"/>
      <c r="AW36" s="420"/>
      <c r="AX36" s="420"/>
      <c r="AY36" s="420"/>
      <c r="AZ36" s="414"/>
      <c r="BA36" s="420"/>
      <c r="BB36" s="420"/>
      <c r="BC36" s="420"/>
      <c r="BD36" s="420"/>
      <c r="BE36" s="414"/>
      <c r="BF36" s="420"/>
      <c r="BG36" s="420"/>
      <c r="BH36" s="420"/>
      <c r="BI36" s="420"/>
      <c r="BJ36" s="414"/>
      <c r="BK36" s="420"/>
      <c r="BL36" s="420"/>
      <c r="BM36" s="420"/>
      <c r="BN36" s="420"/>
      <c r="BO36" s="414"/>
      <c r="BP36" s="420"/>
      <c r="BQ36" s="420"/>
      <c r="BR36" s="420"/>
      <c r="BS36" s="420"/>
      <c r="BT36" s="414"/>
      <c r="BU36" s="420"/>
      <c r="BV36" s="420"/>
      <c r="BW36" s="420"/>
      <c r="BX36" s="420"/>
      <c r="BY36" s="414"/>
      <c r="BZ36" s="420"/>
      <c r="CA36" s="420"/>
      <c r="CB36" s="420"/>
      <c r="CC36" s="420"/>
      <c r="CD36" s="414"/>
      <c r="CE36" s="420"/>
      <c r="CF36" s="420"/>
      <c r="CG36" s="420"/>
      <c r="CH36" s="420"/>
      <c r="CI36" s="414"/>
      <c r="CJ36" s="420"/>
      <c r="CK36" s="420"/>
      <c r="CL36" s="420"/>
      <c r="CM36" s="420"/>
      <c r="CN36" s="414"/>
      <c r="CO36" s="420"/>
      <c r="CP36" s="420"/>
      <c r="CQ36" s="420"/>
      <c r="CR36" s="420"/>
      <c r="CS36" s="414"/>
      <c r="CT36" s="420"/>
      <c r="CU36" s="420"/>
      <c r="CV36" s="420"/>
      <c r="CW36" s="420"/>
      <c r="CX36" s="414"/>
    </row>
    <row r="37" spans="2:102" ht="12.75" hidden="1" customHeight="1" outlineLevel="2">
      <c r="B37" s="171" t="s">
        <v>275</v>
      </c>
      <c r="C37" s="421"/>
      <c r="D37" s="421"/>
      <c r="E37" s="421"/>
      <c r="F37" s="421"/>
      <c r="G37" s="414"/>
      <c r="H37" s="421"/>
      <c r="I37" s="421"/>
      <c r="J37" s="421"/>
      <c r="K37" s="421"/>
      <c r="L37" s="414"/>
      <c r="M37" s="421"/>
      <c r="N37" s="421"/>
      <c r="O37" s="421"/>
      <c r="P37" s="421"/>
      <c r="Q37" s="414">
        <v>54.5</v>
      </c>
      <c r="R37" s="420"/>
      <c r="S37" s="420"/>
      <c r="T37" s="420"/>
      <c r="U37" s="420"/>
      <c r="V37" s="414">
        <v>70.5</v>
      </c>
      <c r="W37" s="420">
        <f>'Rev-Exp'!M168</f>
        <v>16.7</v>
      </c>
      <c r="X37" s="420">
        <f>'Rev-Exp'!N168</f>
        <v>17</v>
      </c>
      <c r="Y37" s="420">
        <f>'Rev-Exp'!O168</f>
        <v>18.600000000000001</v>
      </c>
      <c r="Z37" s="420">
        <f>'Rev-Exp'!P168</f>
        <v>21.7</v>
      </c>
      <c r="AA37" s="414">
        <f t="shared" si="47"/>
        <v>74</v>
      </c>
      <c r="AB37" s="420">
        <f>'Rev-Exp'!R168</f>
        <v>19</v>
      </c>
      <c r="AC37" s="420">
        <f>'Rev-Exp'!S168</f>
        <v>20.5</v>
      </c>
      <c r="AD37" s="420">
        <f>'Rev-Exp'!T168</f>
        <v>19.5</v>
      </c>
      <c r="AE37" s="420">
        <v>20</v>
      </c>
      <c r="AF37" s="414">
        <f t="shared" si="48"/>
        <v>79</v>
      </c>
      <c r="AG37" s="420">
        <f>'Rev-Exp'!W168</f>
        <v>25.8</v>
      </c>
      <c r="AH37" s="420"/>
      <c r="AI37" s="420"/>
      <c r="AJ37" s="420"/>
      <c r="AK37" s="414"/>
      <c r="AL37" s="420"/>
      <c r="AM37" s="420"/>
      <c r="AN37" s="420"/>
      <c r="AO37" s="420"/>
      <c r="AP37" s="414"/>
      <c r="AQ37" s="420"/>
      <c r="AR37" s="420"/>
      <c r="AS37" s="420"/>
      <c r="AT37" s="420"/>
      <c r="AU37" s="414"/>
      <c r="AV37" s="420"/>
      <c r="AW37" s="420"/>
      <c r="AX37" s="420"/>
      <c r="AY37" s="420"/>
      <c r="AZ37" s="414"/>
      <c r="BA37" s="420"/>
      <c r="BB37" s="420"/>
      <c r="BC37" s="420"/>
      <c r="BD37" s="420"/>
      <c r="BE37" s="414"/>
      <c r="BF37" s="420"/>
      <c r="BG37" s="420"/>
      <c r="BH37" s="420"/>
      <c r="BI37" s="420"/>
      <c r="BJ37" s="414"/>
      <c r="BK37" s="420"/>
      <c r="BL37" s="420"/>
      <c r="BM37" s="420"/>
      <c r="BN37" s="420"/>
      <c r="BO37" s="414"/>
      <c r="BP37" s="420"/>
      <c r="BQ37" s="420"/>
      <c r="BR37" s="420"/>
      <c r="BS37" s="420"/>
      <c r="BT37" s="414"/>
      <c r="BU37" s="420"/>
      <c r="BV37" s="420"/>
      <c r="BW37" s="420"/>
      <c r="BX37" s="420"/>
      <c r="BY37" s="414"/>
      <c r="BZ37" s="420"/>
      <c r="CA37" s="420"/>
      <c r="CB37" s="420"/>
      <c r="CC37" s="420"/>
      <c r="CD37" s="414"/>
      <c r="CE37" s="420"/>
      <c r="CF37" s="420"/>
      <c r="CG37" s="420"/>
      <c r="CH37" s="420"/>
      <c r="CI37" s="414"/>
      <c r="CJ37" s="420"/>
      <c r="CK37" s="420"/>
      <c r="CL37" s="420"/>
      <c r="CM37" s="420"/>
      <c r="CN37" s="414"/>
      <c r="CO37" s="420"/>
      <c r="CP37" s="420"/>
      <c r="CQ37" s="420"/>
      <c r="CR37" s="420"/>
      <c r="CS37" s="414"/>
      <c r="CT37" s="420"/>
      <c r="CU37" s="420"/>
      <c r="CV37" s="420"/>
      <c r="CW37" s="420"/>
      <c r="CX37" s="414"/>
    </row>
    <row r="38" spans="2:102" ht="12.75" hidden="1" customHeight="1" outlineLevel="2">
      <c r="B38" s="171" t="s">
        <v>447</v>
      </c>
      <c r="C38" s="421"/>
      <c r="D38" s="421"/>
      <c r="E38" s="421"/>
      <c r="F38" s="421"/>
      <c r="G38" s="414"/>
      <c r="H38" s="421"/>
      <c r="I38" s="421"/>
      <c r="J38" s="421"/>
      <c r="K38" s="421"/>
      <c r="L38" s="414"/>
      <c r="M38" s="421"/>
      <c r="N38" s="421"/>
      <c r="O38" s="421"/>
      <c r="P38" s="421"/>
      <c r="Q38" s="414">
        <v>13.8</v>
      </c>
      <c r="R38" s="420"/>
      <c r="S38" s="420"/>
      <c r="T38" s="420"/>
      <c r="U38" s="420"/>
      <c r="V38" s="414">
        <v>39.6</v>
      </c>
      <c r="W38" s="420">
        <f>'Rev-Exp'!M186</f>
        <v>9.1999999999999993</v>
      </c>
      <c r="X38" s="420">
        <f>'Rev-Exp'!N186</f>
        <v>9.9</v>
      </c>
      <c r="Y38" s="420">
        <f>'Rev-Exp'!O186</f>
        <v>10</v>
      </c>
      <c r="Z38" s="420">
        <f>'Rev-Exp'!P186</f>
        <v>10.8</v>
      </c>
      <c r="AA38" s="414">
        <f t="shared" si="47"/>
        <v>39.900000000000006</v>
      </c>
      <c r="AB38" s="420">
        <f>'Rev-Exp'!R186</f>
        <v>16</v>
      </c>
      <c r="AC38" s="420">
        <f>'Rev-Exp'!S186</f>
        <v>16.2</v>
      </c>
      <c r="AD38" s="420">
        <f>'Rev-Exp'!T186</f>
        <v>20.2</v>
      </c>
      <c r="AE38" s="420">
        <v>20</v>
      </c>
      <c r="AF38" s="414">
        <f t="shared" si="48"/>
        <v>72.400000000000006</v>
      </c>
      <c r="AG38" s="420">
        <f>'Rev-Exp'!W186</f>
        <v>16.600000000000001</v>
      </c>
      <c r="AH38" s="420"/>
      <c r="AI38" s="420"/>
      <c r="AJ38" s="420"/>
      <c r="AK38" s="414"/>
      <c r="AL38" s="420"/>
      <c r="AM38" s="420"/>
      <c r="AN38" s="420"/>
      <c r="AO38" s="420"/>
      <c r="AP38" s="414"/>
      <c r="AQ38" s="420"/>
      <c r="AR38" s="420"/>
      <c r="AS38" s="420"/>
      <c r="AT38" s="420"/>
      <c r="AU38" s="414"/>
      <c r="AV38" s="420"/>
      <c r="AW38" s="420"/>
      <c r="AX38" s="420"/>
      <c r="AY38" s="420"/>
      <c r="AZ38" s="414"/>
      <c r="BA38" s="420"/>
      <c r="BB38" s="420"/>
      <c r="BC38" s="420"/>
      <c r="BD38" s="420"/>
      <c r="BE38" s="414"/>
      <c r="BF38" s="420"/>
      <c r="BG38" s="420"/>
      <c r="BH38" s="420"/>
      <c r="BI38" s="420"/>
      <c r="BJ38" s="414"/>
      <c r="BK38" s="420"/>
      <c r="BL38" s="420"/>
      <c r="BM38" s="420"/>
      <c r="BN38" s="420"/>
      <c r="BO38" s="414"/>
      <c r="BP38" s="420"/>
      <c r="BQ38" s="420"/>
      <c r="BR38" s="420"/>
      <c r="BS38" s="420"/>
      <c r="BT38" s="414"/>
      <c r="BU38" s="420"/>
      <c r="BV38" s="420"/>
      <c r="BW38" s="420"/>
      <c r="BX38" s="420"/>
      <c r="BY38" s="414"/>
      <c r="BZ38" s="420"/>
      <c r="CA38" s="420"/>
      <c r="CB38" s="420"/>
      <c r="CC38" s="420"/>
      <c r="CD38" s="414"/>
      <c r="CE38" s="420"/>
      <c r="CF38" s="420"/>
      <c r="CG38" s="420"/>
      <c r="CH38" s="420"/>
      <c r="CI38" s="414"/>
      <c r="CJ38" s="420"/>
      <c r="CK38" s="420"/>
      <c r="CL38" s="420"/>
      <c r="CM38" s="420"/>
      <c r="CN38" s="414"/>
      <c r="CO38" s="420"/>
      <c r="CP38" s="420"/>
      <c r="CQ38" s="420"/>
      <c r="CR38" s="420"/>
      <c r="CS38" s="414"/>
      <c r="CT38" s="420"/>
      <c r="CU38" s="420"/>
      <c r="CV38" s="420"/>
      <c r="CW38" s="420"/>
      <c r="CX38" s="414"/>
    </row>
    <row r="39" spans="2:102" ht="12.75" hidden="1" customHeight="1" outlineLevel="2">
      <c r="B39" s="171" t="s">
        <v>446</v>
      </c>
      <c r="C39" s="421"/>
      <c r="D39" s="421"/>
      <c r="E39" s="421"/>
      <c r="F39" s="421"/>
      <c r="G39" s="414"/>
      <c r="H39" s="421"/>
      <c r="I39" s="421"/>
      <c r="J39" s="421"/>
      <c r="K39" s="421"/>
      <c r="L39" s="414"/>
      <c r="M39" s="421"/>
      <c r="N39" s="421"/>
      <c r="O39" s="421"/>
      <c r="P39" s="421"/>
      <c r="Q39" s="414">
        <v>45.6</v>
      </c>
      <c r="R39" s="420"/>
      <c r="S39" s="420"/>
      <c r="T39" s="420"/>
      <c r="U39" s="420"/>
      <c r="V39" s="414">
        <v>51.1</v>
      </c>
      <c r="W39" s="420">
        <f>'Rev-Exp'!M204</f>
        <v>16.600000000000001</v>
      </c>
      <c r="X39" s="420">
        <f>'Rev-Exp'!N204</f>
        <v>13.6</v>
      </c>
      <c r="Y39" s="420">
        <f>'Rev-Exp'!O204</f>
        <v>15.2</v>
      </c>
      <c r="Z39" s="420">
        <f>'Rev-Exp'!P204</f>
        <v>13.200000000000003</v>
      </c>
      <c r="AA39" s="414">
        <f t="shared" si="47"/>
        <v>58.600000000000009</v>
      </c>
      <c r="AB39" s="420">
        <f>'Rev-Exp'!R204</f>
        <v>15.2</v>
      </c>
      <c r="AC39" s="420">
        <f>'Rev-Exp'!S204</f>
        <v>13.5</v>
      </c>
      <c r="AD39" s="420">
        <f>'Rev-Exp'!T204</f>
        <v>9.1</v>
      </c>
      <c r="AE39" s="420"/>
      <c r="AF39" s="414">
        <f t="shared" si="48"/>
        <v>37.799999999999997</v>
      </c>
      <c r="AG39" s="420"/>
      <c r="AH39" s="420"/>
      <c r="AI39" s="420"/>
      <c r="AJ39" s="420"/>
      <c r="AK39" s="414"/>
      <c r="AL39" s="420"/>
      <c r="AM39" s="420"/>
      <c r="AN39" s="420"/>
      <c r="AO39" s="420"/>
      <c r="AP39" s="414"/>
      <c r="AQ39" s="420"/>
      <c r="AR39" s="420"/>
      <c r="AS39" s="420"/>
      <c r="AT39" s="420"/>
      <c r="AU39" s="414"/>
      <c r="AV39" s="420"/>
      <c r="AW39" s="420"/>
      <c r="AX39" s="420"/>
      <c r="AY39" s="420"/>
      <c r="AZ39" s="414"/>
      <c r="BA39" s="420"/>
      <c r="BB39" s="420"/>
      <c r="BC39" s="420"/>
      <c r="BD39" s="420"/>
      <c r="BE39" s="414"/>
      <c r="BF39" s="420"/>
      <c r="BG39" s="420"/>
      <c r="BH39" s="420"/>
      <c r="BI39" s="420"/>
      <c r="BJ39" s="414"/>
      <c r="BK39" s="420"/>
      <c r="BL39" s="420"/>
      <c r="BM39" s="420"/>
      <c r="BN39" s="420"/>
      <c r="BO39" s="414"/>
      <c r="BP39" s="420"/>
      <c r="BQ39" s="420"/>
      <c r="BR39" s="420"/>
      <c r="BS39" s="420"/>
      <c r="BT39" s="414"/>
      <c r="BU39" s="420"/>
      <c r="BV39" s="420"/>
      <c r="BW39" s="420"/>
      <c r="BX39" s="420"/>
      <c r="BY39" s="414"/>
      <c r="BZ39" s="420"/>
      <c r="CA39" s="420"/>
      <c r="CB39" s="420"/>
      <c r="CC39" s="420"/>
      <c r="CD39" s="414"/>
      <c r="CE39" s="420"/>
      <c r="CF39" s="420"/>
      <c r="CG39" s="420"/>
      <c r="CH39" s="420"/>
      <c r="CI39" s="414"/>
      <c r="CJ39" s="420"/>
      <c r="CK39" s="420"/>
      <c r="CL39" s="420"/>
      <c r="CM39" s="420"/>
      <c r="CN39" s="414"/>
      <c r="CO39" s="420"/>
      <c r="CP39" s="420"/>
      <c r="CQ39" s="420"/>
      <c r="CR39" s="420"/>
      <c r="CS39" s="414"/>
      <c r="CT39" s="420"/>
      <c r="CU39" s="420"/>
      <c r="CV39" s="420"/>
      <c r="CW39" s="420"/>
      <c r="CX39" s="414"/>
    </row>
    <row r="40" spans="2:102" ht="12.75" hidden="1" customHeight="1" outlineLevel="2">
      <c r="B40" s="171" t="s">
        <v>276</v>
      </c>
      <c r="C40" s="421"/>
      <c r="D40" s="421"/>
      <c r="E40" s="421"/>
      <c r="F40" s="421"/>
      <c r="G40" s="414"/>
      <c r="H40" s="421"/>
      <c r="I40" s="421"/>
      <c r="J40" s="421"/>
      <c r="K40" s="421"/>
      <c r="L40" s="414"/>
      <c r="M40" s="421"/>
      <c r="N40" s="421"/>
      <c r="O40" s="421"/>
      <c r="P40" s="421"/>
      <c r="Q40" s="414">
        <v>15</v>
      </c>
      <c r="R40" s="420"/>
      <c r="S40" s="420"/>
      <c r="T40" s="420"/>
      <c r="U40" s="420"/>
      <c r="V40" s="414">
        <v>22.5</v>
      </c>
      <c r="W40" s="420">
        <f>'Rev-Exp'!M180</f>
        <v>8.6999999999999993</v>
      </c>
      <c r="X40" s="420">
        <f>'Rev-Exp'!N180</f>
        <v>9.9</v>
      </c>
      <c r="Y40" s="420">
        <f>'Rev-Exp'!O180</f>
        <v>11.2</v>
      </c>
      <c r="Z40" s="420">
        <f>'Rev-Exp'!P180</f>
        <v>19.600000000000005</v>
      </c>
      <c r="AA40" s="414">
        <f t="shared" si="47"/>
        <v>49.400000000000006</v>
      </c>
      <c r="AB40" s="420">
        <f>'Rev-Exp'!R180</f>
        <v>13.1</v>
      </c>
      <c r="AC40" s="420">
        <f>'Rev-Exp'!S180</f>
        <v>10.8</v>
      </c>
      <c r="AD40" s="420">
        <f>'Rev-Exp'!T180</f>
        <v>11.6</v>
      </c>
      <c r="AE40" s="420"/>
      <c r="AF40" s="414">
        <f t="shared" si="48"/>
        <v>35.5</v>
      </c>
      <c r="AG40" s="420">
        <f>'Rev-Exp'!W180</f>
        <v>13.6</v>
      </c>
      <c r="AH40" s="420"/>
      <c r="AI40" s="420"/>
      <c r="AJ40" s="420"/>
      <c r="AK40" s="414"/>
      <c r="AL40" s="420"/>
      <c r="AM40" s="420"/>
      <c r="AN40" s="420"/>
      <c r="AO40" s="420"/>
      <c r="AP40" s="414"/>
      <c r="AQ40" s="420"/>
      <c r="AR40" s="420"/>
      <c r="AS40" s="420"/>
      <c r="AT40" s="420"/>
      <c r="AU40" s="414"/>
      <c r="AV40" s="420"/>
      <c r="AW40" s="420"/>
      <c r="AX40" s="420"/>
      <c r="AY40" s="420"/>
      <c r="AZ40" s="414"/>
      <c r="BA40" s="420"/>
      <c r="BB40" s="420"/>
      <c r="BC40" s="420"/>
      <c r="BD40" s="420"/>
      <c r="BE40" s="414"/>
      <c r="BF40" s="420"/>
      <c r="BG40" s="420"/>
      <c r="BH40" s="420"/>
      <c r="BI40" s="420"/>
      <c r="BJ40" s="414"/>
      <c r="BK40" s="420"/>
      <c r="BL40" s="420"/>
      <c r="BM40" s="420"/>
      <c r="BN40" s="420"/>
      <c r="BO40" s="414"/>
      <c r="BP40" s="420"/>
      <c r="BQ40" s="420"/>
      <c r="BR40" s="420"/>
      <c r="BS40" s="420"/>
      <c r="BT40" s="414"/>
      <c r="BU40" s="420"/>
      <c r="BV40" s="420"/>
      <c r="BW40" s="420"/>
      <c r="BX40" s="420"/>
      <c r="BY40" s="414"/>
      <c r="BZ40" s="420"/>
      <c r="CA40" s="420"/>
      <c r="CB40" s="420"/>
      <c r="CC40" s="420"/>
      <c r="CD40" s="414"/>
      <c r="CE40" s="420"/>
      <c r="CF40" s="420"/>
      <c r="CG40" s="420"/>
      <c r="CH40" s="420"/>
      <c r="CI40" s="414"/>
      <c r="CJ40" s="420"/>
      <c r="CK40" s="420"/>
      <c r="CL40" s="420"/>
      <c r="CM40" s="420"/>
      <c r="CN40" s="414"/>
      <c r="CO40" s="420"/>
      <c r="CP40" s="420"/>
      <c r="CQ40" s="420"/>
      <c r="CR40" s="420"/>
      <c r="CS40" s="414"/>
      <c r="CT40" s="420"/>
      <c r="CU40" s="420"/>
      <c r="CV40" s="420"/>
      <c r="CW40" s="420"/>
      <c r="CX40" s="414"/>
    </row>
    <row r="41" spans="2:102" ht="12.75" hidden="1" customHeight="1" outlineLevel="2">
      <c r="B41" s="171" t="s">
        <v>409</v>
      </c>
      <c r="C41" s="421"/>
      <c r="D41" s="421"/>
      <c r="E41" s="421"/>
      <c r="F41" s="421"/>
      <c r="G41" s="414"/>
      <c r="H41" s="421"/>
      <c r="I41" s="421"/>
      <c r="J41" s="421"/>
      <c r="K41" s="421"/>
      <c r="L41" s="414"/>
      <c r="M41" s="421"/>
      <c r="N41" s="421"/>
      <c r="O41" s="421"/>
      <c r="P41" s="421"/>
      <c r="Q41" s="414"/>
      <c r="R41" s="420"/>
      <c r="S41" s="420"/>
      <c r="T41" s="420"/>
      <c r="U41" s="420"/>
      <c r="V41" s="414"/>
      <c r="W41" s="420">
        <f>'Rev-Exp'!M174</f>
        <v>5.8000000000000007</v>
      </c>
      <c r="X41" s="420">
        <f>'Rev-Exp'!N174</f>
        <v>10.5</v>
      </c>
      <c r="Y41" s="420">
        <f>'Rev-Exp'!O174</f>
        <v>6</v>
      </c>
      <c r="Z41" s="420">
        <f>'Rev-Exp'!P174</f>
        <v>5</v>
      </c>
      <c r="AA41" s="414"/>
      <c r="AB41" s="420">
        <f>'Rev-Exp'!R174</f>
        <v>11.700000000000001</v>
      </c>
      <c r="AC41" s="420">
        <f>'Rev-Exp'!S174</f>
        <v>14.4</v>
      </c>
      <c r="AD41" s="420">
        <f>'Rev-Exp'!T174</f>
        <v>12.8</v>
      </c>
      <c r="AE41" s="420"/>
      <c r="AF41" s="414">
        <f t="shared" si="48"/>
        <v>38.900000000000006</v>
      </c>
      <c r="AG41" s="420">
        <f>'Rev-Exp'!W174</f>
        <v>21.3</v>
      </c>
      <c r="AH41" s="420"/>
      <c r="AI41" s="420"/>
      <c r="AJ41" s="420"/>
      <c r="AK41" s="414"/>
      <c r="AL41" s="420"/>
      <c r="AM41" s="420"/>
      <c r="AN41" s="420"/>
      <c r="AO41" s="420"/>
      <c r="AP41" s="414"/>
      <c r="AQ41" s="420"/>
      <c r="AR41" s="420"/>
      <c r="AS41" s="420"/>
      <c r="AT41" s="420"/>
      <c r="AU41" s="414"/>
      <c r="AV41" s="420"/>
      <c r="AW41" s="420"/>
      <c r="AX41" s="420"/>
      <c r="AY41" s="420"/>
      <c r="AZ41" s="414"/>
      <c r="BA41" s="420"/>
      <c r="BB41" s="420"/>
      <c r="BC41" s="420"/>
      <c r="BD41" s="420"/>
      <c r="BE41" s="414"/>
      <c r="BF41" s="420"/>
      <c r="BG41" s="420"/>
      <c r="BH41" s="420"/>
      <c r="BI41" s="420"/>
      <c r="BJ41" s="414"/>
      <c r="BK41" s="420"/>
      <c r="BL41" s="420"/>
      <c r="BM41" s="420"/>
      <c r="BN41" s="420"/>
      <c r="BO41" s="414"/>
      <c r="BP41" s="420"/>
      <c r="BQ41" s="420"/>
      <c r="BR41" s="420"/>
      <c r="BS41" s="420"/>
      <c r="BT41" s="414"/>
      <c r="BU41" s="420"/>
      <c r="BV41" s="420"/>
      <c r="BW41" s="420"/>
      <c r="BX41" s="420"/>
      <c r="BY41" s="414"/>
      <c r="BZ41" s="420"/>
      <c r="CA41" s="420"/>
      <c r="CB41" s="420"/>
      <c r="CC41" s="420"/>
      <c r="CD41" s="414"/>
      <c r="CE41" s="420"/>
      <c r="CF41" s="420"/>
      <c r="CG41" s="420"/>
      <c r="CH41" s="420"/>
      <c r="CI41" s="414"/>
      <c r="CJ41" s="420"/>
      <c r="CK41" s="420"/>
      <c r="CL41" s="420"/>
      <c r="CM41" s="420"/>
      <c r="CN41" s="414"/>
      <c r="CO41" s="420"/>
      <c r="CP41" s="420"/>
      <c r="CQ41" s="420"/>
      <c r="CR41" s="420"/>
      <c r="CS41" s="414"/>
      <c r="CT41" s="420"/>
      <c r="CU41" s="420"/>
      <c r="CV41" s="420"/>
      <c r="CW41" s="420"/>
      <c r="CX41" s="414"/>
    </row>
    <row r="42" spans="2:102" ht="12.75" hidden="1" customHeight="1" outlineLevel="2">
      <c r="B42" s="171" t="s">
        <v>445</v>
      </c>
      <c r="C42" s="421"/>
      <c r="D42" s="421"/>
      <c r="E42" s="421"/>
      <c r="F42" s="421"/>
      <c r="G42" s="414"/>
      <c r="H42" s="421"/>
      <c r="I42" s="421"/>
      <c r="J42" s="421"/>
      <c r="K42" s="421"/>
      <c r="L42" s="414"/>
      <c r="M42" s="421"/>
      <c r="N42" s="421"/>
      <c r="O42" s="421"/>
      <c r="P42" s="421"/>
      <c r="Q42" s="414">
        <v>29.5</v>
      </c>
      <c r="R42" s="420"/>
      <c r="S42" s="420"/>
      <c r="T42" s="420"/>
      <c r="U42" s="420"/>
      <c r="V42" s="414">
        <v>59.8</v>
      </c>
      <c r="W42" s="420">
        <f>'Rev-Exp'!M210</f>
        <v>18.3</v>
      </c>
      <c r="X42" s="420">
        <f>'Rev-Exp'!N210</f>
        <v>19.7</v>
      </c>
      <c r="Y42" s="420">
        <f>'Rev-Exp'!O210</f>
        <v>17.399999999999999</v>
      </c>
      <c r="Z42" s="420">
        <f>'Rev-Exp'!P210</f>
        <v>9.8000000000000043</v>
      </c>
      <c r="AA42" s="414">
        <f t="shared" ref="AA42:AA53" si="49">SUM(W42:Z42)</f>
        <v>65.2</v>
      </c>
      <c r="AB42" s="420">
        <f>'Rev-Exp'!R210</f>
        <v>2.1</v>
      </c>
      <c r="AC42" s="420">
        <f>'Rev-Exp'!S210</f>
        <v>0.6</v>
      </c>
      <c r="AD42" s="420">
        <f>'Rev-Exp'!T210</f>
        <v>-0.9</v>
      </c>
      <c r="AE42" s="420"/>
      <c r="AF42" s="414">
        <f t="shared" si="48"/>
        <v>1.8000000000000003</v>
      </c>
      <c r="AG42" s="420"/>
      <c r="AH42" s="420"/>
      <c r="AI42" s="420"/>
      <c r="AJ42" s="420"/>
      <c r="AK42" s="414"/>
      <c r="AL42" s="420"/>
      <c r="AM42" s="420"/>
      <c r="AN42" s="420"/>
      <c r="AO42" s="420"/>
      <c r="AP42" s="414"/>
      <c r="AQ42" s="420"/>
      <c r="AR42" s="420"/>
      <c r="AS42" s="420"/>
      <c r="AT42" s="420"/>
      <c r="AU42" s="414"/>
      <c r="AV42" s="420"/>
      <c r="AW42" s="420"/>
      <c r="AX42" s="420"/>
      <c r="AY42" s="420"/>
      <c r="AZ42" s="414"/>
      <c r="BA42" s="420"/>
      <c r="BB42" s="420"/>
      <c r="BC42" s="420"/>
      <c r="BD42" s="420"/>
      <c r="BE42" s="414"/>
      <c r="BF42" s="420"/>
      <c r="BG42" s="420"/>
      <c r="BH42" s="420"/>
      <c r="BI42" s="420"/>
      <c r="BJ42" s="414"/>
      <c r="BK42" s="420"/>
      <c r="BL42" s="420"/>
      <c r="BM42" s="420"/>
      <c r="BN42" s="420"/>
      <c r="BO42" s="414"/>
      <c r="BP42" s="420"/>
      <c r="BQ42" s="420"/>
      <c r="BR42" s="420"/>
      <c r="BS42" s="420"/>
      <c r="BT42" s="414"/>
      <c r="BU42" s="420"/>
      <c r="BV42" s="420"/>
      <c r="BW42" s="420"/>
      <c r="BX42" s="420"/>
      <c r="BY42" s="414"/>
      <c r="BZ42" s="420"/>
      <c r="CA42" s="420"/>
      <c r="CB42" s="420"/>
      <c r="CC42" s="420"/>
      <c r="CD42" s="414"/>
      <c r="CE42" s="420"/>
      <c r="CF42" s="420"/>
      <c r="CG42" s="420"/>
      <c r="CH42" s="420"/>
      <c r="CI42" s="414"/>
      <c r="CJ42" s="420"/>
      <c r="CK42" s="420"/>
      <c r="CL42" s="420"/>
      <c r="CM42" s="420"/>
      <c r="CN42" s="414"/>
      <c r="CO42" s="420"/>
      <c r="CP42" s="420"/>
      <c r="CQ42" s="420"/>
      <c r="CR42" s="420"/>
      <c r="CS42" s="414"/>
      <c r="CT42" s="420"/>
      <c r="CU42" s="420"/>
      <c r="CV42" s="420"/>
      <c r="CW42" s="420"/>
      <c r="CX42" s="414"/>
    </row>
    <row r="43" spans="2:102" ht="12.75" hidden="1" customHeight="1" outlineLevel="2">
      <c r="B43" s="171" t="s">
        <v>274</v>
      </c>
      <c r="C43" s="421"/>
      <c r="D43" s="421"/>
      <c r="E43" s="421"/>
      <c r="F43" s="421"/>
      <c r="G43" s="414"/>
      <c r="H43" s="421"/>
      <c r="I43" s="421"/>
      <c r="J43" s="421"/>
      <c r="K43" s="421"/>
      <c r="L43" s="414"/>
      <c r="M43" s="421"/>
      <c r="N43" s="421"/>
      <c r="O43" s="421"/>
      <c r="P43" s="421"/>
      <c r="Q43" s="414">
        <v>0</v>
      </c>
      <c r="R43" s="420"/>
      <c r="S43" s="420"/>
      <c r="T43" s="420"/>
      <c r="U43" s="420"/>
      <c r="V43" s="414">
        <v>0</v>
      </c>
      <c r="W43" s="420">
        <f>'Rev-Exp'!M198</f>
        <v>6.8</v>
      </c>
      <c r="X43" s="420">
        <f>'Rev-Exp'!N198</f>
        <v>14.2</v>
      </c>
      <c r="Y43" s="420">
        <f>'Rev-Exp'!O198</f>
        <v>16.2</v>
      </c>
      <c r="Z43" s="420">
        <f>'Rev-Exp'!P198</f>
        <v>12.700000000000003</v>
      </c>
      <c r="AA43" s="414">
        <f t="shared" si="49"/>
        <v>49.900000000000006</v>
      </c>
      <c r="AB43" s="420">
        <f>'Rev-Exp'!R198</f>
        <v>16.399999999999999</v>
      </c>
      <c r="AC43" s="420">
        <f>'Rev-Exp'!S198</f>
        <v>27.1</v>
      </c>
      <c r="AD43" s="420">
        <f>'Rev-Exp'!T198</f>
        <v>17.7</v>
      </c>
      <c r="AE43" s="420"/>
      <c r="AF43" s="414">
        <f t="shared" si="48"/>
        <v>61.2</v>
      </c>
      <c r="AG43" s="420"/>
      <c r="AH43" s="420"/>
      <c r="AI43" s="420"/>
      <c r="AJ43" s="420"/>
      <c r="AK43" s="414"/>
      <c r="AL43" s="420"/>
      <c r="AM43" s="420"/>
      <c r="AN43" s="420"/>
      <c r="AO43" s="420"/>
      <c r="AP43" s="414"/>
      <c r="AQ43" s="420"/>
      <c r="AR43" s="420"/>
      <c r="AS43" s="420"/>
      <c r="AT43" s="420"/>
      <c r="AU43" s="414"/>
      <c r="AV43" s="420"/>
      <c r="AW43" s="420"/>
      <c r="AX43" s="420"/>
      <c r="AY43" s="420"/>
      <c r="AZ43" s="414"/>
      <c r="BA43" s="420"/>
      <c r="BB43" s="420"/>
      <c r="BC43" s="420"/>
      <c r="BD43" s="420"/>
      <c r="BE43" s="414"/>
      <c r="BF43" s="420"/>
      <c r="BG43" s="420"/>
      <c r="BH43" s="420"/>
      <c r="BI43" s="420"/>
      <c r="BJ43" s="414"/>
      <c r="BK43" s="420"/>
      <c r="BL43" s="420"/>
      <c r="BM43" s="420"/>
      <c r="BN43" s="420"/>
      <c r="BO43" s="414"/>
      <c r="BP43" s="420"/>
      <c r="BQ43" s="420"/>
      <c r="BR43" s="420"/>
      <c r="BS43" s="420"/>
      <c r="BT43" s="414"/>
      <c r="BU43" s="420"/>
      <c r="BV43" s="420"/>
      <c r="BW43" s="420"/>
      <c r="BX43" s="420"/>
      <c r="BY43" s="414"/>
      <c r="BZ43" s="420"/>
      <c r="CA43" s="420"/>
      <c r="CB43" s="420"/>
      <c r="CC43" s="420"/>
      <c r="CD43" s="414"/>
      <c r="CE43" s="420"/>
      <c r="CF43" s="420"/>
      <c r="CG43" s="420"/>
      <c r="CH43" s="420"/>
      <c r="CI43" s="414"/>
      <c r="CJ43" s="420"/>
      <c r="CK43" s="420"/>
      <c r="CL43" s="420"/>
      <c r="CM43" s="420"/>
      <c r="CN43" s="414"/>
      <c r="CO43" s="420"/>
      <c r="CP43" s="420"/>
      <c r="CQ43" s="420"/>
      <c r="CR43" s="420"/>
      <c r="CS43" s="414"/>
      <c r="CT43" s="420"/>
      <c r="CU43" s="420"/>
      <c r="CV43" s="420"/>
      <c r="CW43" s="420"/>
      <c r="CX43" s="414"/>
    </row>
    <row r="44" spans="2:102" ht="12.75" hidden="1" customHeight="1" outlineLevel="2">
      <c r="B44" s="171" t="s">
        <v>448</v>
      </c>
      <c r="C44" s="421"/>
      <c r="D44" s="421"/>
      <c r="E44" s="421"/>
      <c r="F44" s="421"/>
      <c r="G44" s="414"/>
      <c r="H44" s="421"/>
      <c r="I44" s="421"/>
      <c r="J44" s="421"/>
      <c r="K44" s="421"/>
      <c r="L44" s="414"/>
      <c r="M44" s="421"/>
      <c r="N44" s="421"/>
      <c r="O44" s="421"/>
      <c r="P44" s="421"/>
      <c r="Q44" s="414">
        <v>37.299999999999997</v>
      </c>
      <c r="R44" s="420"/>
      <c r="S44" s="420"/>
      <c r="T44" s="420"/>
      <c r="U44" s="420"/>
      <c r="V44" s="414">
        <v>31.8</v>
      </c>
      <c r="W44" s="420">
        <f>'Rev-Exp'!M156</f>
        <v>8.1</v>
      </c>
      <c r="X44" s="420">
        <f>'Rev-Exp'!N156</f>
        <v>0</v>
      </c>
      <c r="Y44" s="420">
        <f>'Rev-Exp'!O156</f>
        <v>10</v>
      </c>
      <c r="Z44" s="420">
        <f>'Rev-Exp'!P156</f>
        <v>18.199999999999996</v>
      </c>
      <c r="AA44" s="414">
        <f t="shared" si="49"/>
        <v>36.299999999999997</v>
      </c>
      <c r="AB44" s="420">
        <f>'Rev-Exp'!R156</f>
        <v>10.199999999999999</v>
      </c>
      <c r="AC44" s="420">
        <f>'Rev-Exp'!S156</f>
        <v>0</v>
      </c>
      <c r="AD44" s="420">
        <f>'Rev-Exp'!T156</f>
        <v>10.3</v>
      </c>
      <c r="AE44" s="420"/>
      <c r="AF44" s="414">
        <f t="shared" si="48"/>
        <v>20.5</v>
      </c>
      <c r="AG44" s="420">
        <f>'Rev-Exp'!W156</f>
        <v>17.2</v>
      </c>
      <c r="AH44" s="420"/>
      <c r="AI44" s="420"/>
      <c r="AJ44" s="420"/>
      <c r="AK44" s="414"/>
      <c r="AL44" s="420"/>
      <c r="AM44" s="420"/>
      <c r="AN44" s="420"/>
      <c r="AO44" s="420"/>
      <c r="AP44" s="414"/>
      <c r="AQ44" s="420"/>
      <c r="AR44" s="420"/>
      <c r="AS44" s="420"/>
      <c r="AT44" s="420"/>
      <c r="AU44" s="414"/>
      <c r="AV44" s="420"/>
      <c r="AW44" s="420"/>
      <c r="AX44" s="420"/>
      <c r="AY44" s="420"/>
      <c r="AZ44" s="414"/>
      <c r="BA44" s="420"/>
      <c r="BB44" s="420"/>
      <c r="BC44" s="420"/>
      <c r="BD44" s="420"/>
      <c r="BE44" s="414"/>
      <c r="BF44" s="420"/>
      <c r="BG44" s="420"/>
      <c r="BH44" s="420"/>
      <c r="BI44" s="420"/>
      <c r="BJ44" s="414"/>
      <c r="BK44" s="420"/>
      <c r="BL44" s="420"/>
      <c r="BM44" s="420"/>
      <c r="BN44" s="420"/>
      <c r="BO44" s="414"/>
      <c r="BP44" s="420"/>
      <c r="BQ44" s="420"/>
      <c r="BR44" s="420"/>
      <c r="BS44" s="420"/>
      <c r="BT44" s="414"/>
      <c r="BU44" s="420"/>
      <c r="BV44" s="420"/>
      <c r="BW44" s="420"/>
      <c r="BX44" s="420"/>
      <c r="BY44" s="414"/>
      <c r="BZ44" s="420"/>
      <c r="CA44" s="420"/>
      <c r="CB44" s="420"/>
      <c r="CC44" s="420"/>
      <c r="CD44" s="414"/>
      <c r="CE44" s="420"/>
      <c r="CF44" s="420"/>
      <c r="CG44" s="420"/>
      <c r="CH44" s="420"/>
      <c r="CI44" s="414"/>
      <c r="CJ44" s="420"/>
      <c r="CK44" s="420"/>
      <c r="CL44" s="420"/>
      <c r="CM44" s="420"/>
      <c r="CN44" s="414"/>
      <c r="CO44" s="420"/>
      <c r="CP44" s="420"/>
      <c r="CQ44" s="420"/>
      <c r="CR44" s="420"/>
      <c r="CS44" s="414"/>
      <c r="CT44" s="420"/>
      <c r="CU44" s="420"/>
      <c r="CV44" s="420"/>
      <c r="CW44" s="420"/>
      <c r="CX44" s="414"/>
    </row>
    <row r="45" spans="2:102" ht="12.75" hidden="1" customHeight="1" outlineLevel="2">
      <c r="B45" s="171" t="s">
        <v>449</v>
      </c>
      <c r="C45" s="421"/>
      <c r="D45" s="421"/>
      <c r="E45" s="421"/>
      <c r="F45" s="421"/>
      <c r="G45" s="414"/>
      <c r="H45" s="421"/>
      <c r="I45" s="421"/>
      <c r="J45" s="421"/>
      <c r="K45" s="421"/>
      <c r="L45" s="414"/>
      <c r="M45" s="421"/>
      <c r="N45" s="421"/>
      <c r="O45" s="421"/>
      <c r="P45" s="421"/>
      <c r="Q45" s="414">
        <v>24.7</v>
      </c>
      <c r="R45" s="420"/>
      <c r="S45" s="420"/>
      <c r="T45" s="420"/>
      <c r="U45" s="420"/>
      <c r="V45" s="414">
        <v>57.4</v>
      </c>
      <c r="W45" s="420">
        <f>'Rev-Exp'!M216</f>
        <v>7.3999999999999986</v>
      </c>
      <c r="X45" s="420">
        <f>'Rev-Exp'!N216</f>
        <v>8.5</v>
      </c>
      <c r="Y45" s="420">
        <f>'Rev-Exp'!O216</f>
        <v>9.6</v>
      </c>
      <c r="Z45" s="420">
        <f>'Rev-Exp'!P216</f>
        <v>8.8817841970012523E-15</v>
      </c>
      <c r="AA45" s="414">
        <f t="shared" si="49"/>
        <v>25.500000000000007</v>
      </c>
      <c r="AB45" s="420">
        <f>'Rev-Exp'!R216</f>
        <v>16.399999999999999</v>
      </c>
      <c r="AC45" s="420">
        <f>'Rev-Exp'!S216</f>
        <v>12.6</v>
      </c>
      <c r="AD45" s="420">
        <f>'Rev-Exp'!T216</f>
        <v>15.3</v>
      </c>
      <c r="AE45" s="420"/>
      <c r="AF45" s="414">
        <f t="shared" si="48"/>
        <v>44.3</v>
      </c>
      <c r="AG45" s="420">
        <f>'Rev-Exp'!W216</f>
        <v>19.600000000000001</v>
      </c>
      <c r="AH45" s="420"/>
      <c r="AI45" s="420"/>
      <c r="AJ45" s="420"/>
      <c r="AK45" s="414"/>
      <c r="AL45" s="420"/>
      <c r="AM45" s="420"/>
      <c r="AN45" s="420"/>
      <c r="AO45" s="420"/>
      <c r="AP45" s="414"/>
      <c r="AQ45" s="420"/>
      <c r="AR45" s="420"/>
      <c r="AS45" s="420"/>
      <c r="AT45" s="420"/>
      <c r="AU45" s="414"/>
      <c r="AV45" s="420"/>
      <c r="AW45" s="420"/>
      <c r="AX45" s="420"/>
      <c r="AY45" s="420"/>
      <c r="AZ45" s="414"/>
      <c r="BA45" s="420"/>
      <c r="BB45" s="420"/>
      <c r="BC45" s="420"/>
      <c r="BD45" s="420"/>
      <c r="BE45" s="414"/>
      <c r="BF45" s="420"/>
      <c r="BG45" s="420"/>
      <c r="BH45" s="420"/>
      <c r="BI45" s="420"/>
      <c r="BJ45" s="414"/>
      <c r="BK45" s="420"/>
      <c r="BL45" s="420"/>
      <c r="BM45" s="420"/>
      <c r="BN45" s="420"/>
      <c r="BO45" s="414"/>
      <c r="BP45" s="420"/>
      <c r="BQ45" s="420"/>
      <c r="BR45" s="420"/>
      <c r="BS45" s="420"/>
      <c r="BT45" s="414"/>
      <c r="BU45" s="420"/>
      <c r="BV45" s="420"/>
      <c r="BW45" s="420"/>
      <c r="BX45" s="420"/>
      <c r="BY45" s="414"/>
      <c r="BZ45" s="420"/>
      <c r="CA45" s="420"/>
      <c r="CB45" s="420"/>
      <c r="CC45" s="420"/>
      <c r="CD45" s="414"/>
      <c r="CE45" s="420"/>
      <c r="CF45" s="420"/>
      <c r="CG45" s="420"/>
      <c r="CH45" s="420"/>
      <c r="CI45" s="414"/>
      <c r="CJ45" s="420"/>
      <c r="CK45" s="420"/>
      <c r="CL45" s="420"/>
      <c r="CM45" s="420"/>
      <c r="CN45" s="414"/>
      <c r="CO45" s="420"/>
      <c r="CP45" s="420"/>
      <c r="CQ45" s="420"/>
      <c r="CR45" s="420"/>
      <c r="CS45" s="414"/>
      <c r="CT45" s="420"/>
      <c r="CU45" s="420"/>
      <c r="CV45" s="420"/>
      <c r="CW45" s="420"/>
      <c r="CX45" s="414"/>
    </row>
    <row r="46" spans="2:102" ht="12.75" hidden="1" customHeight="1" outlineLevel="2">
      <c r="B46" s="171" t="s">
        <v>442</v>
      </c>
      <c r="C46" s="421"/>
      <c r="D46" s="421"/>
      <c r="E46" s="421"/>
      <c r="F46" s="421"/>
      <c r="G46" s="414"/>
      <c r="H46" s="421"/>
      <c r="I46" s="421"/>
      <c r="J46" s="421"/>
      <c r="K46" s="421"/>
      <c r="L46" s="414"/>
      <c r="M46" s="421"/>
      <c r="N46" s="421"/>
      <c r="O46" s="421"/>
      <c r="P46" s="421"/>
      <c r="Q46" s="414">
        <v>52.4</v>
      </c>
      <c r="R46" s="420"/>
      <c r="S46" s="420"/>
      <c r="T46" s="420"/>
      <c r="U46" s="420"/>
      <c r="V46" s="414">
        <v>65.2</v>
      </c>
      <c r="W46" s="420">
        <f>'Rev-Exp'!M160</f>
        <v>24.000000000000004</v>
      </c>
      <c r="X46" s="420">
        <f>'Rev-Exp'!N160</f>
        <v>24.7</v>
      </c>
      <c r="Y46" s="420">
        <f>'Rev-Exp'!O160</f>
        <v>15</v>
      </c>
      <c r="Z46" s="420">
        <f>'Rev-Exp'!P160</f>
        <v>36.5</v>
      </c>
      <c r="AA46" s="414">
        <f t="shared" si="49"/>
        <v>100.2</v>
      </c>
      <c r="AB46" s="420">
        <f>'Rev-Exp'!R160</f>
        <v>20.700000000000003</v>
      </c>
      <c r="AC46" s="420">
        <f>'Rev-Exp'!S160</f>
        <v>24.1</v>
      </c>
      <c r="AD46" s="420">
        <f>'Rev-Exp'!T160</f>
        <v>25.799999999999997</v>
      </c>
      <c r="AE46" s="420"/>
      <c r="AF46" s="414">
        <f t="shared" si="48"/>
        <v>70.599999999999994</v>
      </c>
      <c r="AG46" s="420">
        <f>'Rev-Exp'!W160</f>
        <v>17.5</v>
      </c>
      <c r="AH46" s="420"/>
      <c r="AI46" s="420"/>
      <c r="AJ46" s="420"/>
      <c r="AK46" s="414"/>
      <c r="AL46" s="420"/>
      <c r="AM46" s="420"/>
      <c r="AN46" s="420"/>
      <c r="AO46" s="420"/>
      <c r="AP46" s="414"/>
      <c r="AQ46" s="420"/>
      <c r="AR46" s="420"/>
      <c r="AS46" s="420"/>
      <c r="AT46" s="420"/>
      <c r="AU46" s="414"/>
      <c r="AV46" s="420"/>
      <c r="AW46" s="420"/>
      <c r="AX46" s="420"/>
      <c r="AY46" s="420"/>
      <c r="AZ46" s="414"/>
      <c r="BA46" s="420"/>
      <c r="BB46" s="420"/>
      <c r="BC46" s="420"/>
      <c r="BD46" s="420"/>
      <c r="BE46" s="414"/>
      <c r="BF46" s="420"/>
      <c r="BG46" s="420"/>
      <c r="BH46" s="420"/>
      <c r="BI46" s="420"/>
      <c r="BJ46" s="414"/>
      <c r="BK46" s="420"/>
      <c r="BL46" s="420"/>
      <c r="BM46" s="420"/>
      <c r="BN46" s="420"/>
      <c r="BO46" s="414"/>
      <c r="BP46" s="420"/>
      <c r="BQ46" s="420"/>
      <c r="BR46" s="420"/>
      <c r="BS46" s="420"/>
      <c r="BT46" s="414"/>
      <c r="BU46" s="420"/>
      <c r="BV46" s="420"/>
      <c r="BW46" s="420"/>
      <c r="BX46" s="420"/>
      <c r="BY46" s="414"/>
      <c r="BZ46" s="420"/>
      <c r="CA46" s="420"/>
      <c r="CB46" s="420"/>
      <c r="CC46" s="420"/>
      <c r="CD46" s="414"/>
      <c r="CE46" s="420"/>
      <c r="CF46" s="420"/>
      <c r="CG46" s="420"/>
      <c r="CH46" s="420"/>
      <c r="CI46" s="414"/>
      <c r="CJ46" s="420"/>
      <c r="CK46" s="420"/>
      <c r="CL46" s="420"/>
      <c r="CM46" s="420"/>
      <c r="CN46" s="414"/>
      <c r="CO46" s="420"/>
      <c r="CP46" s="420"/>
      <c r="CQ46" s="420"/>
      <c r="CR46" s="420"/>
      <c r="CS46" s="414"/>
      <c r="CT46" s="420"/>
      <c r="CU46" s="420"/>
      <c r="CV46" s="420"/>
      <c r="CW46" s="420"/>
      <c r="CX46" s="414"/>
    </row>
    <row r="47" spans="2:102" ht="12.75" hidden="1" customHeight="1" outlineLevel="2">
      <c r="B47" s="171" t="s">
        <v>571</v>
      </c>
      <c r="C47" s="421"/>
      <c r="D47" s="421"/>
      <c r="E47" s="421"/>
      <c r="F47" s="421"/>
      <c r="G47" s="414"/>
      <c r="H47" s="421"/>
      <c r="I47" s="421"/>
      <c r="J47" s="421"/>
      <c r="K47" s="421"/>
      <c r="L47" s="414"/>
      <c r="M47" s="421"/>
      <c r="N47" s="421"/>
      <c r="O47" s="421"/>
      <c r="P47" s="421"/>
      <c r="Q47" s="414"/>
      <c r="R47" s="420"/>
      <c r="S47" s="420"/>
      <c r="T47" s="420"/>
      <c r="U47" s="420"/>
      <c r="V47" s="414"/>
      <c r="W47" s="420"/>
      <c r="X47" s="420"/>
      <c r="Y47" s="420"/>
      <c r="Z47" s="420"/>
      <c r="AA47" s="414"/>
      <c r="AB47" s="420"/>
      <c r="AC47" s="420"/>
      <c r="AD47" s="420"/>
      <c r="AE47" s="420"/>
      <c r="AF47" s="414"/>
      <c r="AG47" s="420">
        <f>'Rev-Exp'!W220</f>
        <v>3.9</v>
      </c>
      <c r="AH47" s="420"/>
      <c r="AI47" s="420"/>
      <c r="AJ47" s="420"/>
      <c r="AK47" s="414"/>
      <c r="AL47" s="420"/>
      <c r="AM47" s="420"/>
      <c r="AN47" s="420"/>
      <c r="AO47" s="420"/>
      <c r="AP47" s="414"/>
      <c r="AQ47" s="420"/>
      <c r="AR47" s="420"/>
      <c r="AS47" s="420"/>
      <c r="AT47" s="420"/>
      <c r="AU47" s="414"/>
      <c r="AV47" s="420"/>
      <c r="AW47" s="420"/>
      <c r="AX47" s="420"/>
      <c r="AY47" s="420"/>
      <c r="AZ47" s="414"/>
      <c r="BA47" s="420"/>
      <c r="BB47" s="420"/>
      <c r="BC47" s="420"/>
      <c r="BD47" s="420"/>
      <c r="BE47" s="414"/>
      <c r="BF47" s="420"/>
      <c r="BG47" s="420"/>
      <c r="BH47" s="420"/>
      <c r="BI47" s="420"/>
      <c r="BJ47" s="414"/>
      <c r="BK47" s="420"/>
      <c r="BL47" s="420"/>
      <c r="BM47" s="420"/>
      <c r="BN47" s="420"/>
      <c r="BO47" s="414"/>
      <c r="BP47" s="420"/>
      <c r="BQ47" s="420"/>
      <c r="BR47" s="420"/>
      <c r="BS47" s="420"/>
      <c r="BT47" s="414"/>
      <c r="BU47" s="420"/>
      <c r="BV47" s="420"/>
      <c r="BW47" s="420"/>
      <c r="BX47" s="420"/>
      <c r="BY47" s="414"/>
      <c r="BZ47" s="420"/>
      <c r="CA47" s="420"/>
      <c r="CB47" s="420"/>
      <c r="CC47" s="420"/>
      <c r="CD47" s="414"/>
      <c r="CE47" s="420"/>
      <c r="CF47" s="420"/>
      <c r="CG47" s="420"/>
      <c r="CH47" s="420"/>
      <c r="CI47" s="414"/>
      <c r="CJ47" s="420"/>
      <c r="CK47" s="420"/>
      <c r="CL47" s="420"/>
      <c r="CM47" s="420"/>
      <c r="CN47" s="414"/>
      <c r="CO47" s="420"/>
      <c r="CP47" s="420"/>
      <c r="CQ47" s="420"/>
      <c r="CR47" s="420"/>
      <c r="CS47" s="414"/>
      <c r="CT47" s="420"/>
      <c r="CU47" s="420"/>
      <c r="CV47" s="420"/>
      <c r="CW47" s="420"/>
      <c r="CX47" s="414"/>
    </row>
    <row r="48" spans="2:102" ht="13.5" hidden="1" customHeight="1" outlineLevel="1" thickBot="1">
      <c r="B48" s="433" t="s">
        <v>453</v>
      </c>
      <c r="C48" s="421"/>
      <c r="D48" s="421"/>
      <c r="E48" s="421"/>
      <c r="F48" s="421"/>
      <c r="G48" s="414"/>
      <c r="H48" s="421"/>
      <c r="I48" s="421"/>
      <c r="J48" s="421"/>
      <c r="K48" s="421"/>
      <c r="L48" s="414"/>
      <c r="M48" s="421"/>
      <c r="N48" s="421"/>
      <c r="O48" s="421"/>
      <c r="P48" s="421"/>
      <c r="Q48" s="414">
        <f>SUM(Q37:Q46)</f>
        <v>272.79999999999995</v>
      </c>
      <c r="R48" s="420"/>
      <c r="S48" s="420"/>
      <c r="T48" s="420"/>
      <c r="U48" s="420"/>
      <c r="V48" s="414">
        <f>SUM(V37:V46)</f>
        <v>397.9</v>
      </c>
      <c r="W48" s="420">
        <f>SUM(W31:W46)</f>
        <v>142.09999999999997</v>
      </c>
      <c r="X48" s="420">
        <f>SUM(X31:X46)</f>
        <v>147.9</v>
      </c>
      <c r="Y48" s="420">
        <f>SUM(Y31:Y46)</f>
        <v>149.00000000000003</v>
      </c>
      <c r="Z48" s="420">
        <f>SUM(Z31:Z46)</f>
        <v>169.3</v>
      </c>
      <c r="AA48" s="414">
        <f t="shared" si="49"/>
        <v>608.29999999999995</v>
      </c>
      <c r="AB48" s="420">
        <f>SUM(AB31:AB46)</f>
        <v>158.80000000000001</v>
      </c>
      <c r="AC48" s="420">
        <f>SUM(AC31:AC46)</f>
        <v>155.5</v>
      </c>
      <c r="AD48" s="420">
        <f>SUM(AD31:AD46)</f>
        <v>149.39999999999998</v>
      </c>
      <c r="AE48" s="420">
        <v>175.24199999999999</v>
      </c>
      <c r="AF48" s="414">
        <f>AE48+AD48+AC48+AB48</f>
        <v>638.94200000000001</v>
      </c>
      <c r="AG48" s="420">
        <v>145.00299999999999</v>
      </c>
      <c r="AH48" s="420">
        <v>143.03899999999999</v>
      </c>
      <c r="AI48" s="420">
        <v>154.10300000000001</v>
      </c>
      <c r="AJ48" s="420">
        <v>168.608</v>
      </c>
      <c r="AK48" s="414">
        <f>AJ48+AI48+AH48+AG48</f>
        <v>610.75299999999993</v>
      </c>
      <c r="AL48" s="420"/>
      <c r="AM48" s="420"/>
      <c r="AN48" s="420"/>
      <c r="AO48" s="420"/>
      <c r="AP48" s="177"/>
      <c r="AQ48" s="420"/>
      <c r="AR48" s="420"/>
      <c r="AS48" s="420"/>
      <c r="AT48" s="420"/>
      <c r="AU48" s="414"/>
      <c r="AV48" s="420"/>
      <c r="AW48" s="420"/>
      <c r="AX48" s="420"/>
      <c r="AY48" s="420"/>
      <c r="AZ48" s="414"/>
      <c r="BA48" s="420"/>
      <c r="BB48" s="420"/>
      <c r="BC48" s="420"/>
      <c r="BD48" s="420"/>
      <c r="BE48" s="414"/>
      <c r="BF48" s="420"/>
      <c r="BG48" s="420"/>
      <c r="BH48" s="420"/>
      <c r="BI48" s="420"/>
      <c r="BJ48" s="414"/>
      <c r="BK48" s="420"/>
      <c r="BL48" s="420"/>
      <c r="BM48" s="420"/>
      <c r="BN48" s="420"/>
      <c r="BO48" s="414"/>
      <c r="BP48" s="420"/>
      <c r="BQ48" s="420"/>
      <c r="BR48" s="420"/>
      <c r="BS48" s="420"/>
      <c r="BT48" s="414"/>
      <c r="BU48" s="420"/>
      <c r="BV48" s="420"/>
      <c r="BW48" s="420"/>
      <c r="BX48" s="420"/>
      <c r="BY48" s="414"/>
      <c r="BZ48" s="420"/>
      <c r="CA48" s="420"/>
      <c r="CB48" s="420"/>
      <c r="CC48" s="420"/>
      <c r="CD48" s="414"/>
      <c r="CE48" s="420"/>
      <c r="CF48" s="420"/>
      <c r="CG48" s="420"/>
      <c r="CH48" s="420"/>
      <c r="CI48" s="414"/>
      <c r="CJ48" s="420"/>
      <c r="CK48" s="420"/>
      <c r="CL48" s="420"/>
      <c r="CM48" s="420"/>
      <c r="CN48" s="414"/>
      <c r="CO48" s="420"/>
      <c r="CP48" s="420"/>
      <c r="CQ48" s="420"/>
      <c r="CR48" s="420"/>
      <c r="CS48" s="414"/>
      <c r="CT48" s="420"/>
      <c r="CU48" s="420"/>
      <c r="CV48" s="420"/>
      <c r="CW48" s="420"/>
      <c r="CX48" s="414"/>
    </row>
    <row r="49" spans="2:102" ht="13.5" hidden="1" customHeight="1" outlineLevel="1" thickBot="1">
      <c r="B49" s="433"/>
      <c r="C49" s="421"/>
      <c r="D49" s="421"/>
      <c r="E49" s="421"/>
      <c r="F49" s="421"/>
      <c r="G49" s="414"/>
      <c r="H49" s="421"/>
      <c r="I49" s="421"/>
      <c r="J49" s="421"/>
      <c r="K49" s="421"/>
      <c r="L49" s="414"/>
      <c r="M49" s="421"/>
      <c r="N49" s="421"/>
      <c r="O49" s="421"/>
      <c r="P49" s="421"/>
      <c r="Q49" s="414"/>
      <c r="R49" s="420"/>
      <c r="S49" s="420"/>
      <c r="T49" s="420"/>
      <c r="U49" s="420"/>
      <c r="V49" s="414"/>
      <c r="W49" s="420"/>
      <c r="X49" s="420"/>
      <c r="Y49" s="420"/>
      <c r="Z49" s="420"/>
      <c r="AA49" s="414"/>
      <c r="AB49" s="420"/>
      <c r="AC49" s="420"/>
      <c r="AD49" s="420"/>
      <c r="AE49" s="420"/>
      <c r="AF49" s="414"/>
      <c r="AG49" s="420"/>
      <c r="AH49" s="420"/>
      <c r="AI49" s="420"/>
      <c r="AJ49" s="420"/>
      <c r="AK49" s="414"/>
      <c r="AL49" s="420"/>
      <c r="AM49" s="420"/>
      <c r="AN49" s="711" t="s">
        <v>568</v>
      </c>
      <c r="AO49" s="712"/>
      <c r="AP49" s="713" t="s">
        <v>617</v>
      </c>
      <c r="AQ49" s="420"/>
      <c r="AR49" s="420"/>
      <c r="AS49" s="420"/>
      <c r="AT49" s="420"/>
      <c r="AU49" s="414"/>
      <c r="AV49" s="420"/>
      <c r="AW49" s="420"/>
      <c r="AX49" s="420"/>
      <c r="AY49" s="420"/>
      <c r="AZ49" s="414"/>
      <c r="BA49" s="420"/>
      <c r="BB49" s="420"/>
      <c r="BC49" s="420"/>
      <c r="BD49" s="420"/>
      <c r="BE49" s="414"/>
      <c r="BF49" s="420"/>
      <c r="BG49" s="420"/>
      <c r="BH49" s="420"/>
      <c r="BI49" s="420"/>
      <c r="BJ49" s="414"/>
      <c r="BK49" s="420"/>
      <c r="BL49" s="420"/>
      <c r="BM49" s="420"/>
      <c r="BN49" s="420"/>
      <c r="BO49" s="414"/>
      <c r="BP49" s="420"/>
      <c r="BQ49" s="420"/>
      <c r="BR49" s="420"/>
      <c r="BS49" s="420"/>
      <c r="BT49" s="414"/>
      <c r="BU49" s="420"/>
      <c r="BV49" s="420"/>
      <c r="BW49" s="420"/>
      <c r="BX49" s="420"/>
      <c r="BY49" s="414"/>
      <c r="BZ49" s="420"/>
      <c r="CA49" s="420"/>
      <c r="CB49" s="420"/>
      <c r="CC49" s="420"/>
      <c r="CD49" s="414"/>
      <c r="CE49" s="420"/>
      <c r="CF49" s="420"/>
      <c r="CG49" s="420"/>
      <c r="CH49" s="420"/>
      <c r="CI49" s="414"/>
      <c r="CJ49" s="420"/>
      <c r="CK49" s="420"/>
      <c r="CL49" s="420"/>
      <c r="CM49" s="420"/>
      <c r="CN49" s="414"/>
      <c r="CO49" s="420"/>
      <c r="CP49" s="420"/>
      <c r="CQ49" s="420"/>
      <c r="CR49" s="420"/>
      <c r="CS49" s="414"/>
      <c r="CT49" s="420"/>
      <c r="CU49" s="420"/>
      <c r="CV49" s="420"/>
      <c r="CW49" s="420"/>
      <c r="CX49" s="414"/>
    </row>
    <row r="50" spans="2:102" ht="12.75" hidden="1" customHeight="1" outlineLevel="2">
      <c r="B50" s="556" t="s">
        <v>450</v>
      </c>
      <c r="C50" s="421"/>
      <c r="D50" s="421"/>
      <c r="E50" s="421"/>
      <c r="F50" s="421"/>
      <c r="G50" s="414"/>
      <c r="H50" s="421"/>
      <c r="I50" s="421"/>
      <c r="J50" s="421"/>
      <c r="K50" s="421"/>
      <c r="L50" s="414"/>
      <c r="M50" s="421"/>
      <c r="N50" s="421"/>
      <c r="O50" s="421"/>
      <c r="P50" s="421"/>
      <c r="Q50" s="414"/>
      <c r="R50" s="420"/>
      <c r="S50" s="420"/>
      <c r="T50" s="420"/>
      <c r="U50" s="420"/>
      <c r="V50" s="414">
        <v>-16.8</v>
      </c>
      <c r="W50" s="420">
        <f>W115</f>
        <v>3.6</v>
      </c>
      <c r="X50" s="420">
        <f>X115</f>
        <v>3.9</v>
      </c>
      <c r="Y50" s="420">
        <f>Y115</f>
        <v>4.3</v>
      </c>
      <c r="Z50" s="420">
        <f>Z115</f>
        <v>4.4000000000000004</v>
      </c>
      <c r="AA50" s="414">
        <f t="shared" si="49"/>
        <v>16.200000000000003</v>
      </c>
      <c r="AB50" s="420">
        <f>AB115</f>
        <v>7.4</v>
      </c>
      <c r="AC50" s="420">
        <f>AC115</f>
        <v>6</v>
      </c>
      <c r="AD50" s="420">
        <f>AD115</f>
        <v>11.1</v>
      </c>
      <c r="AE50" s="420">
        <f>AE115</f>
        <v>8</v>
      </c>
      <c r="AF50" s="414">
        <f t="shared" si="48"/>
        <v>32.5</v>
      </c>
      <c r="AG50" s="420">
        <v>7</v>
      </c>
      <c r="AH50" s="420">
        <v>6.2</v>
      </c>
      <c r="AI50" s="420">
        <f t="shared" ref="AI50" si="50">AI115</f>
        <v>7.6</v>
      </c>
      <c r="AJ50" s="420">
        <v>8</v>
      </c>
      <c r="AK50" s="177">
        <f t="shared" ref="AK50:AK52" si="51">AJ50+AI50+AH50+AG50</f>
        <v>28.8</v>
      </c>
      <c r="AL50" s="420"/>
      <c r="AM50" s="420"/>
      <c r="AN50" s="420"/>
      <c r="AO50" s="420"/>
      <c r="AP50" s="177"/>
      <c r="AQ50" s="420"/>
      <c r="AR50" s="420"/>
      <c r="AS50" s="420"/>
      <c r="AT50" s="420"/>
      <c r="AU50" s="414"/>
      <c r="AV50" s="420"/>
      <c r="AW50" s="420"/>
      <c r="AX50" s="420"/>
      <c r="AY50" s="420"/>
      <c r="AZ50" s="414"/>
      <c r="BA50" s="420"/>
      <c r="BB50" s="420"/>
      <c r="BC50" s="420"/>
      <c r="BD50" s="420"/>
      <c r="BE50" s="414"/>
      <c r="BF50" s="420"/>
      <c r="BG50" s="420"/>
      <c r="BH50" s="420"/>
      <c r="BI50" s="420"/>
      <c r="BJ50" s="414"/>
      <c r="BK50" s="420"/>
      <c r="BL50" s="420"/>
      <c r="BM50" s="420"/>
      <c r="BN50" s="420"/>
      <c r="BO50" s="414"/>
      <c r="BP50" s="420"/>
      <c r="BQ50" s="420"/>
      <c r="BR50" s="420"/>
      <c r="BS50" s="420"/>
      <c r="BT50" s="414"/>
      <c r="BU50" s="420"/>
      <c r="BV50" s="420"/>
      <c r="BW50" s="420"/>
      <c r="BX50" s="420"/>
      <c r="BY50" s="414"/>
      <c r="BZ50" s="420"/>
      <c r="CA50" s="420"/>
      <c r="CB50" s="420"/>
      <c r="CC50" s="420"/>
      <c r="CD50" s="414"/>
      <c r="CE50" s="420"/>
      <c r="CF50" s="420"/>
      <c r="CG50" s="420"/>
      <c r="CH50" s="420"/>
      <c r="CI50" s="414"/>
      <c r="CJ50" s="420"/>
      <c r="CK50" s="420"/>
      <c r="CL50" s="420"/>
      <c r="CM50" s="420"/>
      <c r="CN50" s="414"/>
      <c r="CO50" s="420"/>
      <c r="CP50" s="420"/>
      <c r="CQ50" s="420"/>
      <c r="CR50" s="420"/>
      <c r="CS50" s="414"/>
      <c r="CT50" s="420"/>
      <c r="CU50" s="420"/>
      <c r="CV50" s="420"/>
      <c r="CW50" s="420"/>
      <c r="CX50" s="414"/>
    </row>
    <row r="51" spans="2:102" ht="12.75" hidden="1" customHeight="1" outlineLevel="2">
      <c r="B51" s="556" t="s">
        <v>451</v>
      </c>
      <c r="C51" s="421"/>
      <c r="D51" s="421"/>
      <c r="E51" s="421"/>
      <c r="F51" s="421"/>
      <c r="G51" s="414"/>
      <c r="H51" s="421"/>
      <c r="I51" s="421"/>
      <c r="J51" s="421"/>
      <c r="K51" s="421"/>
      <c r="L51" s="414"/>
      <c r="M51" s="421"/>
      <c r="N51" s="421"/>
      <c r="O51" s="421"/>
      <c r="P51" s="421"/>
      <c r="Q51" s="414">
        <f>-Q105</f>
        <v>-27.762999999999998</v>
      </c>
      <c r="R51" s="420"/>
      <c r="S51" s="420"/>
      <c r="T51" s="420"/>
      <c r="U51" s="420"/>
      <c r="V51" s="414">
        <v>-27.7</v>
      </c>
      <c r="W51" s="420">
        <f>W105</f>
        <v>10</v>
      </c>
      <c r="X51" s="420">
        <f>X105</f>
        <v>12.464</v>
      </c>
      <c r="Y51" s="420">
        <f>Y105</f>
        <v>12.577999999999999</v>
      </c>
      <c r="Z51" s="420">
        <f>Z105</f>
        <v>14.4</v>
      </c>
      <c r="AA51" s="414">
        <f t="shared" si="49"/>
        <v>49.442</v>
      </c>
      <c r="AB51" s="420">
        <f>AB105</f>
        <v>13.707000000000001</v>
      </c>
      <c r="AC51" s="420">
        <f>AC105</f>
        <v>14.814</v>
      </c>
      <c r="AD51" s="420">
        <f>AD105</f>
        <v>14.164999999999999</v>
      </c>
      <c r="AE51" s="420">
        <f>AE105</f>
        <v>15</v>
      </c>
      <c r="AF51" s="414">
        <f t="shared" si="48"/>
        <v>57.686</v>
      </c>
      <c r="AG51" s="420">
        <v>11</v>
      </c>
      <c r="AH51" s="420">
        <v>14.6</v>
      </c>
      <c r="AI51" s="420">
        <f t="shared" ref="AI51" si="52">AI105</f>
        <v>13.8</v>
      </c>
      <c r="AJ51" s="420">
        <v>13.2</v>
      </c>
      <c r="AK51" s="177">
        <f t="shared" si="51"/>
        <v>52.6</v>
      </c>
      <c r="AL51" s="420"/>
      <c r="AM51" s="420"/>
      <c r="AN51" s="420"/>
      <c r="AO51" s="420"/>
      <c r="AP51" s="177"/>
      <c r="AQ51" s="420"/>
      <c r="AR51" s="420"/>
      <c r="AS51" s="420"/>
      <c r="AT51" s="420"/>
      <c r="AU51" s="414"/>
      <c r="AV51" s="420"/>
      <c r="AW51" s="420"/>
      <c r="AX51" s="420"/>
      <c r="AY51" s="420"/>
      <c r="AZ51" s="414"/>
      <c r="BA51" s="420"/>
      <c r="BB51" s="420"/>
      <c r="BC51" s="420"/>
      <c r="BD51" s="420"/>
      <c r="BE51" s="414"/>
      <c r="BF51" s="420"/>
      <c r="BG51" s="420"/>
      <c r="BH51" s="420"/>
      <c r="BI51" s="420"/>
      <c r="BJ51" s="414"/>
      <c r="BK51" s="420"/>
      <c r="BL51" s="420"/>
      <c r="BM51" s="420"/>
      <c r="BN51" s="420"/>
      <c r="BO51" s="414"/>
      <c r="BP51" s="420"/>
      <c r="BQ51" s="420"/>
      <c r="BR51" s="420"/>
      <c r="BS51" s="420"/>
      <c r="BT51" s="414"/>
      <c r="BU51" s="420"/>
      <c r="BV51" s="420"/>
      <c r="BW51" s="420"/>
      <c r="BX51" s="420"/>
      <c r="BY51" s="414"/>
      <c r="BZ51" s="420"/>
      <c r="CA51" s="420"/>
      <c r="CB51" s="420"/>
      <c r="CC51" s="420"/>
      <c r="CD51" s="414"/>
      <c r="CE51" s="420"/>
      <c r="CF51" s="420"/>
      <c r="CG51" s="420"/>
      <c r="CH51" s="420"/>
      <c r="CI51" s="414"/>
      <c r="CJ51" s="420"/>
      <c r="CK51" s="420"/>
      <c r="CL51" s="420"/>
      <c r="CM51" s="420"/>
      <c r="CN51" s="414"/>
      <c r="CO51" s="420"/>
      <c r="CP51" s="420"/>
      <c r="CQ51" s="420"/>
      <c r="CR51" s="420"/>
      <c r="CS51" s="414"/>
      <c r="CT51" s="420"/>
      <c r="CU51" s="420"/>
      <c r="CV51" s="420"/>
      <c r="CW51" s="420"/>
      <c r="CX51" s="414"/>
    </row>
    <row r="52" spans="2:102" ht="12.75" hidden="1" customHeight="1" outlineLevel="1">
      <c r="B52" s="171" t="s">
        <v>452</v>
      </c>
      <c r="C52" s="421"/>
      <c r="D52" s="421"/>
      <c r="E52" s="421"/>
      <c r="F52" s="421"/>
      <c r="G52" s="414"/>
      <c r="H52" s="421"/>
      <c r="I52" s="421"/>
      <c r="J52" s="421"/>
      <c r="K52" s="421"/>
      <c r="L52" s="414"/>
      <c r="M52" s="421"/>
      <c r="N52" s="421"/>
      <c r="O52" s="421"/>
      <c r="P52" s="421"/>
      <c r="Q52" s="414">
        <f>Q51+Q50</f>
        <v>-27.762999999999998</v>
      </c>
      <c r="R52" s="420"/>
      <c r="S52" s="420"/>
      <c r="T52" s="420"/>
      <c r="U52" s="420"/>
      <c r="V52" s="414">
        <f>V51+V50</f>
        <v>-44.5</v>
      </c>
      <c r="W52" s="420">
        <f>W50+W51</f>
        <v>13.6</v>
      </c>
      <c r="X52" s="420">
        <f>X50+X51</f>
        <v>16.364000000000001</v>
      </c>
      <c r="Y52" s="420">
        <f>Y50+Y51</f>
        <v>16.878</v>
      </c>
      <c r="Z52" s="420">
        <f>Z50+Z51</f>
        <v>18.8</v>
      </c>
      <c r="AA52" s="414">
        <f t="shared" si="49"/>
        <v>65.641999999999996</v>
      </c>
      <c r="AB52" s="420">
        <f>AB50+AB51</f>
        <v>21.106999999999999</v>
      </c>
      <c r="AC52" s="420">
        <f>AC50+AC51</f>
        <v>20.814</v>
      </c>
      <c r="AD52" s="420">
        <f>AD50+AD51</f>
        <v>25.265000000000001</v>
      </c>
      <c r="AE52" s="420">
        <f>AE50+AE51</f>
        <v>23</v>
      </c>
      <c r="AF52" s="414">
        <f t="shared" si="48"/>
        <v>90.186000000000007</v>
      </c>
      <c r="AG52" s="420">
        <f t="shared" ref="AG52:AJ52" si="53">AG50+AG51</f>
        <v>18</v>
      </c>
      <c r="AH52" s="420">
        <f t="shared" si="53"/>
        <v>20.8</v>
      </c>
      <c r="AI52" s="420">
        <f t="shared" si="53"/>
        <v>21.4</v>
      </c>
      <c r="AJ52" s="420">
        <f t="shared" si="53"/>
        <v>21.2</v>
      </c>
      <c r="AK52" s="177">
        <f t="shared" si="51"/>
        <v>81.399999999999991</v>
      </c>
      <c r="AL52" s="420"/>
      <c r="AM52" s="420"/>
      <c r="AN52" s="420"/>
      <c r="AO52" s="420"/>
      <c r="AP52" s="177"/>
      <c r="AQ52" s="420"/>
      <c r="AR52" s="420"/>
      <c r="AS52" s="420"/>
      <c r="AT52" s="420"/>
      <c r="AU52" s="414"/>
      <c r="AV52" s="420"/>
      <c r="AW52" s="420"/>
      <c r="AX52" s="420"/>
      <c r="AY52" s="420"/>
      <c r="AZ52" s="414"/>
      <c r="BA52" s="420"/>
      <c r="BB52" s="420"/>
      <c r="BC52" s="420"/>
      <c r="BD52" s="420"/>
      <c r="BE52" s="414"/>
      <c r="BF52" s="420"/>
      <c r="BG52" s="420"/>
      <c r="BH52" s="420"/>
      <c r="BI52" s="420"/>
      <c r="BJ52" s="414"/>
      <c r="BK52" s="420"/>
      <c r="BL52" s="420"/>
      <c r="BM52" s="420"/>
      <c r="BN52" s="420"/>
      <c r="BO52" s="414"/>
      <c r="BP52" s="420"/>
      <c r="BQ52" s="420"/>
      <c r="BR52" s="420"/>
      <c r="BS52" s="420"/>
      <c r="BT52" s="414"/>
      <c r="BU52" s="420"/>
      <c r="BV52" s="420"/>
      <c r="BW52" s="420"/>
      <c r="BX52" s="420"/>
      <c r="BY52" s="414"/>
      <c r="BZ52" s="420"/>
      <c r="CA52" s="420"/>
      <c r="CB52" s="420"/>
      <c r="CC52" s="420"/>
      <c r="CD52" s="414"/>
      <c r="CE52" s="420"/>
      <c r="CF52" s="420"/>
      <c r="CG52" s="420"/>
      <c r="CH52" s="420"/>
      <c r="CI52" s="414"/>
      <c r="CJ52" s="420"/>
      <c r="CK52" s="420"/>
      <c r="CL52" s="420"/>
      <c r="CM52" s="420"/>
      <c r="CN52" s="414"/>
      <c r="CO52" s="420"/>
      <c r="CP52" s="420"/>
      <c r="CQ52" s="420"/>
      <c r="CR52" s="420"/>
      <c r="CS52" s="414"/>
      <c r="CT52" s="420"/>
      <c r="CU52" s="420"/>
      <c r="CV52" s="420"/>
      <c r="CW52" s="420"/>
      <c r="CX52" s="414"/>
    </row>
    <row r="53" spans="2:102" collapsed="1">
      <c r="B53" s="177" t="s">
        <v>34</v>
      </c>
      <c r="C53" s="176">
        <f>45.017-C105</f>
        <v>41.343000000000004</v>
      </c>
      <c r="D53" s="176">
        <f>52.909-D105</f>
        <v>48.884999999999998</v>
      </c>
      <c r="E53" s="176">
        <f>58.577-E105</f>
        <v>54.204999999999998</v>
      </c>
      <c r="F53" s="176">
        <f>57.908-F105</f>
        <v>53.613</v>
      </c>
      <c r="G53" s="177">
        <f>SUM(C53:F53)</f>
        <v>198.04599999999999</v>
      </c>
      <c r="H53" s="176">
        <f>73.834-H105</f>
        <v>69.13900000000001</v>
      </c>
      <c r="I53" s="176">
        <f>77.812-I105</f>
        <v>72.343999999999994</v>
      </c>
      <c r="J53" s="176">
        <f>66.209-J105</f>
        <v>61.149000000000001</v>
      </c>
      <c r="K53" s="176">
        <f>84.363-K105</f>
        <v>78.977999999999994</v>
      </c>
      <c r="L53" s="177">
        <f>SUM(H53:K53)</f>
        <v>281.61</v>
      </c>
      <c r="M53" s="176">
        <f>83.743-M105</f>
        <v>78.418999999999997</v>
      </c>
      <c r="N53" s="176">
        <f>85.661-N105</f>
        <v>79.28</v>
      </c>
      <c r="O53" s="176">
        <f>88.064-O105</f>
        <v>80.947999999999993</v>
      </c>
      <c r="P53" s="176">
        <f>97.312-P105</f>
        <v>88.37</v>
      </c>
      <c r="Q53" s="177">
        <f>SUM(M53:P53)</f>
        <v>327.017</v>
      </c>
      <c r="R53" s="176">
        <f>86.166-R105+6.1</f>
        <v>85.150999999999996</v>
      </c>
      <c r="S53" s="176">
        <f>107.702-S105-4.1</f>
        <v>96.707999999999998</v>
      </c>
      <c r="T53" s="176">
        <f>125.686-T105-4.3</f>
        <v>113.10700000000001</v>
      </c>
      <c r="U53" s="176">
        <f>142.068-U105-5.2</f>
        <v>125.36800000000001</v>
      </c>
      <c r="V53" s="177">
        <f>SUM(R53:U53)</f>
        <v>420.334</v>
      </c>
      <c r="W53" s="422">
        <f>W48-W52</f>
        <v>128.49999999999997</v>
      </c>
      <c r="X53" s="422">
        <f>X48-X52</f>
        <v>131.536</v>
      </c>
      <c r="Y53" s="422">
        <f>Y48-Y52</f>
        <v>132.12200000000001</v>
      </c>
      <c r="Z53" s="422">
        <f>Z48-Z52</f>
        <v>150.5</v>
      </c>
      <c r="AA53" s="177">
        <f t="shared" si="49"/>
        <v>542.6579999999999</v>
      </c>
      <c r="AB53" s="422">
        <f>AB48-AB52</f>
        <v>137.69300000000001</v>
      </c>
      <c r="AC53" s="422">
        <f>AC48-AC52</f>
        <v>134.68600000000001</v>
      </c>
      <c r="AD53" s="422">
        <f>AD48-AD52</f>
        <v>124.13499999999998</v>
      </c>
      <c r="AE53" s="422">
        <f>AE48-AE52</f>
        <v>152.24199999999999</v>
      </c>
      <c r="AF53" s="177">
        <f t="shared" si="48"/>
        <v>548.75599999999997</v>
      </c>
      <c r="AG53" s="422">
        <f>AG48-AG52</f>
        <v>127.00299999999999</v>
      </c>
      <c r="AH53" s="422">
        <f>AH48-AH52</f>
        <v>122.23899999999999</v>
      </c>
      <c r="AI53" s="422">
        <f>AI48-AI52</f>
        <v>132.703</v>
      </c>
      <c r="AJ53" s="422">
        <f>AJ48-AJ52</f>
        <v>147.40800000000002</v>
      </c>
      <c r="AK53" s="177">
        <f t="shared" ref="AK53" si="54">SUM(AG53:AJ53)</f>
        <v>529.35299999999995</v>
      </c>
      <c r="AL53" s="422">
        <v>140</v>
      </c>
      <c r="AM53" s="422">
        <f>AL53*1.05</f>
        <v>147</v>
      </c>
      <c r="AN53" s="422">
        <f>AM53*1.05</f>
        <v>154.35</v>
      </c>
      <c r="AO53" s="422">
        <f>AP53-SUM(AL53:AN53)</f>
        <v>167.40594999999985</v>
      </c>
      <c r="AP53" s="177">
        <f>AK53*1.15</f>
        <v>608.75594999999987</v>
      </c>
      <c r="AQ53" s="422"/>
      <c r="AR53" s="422"/>
      <c r="AS53" s="422"/>
      <c r="AT53" s="422"/>
      <c r="AU53" s="177">
        <f>AP53*1.075</f>
        <v>654.41264624999985</v>
      </c>
      <c r="AV53" s="422"/>
      <c r="AW53" s="422"/>
      <c r="AX53" s="422"/>
      <c r="AY53" s="422"/>
      <c r="AZ53" s="177">
        <f>AU53*1.05</f>
        <v>687.13327856249987</v>
      </c>
      <c r="BA53" s="422"/>
      <c r="BB53" s="422"/>
      <c r="BC53" s="422"/>
      <c r="BD53" s="422"/>
      <c r="BE53" s="177">
        <f>AZ53*1.025</f>
        <v>704.31161052656228</v>
      </c>
      <c r="BF53" s="422"/>
      <c r="BG53" s="422"/>
      <c r="BH53" s="422"/>
      <c r="BI53" s="422"/>
      <c r="BJ53" s="177">
        <f>BE53*1.025</f>
        <v>721.9194007897263</v>
      </c>
      <c r="BK53" s="422"/>
      <c r="BL53" s="422"/>
      <c r="BM53" s="422"/>
      <c r="BN53" s="422"/>
      <c r="BO53" s="177">
        <f>BJ53*1.025</f>
        <v>739.96738580946942</v>
      </c>
      <c r="BP53" s="422"/>
      <c r="BQ53" s="422"/>
      <c r="BR53" s="422"/>
      <c r="BS53" s="422"/>
      <c r="BT53" s="177">
        <f>BO53*1.015</f>
        <v>751.0668965966114</v>
      </c>
      <c r="BU53" s="422"/>
      <c r="BV53" s="422"/>
      <c r="BW53" s="422"/>
      <c r="BX53" s="422"/>
      <c r="BY53" s="177">
        <f>BT53*1.015</f>
        <v>762.33290004556045</v>
      </c>
      <c r="BZ53" s="422"/>
      <c r="CA53" s="422"/>
      <c r="CB53" s="422"/>
      <c r="CC53" s="422"/>
      <c r="CD53" s="177">
        <f>BY53*1.015</f>
        <v>773.76789354624373</v>
      </c>
      <c r="CE53" s="422"/>
      <c r="CF53" s="422"/>
      <c r="CG53" s="422"/>
      <c r="CH53" s="422"/>
      <c r="CI53" s="177">
        <f>CD53*1.015</f>
        <v>785.37441194943733</v>
      </c>
      <c r="CJ53" s="422"/>
      <c r="CK53" s="422"/>
      <c r="CL53" s="422"/>
      <c r="CM53" s="422"/>
      <c r="CN53" s="177">
        <f>CI53*1.015</f>
        <v>797.15502812867885</v>
      </c>
      <c r="CO53" s="422"/>
      <c r="CP53" s="422"/>
      <c r="CQ53" s="422"/>
      <c r="CR53" s="422"/>
      <c r="CS53" s="177">
        <f>CN53*1.015</f>
        <v>809.11235355060899</v>
      </c>
      <c r="CT53" s="422"/>
      <c r="CU53" s="422"/>
      <c r="CV53" s="422"/>
      <c r="CW53" s="422"/>
      <c r="CX53" s="177">
        <f>CS53*1.015</f>
        <v>821.249038853868</v>
      </c>
    </row>
    <row r="54" spans="2:102">
      <c r="B54" s="414"/>
      <c r="C54" s="421"/>
      <c r="D54" s="421"/>
      <c r="E54" s="421"/>
      <c r="F54" s="421"/>
      <c r="G54" s="414"/>
      <c r="H54" s="421"/>
      <c r="I54" s="421"/>
      <c r="J54" s="421"/>
      <c r="K54" s="421"/>
      <c r="L54" s="414"/>
      <c r="M54" s="421"/>
      <c r="N54" s="421"/>
      <c r="O54" s="421"/>
      <c r="P54" s="421"/>
      <c r="Q54" s="414"/>
      <c r="R54" s="420"/>
      <c r="S54" s="420"/>
      <c r="T54" s="420"/>
      <c r="U54" s="420"/>
      <c r="V54" s="414"/>
      <c r="W54" s="420"/>
      <c r="X54" s="420"/>
      <c r="Y54" s="420"/>
      <c r="Z54" s="420"/>
      <c r="AA54" s="414"/>
      <c r="AB54" s="420"/>
      <c r="AC54" s="420"/>
      <c r="AD54" s="420"/>
      <c r="AE54" s="169"/>
      <c r="AF54" s="415"/>
      <c r="AG54" s="169"/>
      <c r="AH54" s="169"/>
      <c r="AI54" s="169"/>
      <c r="AJ54" s="169"/>
      <c r="AK54" s="415"/>
      <c r="AL54" s="169"/>
      <c r="AM54" s="169"/>
      <c r="AN54" s="169"/>
      <c r="AO54" s="169"/>
      <c r="AP54" s="415"/>
      <c r="AQ54" s="169"/>
      <c r="AR54" s="169"/>
      <c r="AS54" s="169"/>
      <c r="AT54" s="169"/>
      <c r="AU54" s="415"/>
      <c r="AV54" s="169"/>
      <c r="AW54" s="169"/>
      <c r="AX54" s="169"/>
      <c r="AY54" s="169"/>
      <c r="AZ54" s="415"/>
      <c r="BA54" s="169"/>
      <c r="BB54" s="169"/>
      <c r="BC54" s="169"/>
      <c r="BD54" s="169"/>
      <c r="BE54" s="415"/>
      <c r="BF54" s="169"/>
      <c r="BG54" s="169"/>
      <c r="BH54" s="169"/>
      <c r="BI54" s="169"/>
      <c r="BJ54" s="415"/>
      <c r="BK54" s="169"/>
      <c r="BL54" s="169"/>
      <c r="BM54" s="169"/>
      <c r="BN54" s="169"/>
      <c r="BO54" s="415"/>
      <c r="BP54" s="169"/>
      <c r="BQ54" s="169"/>
      <c r="BR54" s="169"/>
      <c r="BS54" s="169"/>
      <c r="BT54" s="415"/>
      <c r="BU54" s="169"/>
      <c r="BV54" s="169"/>
      <c r="BW54" s="169"/>
      <c r="BX54" s="169"/>
      <c r="BY54" s="415"/>
      <c r="BZ54" s="169"/>
      <c r="CA54" s="169"/>
      <c r="CB54" s="169"/>
      <c r="CC54" s="169"/>
      <c r="CD54" s="415"/>
      <c r="CE54" s="169"/>
      <c r="CF54" s="169"/>
      <c r="CG54" s="169"/>
      <c r="CH54" s="169"/>
      <c r="CI54" s="415"/>
      <c r="CJ54" s="169"/>
      <c r="CK54" s="169"/>
      <c r="CL54" s="169"/>
      <c r="CM54" s="169"/>
      <c r="CN54" s="415"/>
      <c r="CO54" s="169"/>
      <c r="CP54" s="169"/>
      <c r="CQ54" s="169"/>
      <c r="CR54" s="169"/>
      <c r="CS54" s="415"/>
      <c r="CT54" s="169"/>
      <c r="CU54" s="169"/>
      <c r="CV54" s="169"/>
      <c r="CW54" s="169"/>
      <c r="CX54" s="415"/>
    </row>
    <row r="55" spans="2:102" hidden="1" outlineLevel="2">
      <c r="B55" s="556" t="s">
        <v>2</v>
      </c>
      <c r="C55" s="421"/>
      <c r="D55" s="421"/>
      <c r="E55" s="421"/>
      <c r="F55" s="421"/>
      <c r="G55" s="414"/>
      <c r="H55" s="421"/>
      <c r="I55" s="421"/>
      <c r="J55" s="421"/>
      <c r="K55" s="421"/>
      <c r="L55" s="414"/>
      <c r="M55" s="421"/>
      <c r="N55" s="421"/>
      <c r="O55" s="421"/>
      <c r="P55" s="421"/>
      <c r="Q55" s="414">
        <v>19</v>
      </c>
      <c r="R55" s="420"/>
      <c r="S55" s="420"/>
      <c r="T55" s="420"/>
      <c r="U55" s="420"/>
      <c r="V55" s="414">
        <v>43</v>
      </c>
      <c r="W55" s="420">
        <f>'Rev-Exp'!M124</f>
        <v>13.3</v>
      </c>
      <c r="X55" s="420">
        <f>'Rev-Exp'!N124</f>
        <v>14.3</v>
      </c>
      <c r="Y55" s="420">
        <f>'Rev-Exp'!O124</f>
        <v>12.9</v>
      </c>
      <c r="Z55" s="420">
        <f>'Rev-Exp'!P124</f>
        <v>15.899999999999999</v>
      </c>
      <c r="AA55" s="414">
        <f>'Rev-Exp'!Q124</f>
        <v>56.4</v>
      </c>
      <c r="AB55" s="420">
        <f>'Rev-Exp'!R124</f>
        <v>14.3</v>
      </c>
      <c r="AC55" s="420">
        <f>'Rev-Exp'!S124</f>
        <v>16.8</v>
      </c>
      <c r="AD55" s="420">
        <f>'Rev-Exp'!T124</f>
        <v>16.899999999999999</v>
      </c>
      <c r="AE55" s="420">
        <v>17</v>
      </c>
      <c r="AF55" s="415">
        <f>SUM(AB55:AE55)</f>
        <v>65</v>
      </c>
      <c r="AG55" s="420">
        <f>'Rev-Exp'!W124</f>
        <v>17.600000000000001</v>
      </c>
      <c r="AH55" s="420"/>
      <c r="AI55" s="420"/>
      <c r="AJ55" s="420"/>
      <c r="AK55" s="414"/>
      <c r="AL55" s="420"/>
      <c r="AM55" s="420"/>
      <c r="AN55" s="420"/>
      <c r="AO55" s="420"/>
      <c r="AP55" s="414"/>
      <c r="AQ55" s="420"/>
      <c r="AR55" s="420"/>
      <c r="AS55" s="420"/>
      <c r="AT55" s="420"/>
      <c r="AU55" s="414"/>
      <c r="AV55" s="420"/>
      <c r="AW55" s="420"/>
      <c r="AX55" s="420"/>
      <c r="AY55" s="420"/>
      <c r="AZ55" s="414"/>
      <c r="BA55" s="420"/>
      <c r="BB55" s="420"/>
      <c r="BC55" s="420"/>
      <c r="BD55" s="420"/>
      <c r="BE55" s="414"/>
      <c r="BF55" s="420"/>
      <c r="BG55" s="420"/>
      <c r="BH55" s="420"/>
      <c r="BI55" s="420"/>
      <c r="BJ55" s="414"/>
      <c r="BK55" s="420"/>
      <c r="BL55" s="420"/>
      <c r="BM55" s="420"/>
      <c r="BN55" s="420"/>
      <c r="BO55" s="414"/>
      <c r="BP55" s="420"/>
      <c r="BQ55" s="420"/>
      <c r="BR55" s="420"/>
      <c r="BS55" s="420"/>
      <c r="BT55" s="414"/>
      <c r="BU55" s="420"/>
      <c r="BV55" s="420"/>
      <c r="BW55" s="420"/>
      <c r="BX55" s="420"/>
      <c r="BY55" s="414"/>
      <c r="BZ55" s="420"/>
      <c r="CA55" s="420"/>
      <c r="CB55" s="420"/>
      <c r="CC55" s="420"/>
      <c r="CD55" s="414"/>
      <c r="CE55" s="420"/>
      <c r="CF55" s="420"/>
      <c r="CG55" s="420"/>
      <c r="CH55" s="420"/>
      <c r="CI55" s="414"/>
      <c r="CJ55" s="420"/>
      <c r="CK55" s="420"/>
      <c r="CL55" s="420"/>
      <c r="CM55" s="420"/>
      <c r="CN55" s="414"/>
      <c r="CO55" s="420"/>
      <c r="CP55" s="420"/>
      <c r="CQ55" s="420"/>
      <c r="CR55" s="420"/>
      <c r="CS55" s="414"/>
      <c r="CT55" s="420"/>
      <c r="CU55" s="420"/>
      <c r="CV55" s="420"/>
      <c r="CW55" s="420"/>
      <c r="CX55" s="414"/>
    </row>
    <row r="56" spans="2:102" hidden="1" outlineLevel="2">
      <c r="B56" s="556" t="s">
        <v>21</v>
      </c>
      <c r="C56" s="421"/>
      <c r="D56" s="421"/>
      <c r="E56" s="421"/>
      <c r="F56" s="421"/>
      <c r="G56" s="414"/>
      <c r="H56" s="421"/>
      <c r="I56" s="421"/>
      <c r="J56" s="421"/>
      <c r="K56" s="421"/>
      <c r="L56" s="414"/>
      <c r="M56" s="421"/>
      <c r="N56" s="421"/>
      <c r="O56" s="421"/>
      <c r="P56" s="421"/>
      <c r="Q56" s="414">
        <v>53.7</v>
      </c>
      <c r="R56" s="420"/>
      <c r="S56" s="420"/>
      <c r="T56" s="420"/>
      <c r="U56" s="420"/>
      <c r="V56" s="414">
        <v>51.9</v>
      </c>
      <c r="W56" s="420">
        <f>'Rev-Exp'!M132</f>
        <v>10.6</v>
      </c>
      <c r="X56" s="420">
        <f>'Rev-Exp'!N132</f>
        <v>12.9</v>
      </c>
      <c r="Y56" s="420">
        <f>'Rev-Exp'!O132</f>
        <v>10.7</v>
      </c>
      <c r="Z56" s="420">
        <f>'Rev-Exp'!P132</f>
        <v>12.599999999999996</v>
      </c>
      <c r="AA56" s="414">
        <f>'Rev-Exp'!Q132</f>
        <v>46.8</v>
      </c>
      <c r="AB56" s="420">
        <f>'Rev-Exp'!R132</f>
        <v>11.5</v>
      </c>
      <c r="AC56" s="420">
        <f>'Rev-Exp'!S132</f>
        <v>12.5</v>
      </c>
      <c r="AD56" s="420">
        <f>'Rev-Exp'!T132</f>
        <v>0</v>
      </c>
      <c r="AE56" s="420"/>
      <c r="AF56" s="415"/>
      <c r="AG56" s="420">
        <f>'Rev-Exp'!W132</f>
        <v>11.8</v>
      </c>
      <c r="AH56" s="420"/>
      <c r="AI56" s="420"/>
      <c r="AJ56" s="420"/>
      <c r="AK56" s="414"/>
      <c r="AL56" s="420"/>
      <c r="AM56" s="420"/>
      <c r="AN56" s="420"/>
      <c r="AO56" s="420"/>
      <c r="AP56" s="414"/>
      <c r="AQ56" s="420"/>
      <c r="AR56" s="420"/>
      <c r="AS56" s="420"/>
      <c r="AT56" s="420"/>
      <c r="AU56" s="414"/>
      <c r="AV56" s="420"/>
      <c r="AW56" s="420"/>
      <c r="AX56" s="420"/>
      <c r="AY56" s="420"/>
      <c r="AZ56" s="414"/>
      <c r="BA56" s="420"/>
      <c r="BB56" s="420"/>
      <c r="BC56" s="420"/>
      <c r="BD56" s="420"/>
      <c r="BE56" s="414"/>
      <c r="BF56" s="420"/>
      <c r="BG56" s="420"/>
      <c r="BH56" s="420"/>
      <c r="BI56" s="420"/>
      <c r="BJ56" s="414"/>
      <c r="BK56" s="420"/>
      <c r="BL56" s="420"/>
      <c r="BM56" s="420"/>
      <c r="BN56" s="420"/>
      <c r="BO56" s="414"/>
      <c r="BP56" s="420"/>
      <c r="BQ56" s="420"/>
      <c r="BR56" s="420"/>
      <c r="BS56" s="420"/>
      <c r="BT56" s="414"/>
      <c r="BU56" s="420"/>
      <c r="BV56" s="420"/>
      <c r="BW56" s="420"/>
      <c r="BX56" s="420"/>
      <c r="BY56" s="414"/>
      <c r="BZ56" s="420"/>
      <c r="CA56" s="420"/>
      <c r="CB56" s="420"/>
      <c r="CC56" s="420"/>
      <c r="CD56" s="414"/>
      <c r="CE56" s="420"/>
      <c r="CF56" s="420"/>
      <c r="CG56" s="420"/>
      <c r="CH56" s="420"/>
      <c r="CI56" s="414"/>
      <c r="CJ56" s="420"/>
      <c r="CK56" s="420"/>
      <c r="CL56" s="420"/>
      <c r="CM56" s="420"/>
      <c r="CN56" s="414"/>
      <c r="CO56" s="420"/>
      <c r="CP56" s="420"/>
      <c r="CQ56" s="420"/>
      <c r="CR56" s="420"/>
      <c r="CS56" s="414"/>
      <c r="CT56" s="420"/>
      <c r="CU56" s="420"/>
      <c r="CV56" s="420"/>
      <c r="CW56" s="420"/>
      <c r="CX56" s="414"/>
    </row>
    <row r="57" spans="2:102" hidden="1" outlineLevel="2">
      <c r="B57" s="556" t="s">
        <v>22</v>
      </c>
      <c r="C57" s="421"/>
      <c r="D57" s="421"/>
      <c r="E57" s="421"/>
      <c r="F57" s="421"/>
      <c r="G57" s="414"/>
      <c r="H57" s="421"/>
      <c r="I57" s="421"/>
      <c r="J57" s="421"/>
      <c r="K57" s="421"/>
      <c r="L57" s="414"/>
      <c r="M57" s="421"/>
      <c r="N57" s="421"/>
      <c r="O57" s="421"/>
      <c r="P57" s="421"/>
      <c r="Q57" s="414">
        <v>31.4</v>
      </c>
      <c r="R57" s="420"/>
      <c r="S57" s="420"/>
      <c r="T57" s="420"/>
      <c r="U57" s="420"/>
      <c r="V57" s="414">
        <v>34.9</v>
      </c>
      <c r="W57" s="420">
        <f>'Rev-Exp'!M140</f>
        <v>10</v>
      </c>
      <c r="X57" s="420">
        <f>'Rev-Exp'!N140</f>
        <v>10.199999999999999</v>
      </c>
      <c r="Y57" s="420">
        <f>'Rev-Exp'!O140</f>
        <v>9.9</v>
      </c>
      <c r="Z57" s="420">
        <f>'Rev-Exp'!P140</f>
        <v>10.600000000000005</v>
      </c>
      <c r="AA57" s="414">
        <f>'Rev-Exp'!Q140</f>
        <v>40.700000000000003</v>
      </c>
      <c r="AB57" s="420">
        <f>'Rev-Exp'!R140</f>
        <v>14.5</v>
      </c>
      <c r="AC57" s="420">
        <f>'Rev-Exp'!S140</f>
        <v>14.8</v>
      </c>
      <c r="AD57" s="420">
        <f>'Rev-Exp'!T140</f>
        <v>13.6</v>
      </c>
      <c r="AE57" s="420">
        <v>15</v>
      </c>
      <c r="AF57" s="415">
        <f>SUM(AB57:AE57)</f>
        <v>57.9</v>
      </c>
      <c r="AG57" s="420">
        <f>'Rev-Exp'!W140</f>
        <v>19.8</v>
      </c>
      <c r="AH57" s="420"/>
      <c r="AI57" s="420"/>
      <c r="AJ57" s="420"/>
      <c r="AK57" s="414"/>
      <c r="AL57" s="420"/>
      <c r="AM57" s="420"/>
      <c r="AN57" s="420"/>
      <c r="AO57" s="420"/>
      <c r="AP57" s="414"/>
      <c r="AQ57" s="420"/>
      <c r="AR57" s="420"/>
      <c r="AS57" s="420"/>
      <c r="AT57" s="420"/>
      <c r="AU57" s="414"/>
      <c r="AV57" s="420"/>
      <c r="AW57" s="420"/>
      <c r="AX57" s="420"/>
      <c r="AY57" s="420"/>
      <c r="AZ57" s="414"/>
      <c r="BA57" s="420"/>
      <c r="BB57" s="420"/>
      <c r="BC57" s="420"/>
      <c r="BD57" s="420"/>
      <c r="BE57" s="414"/>
      <c r="BF57" s="420"/>
      <c r="BG57" s="420"/>
      <c r="BH57" s="420"/>
      <c r="BI57" s="420"/>
      <c r="BJ57" s="414"/>
      <c r="BK57" s="420"/>
      <c r="BL57" s="420"/>
      <c r="BM57" s="420"/>
      <c r="BN57" s="420"/>
      <c r="BO57" s="414"/>
      <c r="BP57" s="420"/>
      <c r="BQ57" s="420"/>
      <c r="BR57" s="420"/>
      <c r="BS57" s="420"/>
      <c r="BT57" s="414"/>
      <c r="BU57" s="420"/>
      <c r="BV57" s="420"/>
      <c r="BW57" s="420"/>
      <c r="BX57" s="420"/>
      <c r="BY57" s="414"/>
      <c r="BZ57" s="420"/>
      <c r="CA57" s="420"/>
      <c r="CB57" s="420"/>
      <c r="CC57" s="420"/>
      <c r="CD57" s="414"/>
      <c r="CE57" s="420"/>
      <c r="CF57" s="420"/>
      <c r="CG57" s="420"/>
      <c r="CH57" s="420"/>
      <c r="CI57" s="414"/>
      <c r="CJ57" s="420"/>
      <c r="CK57" s="420"/>
      <c r="CL57" s="420"/>
      <c r="CM57" s="420"/>
      <c r="CN57" s="414"/>
      <c r="CO57" s="420"/>
      <c r="CP57" s="420"/>
      <c r="CQ57" s="420"/>
      <c r="CR57" s="420"/>
      <c r="CS57" s="414"/>
      <c r="CT57" s="420"/>
      <c r="CU57" s="420"/>
      <c r="CV57" s="420"/>
      <c r="CW57" s="420"/>
      <c r="CX57" s="414"/>
    </row>
    <row r="58" spans="2:102" hidden="1" outlineLevel="2">
      <c r="B58" s="556" t="s">
        <v>442</v>
      </c>
      <c r="C58" s="421"/>
      <c r="D58" s="421"/>
      <c r="E58" s="421"/>
      <c r="F58" s="421"/>
      <c r="G58" s="414"/>
      <c r="H58" s="421"/>
      <c r="I58" s="421"/>
      <c r="J58" s="421"/>
      <c r="K58" s="421"/>
      <c r="L58" s="414"/>
      <c r="M58" s="421"/>
      <c r="N58" s="421"/>
      <c r="O58" s="421"/>
      <c r="P58" s="421"/>
      <c r="Q58" s="414">
        <f>Q59-Q55-Q56-Q57</f>
        <v>17.600000000000001</v>
      </c>
      <c r="R58" s="420"/>
      <c r="S58" s="420"/>
      <c r="T58" s="420"/>
      <c r="U58" s="420"/>
      <c r="V58" s="414">
        <f>V59-V55-V56-V57</f>
        <v>21.000000000000014</v>
      </c>
      <c r="W58" s="420">
        <f>'Rev-Exp'!M162</f>
        <v>7.8</v>
      </c>
      <c r="X58" s="420">
        <f>'Rev-Exp'!N162</f>
        <v>13.7</v>
      </c>
      <c r="Y58" s="420">
        <f>'Rev-Exp'!O162</f>
        <v>15.7</v>
      </c>
      <c r="Z58" s="420">
        <f>'Rev-Exp'!P162</f>
        <v>21.799999999999997</v>
      </c>
      <c r="AA58" s="414">
        <f>'Rev-Exp'!Q162</f>
        <v>59</v>
      </c>
      <c r="AB58" s="420">
        <f>'Rev-Exp'!R162</f>
        <v>13.4</v>
      </c>
      <c r="AC58" s="420">
        <f>'Rev-Exp'!S162</f>
        <v>15.8</v>
      </c>
      <c r="AD58" s="420">
        <f>'Rev-Exp'!T162</f>
        <v>18.2</v>
      </c>
      <c r="AE58" s="420"/>
      <c r="AF58" s="415"/>
      <c r="AG58" s="420">
        <f>'Rev-Exp'!W162</f>
        <v>13.6</v>
      </c>
      <c r="AH58" s="420"/>
      <c r="AI58" s="420"/>
      <c r="AJ58" s="420"/>
      <c r="AK58" s="414"/>
      <c r="AL58" s="420"/>
      <c r="AM58" s="420"/>
      <c r="AN58" s="420"/>
      <c r="AO58" s="420"/>
      <c r="AP58" s="414"/>
      <c r="AQ58" s="420"/>
      <c r="AR58" s="420"/>
      <c r="AS58" s="420"/>
      <c r="AT58" s="420"/>
      <c r="AU58" s="414"/>
      <c r="AV58" s="420"/>
      <c r="AW58" s="420"/>
      <c r="AX58" s="420"/>
      <c r="AY58" s="420"/>
      <c r="AZ58" s="414"/>
      <c r="BA58" s="420"/>
      <c r="BB58" s="420"/>
      <c r="BC58" s="420"/>
      <c r="BD58" s="420"/>
      <c r="BE58" s="414"/>
      <c r="BF58" s="420"/>
      <c r="BG58" s="420"/>
      <c r="BH58" s="420"/>
      <c r="BI58" s="420"/>
      <c r="BJ58" s="414"/>
      <c r="BK58" s="420"/>
      <c r="BL58" s="420"/>
      <c r="BM58" s="420"/>
      <c r="BN58" s="420"/>
      <c r="BO58" s="414"/>
      <c r="BP58" s="420"/>
      <c r="BQ58" s="420"/>
      <c r="BR58" s="420"/>
      <c r="BS58" s="420"/>
      <c r="BT58" s="414"/>
      <c r="BU58" s="420"/>
      <c r="BV58" s="420"/>
      <c r="BW58" s="420"/>
      <c r="BX58" s="420"/>
      <c r="BY58" s="414"/>
      <c r="BZ58" s="420"/>
      <c r="CA58" s="420"/>
      <c r="CB58" s="420"/>
      <c r="CC58" s="420"/>
      <c r="CD58" s="414"/>
      <c r="CE58" s="420"/>
      <c r="CF58" s="420"/>
      <c r="CG58" s="420"/>
      <c r="CH58" s="420"/>
      <c r="CI58" s="414"/>
      <c r="CJ58" s="420"/>
      <c r="CK58" s="420"/>
      <c r="CL58" s="420"/>
      <c r="CM58" s="420"/>
      <c r="CN58" s="414"/>
      <c r="CO58" s="420"/>
      <c r="CP58" s="420"/>
      <c r="CQ58" s="420"/>
      <c r="CR58" s="420"/>
      <c r="CS58" s="414"/>
      <c r="CT58" s="420"/>
      <c r="CU58" s="420"/>
      <c r="CV58" s="420"/>
      <c r="CW58" s="420"/>
      <c r="CX58" s="414"/>
    </row>
    <row r="59" spans="2:102" hidden="1" outlineLevel="2">
      <c r="B59" s="171" t="s">
        <v>443</v>
      </c>
      <c r="C59" s="421"/>
      <c r="D59" s="421"/>
      <c r="E59" s="421"/>
      <c r="F59" s="421"/>
      <c r="G59" s="414"/>
      <c r="H59" s="421"/>
      <c r="I59" s="421"/>
      <c r="J59" s="421"/>
      <c r="K59" s="421"/>
      <c r="L59" s="414"/>
      <c r="M59" s="421"/>
      <c r="N59" s="421"/>
      <c r="O59" s="421"/>
      <c r="P59" s="421"/>
      <c r="Q59" s="414">
        <v>121.7</v>
      </c>
      <c r="R59" s="420"/>
      <c r="S59" s="420"/>
      <c r="T59" s="420"/>
      <c r="U59" s="420"/>
      <c r="V59" s="414">
        <v>150.80000000000001</v>
      </c>
      <c r="W59" s="420">
        <f t="shared" ref="W59:AA59" si="55">W55+W56+W57+W58</f>
        <v>41.699999999999996</v>
      </c>
      <c r="X59" s="420">
        <f t="shared" si="55"/>
        <v>51.100000000000009</v>
      </c>
      <c r="Y59" s="420">
        <f t="shared" si="55"/>
        <v>49.2</v>
      </c>
      <c r="Z59" s="420">
        <f t="shared" si="55"/>
        <v>60.899999999999991</v>
      </c>
      <c r="AA59" s="414">
        <f t="shared" si="55"/>
        <v>202.89999999999998</v>
      </c>
      <c r="AB59" s="420">
        <f>AB55+AB56+AB57+AB58</f>
        <v>53.699999999999996</v>
      </c>
      <c r="AC59" s="420">
        <f t="shared" ref="AC59:AD59" si="56">AC55+AC56+AC57+AC58</f>
        <v>59.900000000000006</v>
      </c>
      <c r="AD59" s="420">
        <f t="shared" si="56"/>
        <v>48.7</v>
      </c>
      <c r="AE59" s="420"/>
      <c r="AF59" s="414"/>
      <c r="AG59" s="420">
        <f t="shared" ref="AG59" si="57">AG55+AG56+AG57+AG58</f>
        <v>62.800000000000004</v>
      </c>
      <c r="AH59" s="420"/>
      <c r="AI59" s="420"/>
      <c r="AJ59" s="420"/>
      <c r="AK59" s="414"/>
      <c r="AL59" s="420"/>
      <c r="AM59" s="420"/>
      <c r="AN59" s="420"/>
      <c r="AO59" s="420"/>
      <c r="AP59" s="414"/>
      <c r="AQ59" s="420"/>
      <c r="AR59" s="420"/>
      <c r="AS59" s="420"/>
      <c r="AT59" s="420"/>
      <c r="AU59" s="414"/>
      <c r="AV59" s="420"/>
      <c r="AW59" s="420"/>
      <c r="AX59" s="420"/>
      <c r="AY59" s="420"/>
      <c r="AZ59" s="414"/>
      <c r="BA59" s="420"/>
      <c r="BB59" s="420"/>
      <c r="BC59" s="420"/>
      <c r="BD59" s="420"/>
      <c r="BE59" s="414"/>
      <c r="BF59" s="420"/>
      <c r="BG59" s="420"/>
      <c r="BH59" s="420"/>
      <c r="BI59" s="420"/>
      <c r="BJ59" s="414"/>
      <c r="BK59" s="420"/>
      <c r="BL59" s="420"/>
      <c r="BM59" s="420"/>
      <c r="BN59" s="420"/>
      <c r="BO59" s="414"/>
      <c r="BP59" s="420"/>
      <c r="BQ59" s="420"/>
      <c r="BR59" s="420"/>
      <c r="BS59" s="420"/>
      <c r="BT59" s="414"/>
      <c r="BU59" s="420"/>
      <c r="BV59" s="420"/>
      <c r="BW59" s="420"/>
      <c r="BX59" s="420"/>
      <c r="BY59" s="414"/>
      <c r="BZ59" s="420"/>
      <c r="CA59" s="420"/>
      <c r="CB59" s="420"/>
      <c r="CC59" s="420"/>
      <c r="CD59" s="414"/>
      <c r="CE59" s="420"/>
      <c r="CF59" s="420"/>
      <c r="CG59" s="420"/>
      <c r="CH59" s="420"/>
      <c r="CI59" s="414"/>
      <c r="CJ59" s="420"/>
      <c r="CK59" s="420"/>
      <c r="CL59" s="420"/>
      <c r="CM59" s="420"/>
      <c r="CN59" s="414"/>
      <c r="CO59" s="420"/>
      <c r="CP59" s="420"/>
      <c r="CQ59" s="420"/>
      <c r="CR59" s="420"/>
      <c r="CS59" s="414"/>
      <c r="CT59" s="420"/>
      <c r="CU59" s="420"/>
      <c r="CV59" s="420"/>
      <c r="CW59" s="420"/>
      <c r="CX59" s="414"/>
    </row>
    <row r="60" spans="2:102" hidden="1" outlineLevel="2">
      <c r="B60" s="171" t="s">
        <v>444</v>
      </c>
      <c r="C60" s="421"/>
      <c r="D60" s="421"/>
      <c r="E60" s="421"/>
      <c r="F60" s="421"/>
      <c r="G60" s="414"/>
      <c r="H60" s="421"/>
      <c r="I60" s="421"/>
      <c r="J60" s="421"/>
      <c r="K60" s="421"/>
      <c r="L60" s="414"/>
      <c r="M60" s="421"/>
      <c r="N60" s="421"/>
      <c r="O60" s="421"/>
      <c r="P60" s="421"/>
      <c r="Q60" s="414">
        <v>113.7</v>
      </c>
      <c r="R60" s="420"/>
      <c r="S60" s="420"/>
      <c r="T60" s="420"/>
      <c r="U60" s="420"/>
      <c r="V60" s="414">
        <v>151.4</v>
      </c>
      <c r="W60" s="420">
        <f>'Rev-Exp'!M234</f>
        <v>51.1</v>
      </c>
      <c r="X60" s="420">
        <f>'Rev-Exp'!N234</f>
        <v>50.4</v>
      </c>
      <c r="Y60" s="420">
        <f>'Rev-Exp'!O234</f>
        <v>44.8</v>
      </c>
      <c r="Z60" s="420">
        <f>'Rev-Exp'!P234</f>
        <v>53.100000000000016</v>
      </c>
      <c r="AA60" s="414">
        <f>'Rev-Exp'!Q234</f>
        <v>199.4</v>
      </c>
      <c r="AB60" s="420">
        <f>'Rev-Exp'!R234</f>
        <v>51.6</v>
      </c>
      <c r="AC60" s="420">
        <f>'Rev-Exp'!S234</f>
        <v>49.7</v>
      </c>
      <c r="AD60" s="420">
        <f>'Rev-Exp'!T234</f>
        <v>57.5</v>
      </c>
      <c r="AE60" s="420"/>
      <c r="AF60" s="414"/>
      <c r="AG60" s="420">
        <f>'Rev-Exp'!W234</f>
        <v>57.2</v>
      </c>
      <c r="AH60" s="420"/>
      <c r="AI60" s="420"/>
      <c r="AJ60" s="420"/>
      <c r="AK60" s="414"/>
      <c r="AL60" s="420"/>
      <c r="AM60" s="420"/>
      <c r="AN60" s="420"/>
      <c r="AO60" s="420"/>
      <c r="AP60" s="414"/>
      <c r="AQ60" s="420"/>
      <c r="AR60" s="420"/>
      <c r="AS60" s="420"/>
      <c r="AT60" s="420"/>
      <c r="AU60" s="414"/>
      <c r="AV60" s="420"/>
      <c r="AW60" s="420"/>
      <c r="AX60" s="420"/>
      <c r="AY60" s="420"/>
      <c r="AZ60" s="414"/>
      <c r="BA60" s="420"/>
      <c r="BB60" s="420"/>
      <c r="BC60" s="420"/>
      <c r="BD60" s="420"/>
      <c r="BE60" s="414"/>
      <c r="BF60" s="420"/>
      <c r="BG60" s="420"/>
      <c r="BH60" s="420"/>
      <c r="BI60" s="420"/>
      <c r="BJ60" s="414"/>
      <c r="BK60" s="420"/>
      <c r="BL60" s="420"/>
      <c r="BM60" s="420"/>
      <c r="BN60" s="420"/>
      <c r="BO60" s="414"/>
      <c r="BP60" s="420"/>
      <c r="BQ60" s="420"/>
      <c r="BR60" s="420"/>
      <c r="BS60" s="420"/>
      <c r="BT60" s="414"/>
      <c r="BU60" s="420"/>
      <c r="BV60" s="420"/>
      <c r="BW60" s="420"/>
      <c r="BX60" s="420"/>
      <c r="BY60" s="414"/>
      <c r="BZ60" s="420"/>
      <c r="CA60" s="420"/>
      <c r="CB60" s="420"/>
      <c r="CC60" s="420"/>
      <c r="CD60" s="414"/>
      <c r="CE60" s="420"/>
      <c r="CF60" s="420"/>
      <c r="CG60" s="420"/>
      <c r="CH60" s="420"/>
      <c r="CI60" s="414"/>
      <c r="CJ60" s="420"/>
      <c r="CK60" s="420"/>
      <c r="CL60" s="420"/>
      <c r="CM60" s="420"/>
      <c r="CN60" s="414"/>
      <c r="CO60" s="420"/>
      <c r="CP60" s="420"/>
      <c r="CQ60" s="420"/>
      <c r="CR60" s="420"/>
      <c r="CS60" s="414"/>
      <c r="CT60" s="420"/>
      <c r="CU60" s="420"/>
      <c r="CV60" s="420"/>
      <c r="CW60" s="420"/>
      <c r="CX60" s="414"/>
    </row>
    <row r="61" spans="2:102" ht="14.25" hidden="1" outlineLevel="1" thickBot="1">
      <c r="B61" s="433" t="s">
        <v>468</v>
      </c>
      <c r="C61" s="421"/>
      <c r="D61" s="421"/>
      <c r="E61" s="421"/>
      <c r="F61" s="421"/>
      <c r="G61" s="414"/>
      <c r="H61" s="421"/>
      <c r="I61" s="421"/>
      <c r="J61" s="421"/>
      <c r="K61" s="421"/>
      <c r="L61" s="414"/>
      <c r="M61" s="421"/>
      <c r="N61" s="421"/>
      <c r="O61" s="421"/>
      <c r="P61" s="421"/>
      <c r="Q61" s="414"/>
      <c r="R61" s="420"/>
      <c r="S61" s="420"/>
      <c r="T61" s="420"/>
      <c r="U61" s="420"/>
      <c r="V61" s="414"/>
      <c r="W61" s="420">
        <f t="shared" ref="W61:AC61" si="58">W59+W60</f>
        <v>92.8</v>
      </c>
      <c r="X61" s="420">
        <f t="shared" si="58"/>
        <v>101.5</v>
      </c>
      <c r="Y61" s="420">
        <f t="shared" si="58"/>
        <v>94</v>
      </c>
      <c r="Z61" s="420">
        <f t="shared" si="58"/>
        <v>114</v>
      </c>
      <c r="AA61" s="414">
        <f t="shared" si="58"/>
        <v>402.29999999999995</v>
      </c>
      <c r="AB61" s="420">
        <f t="shared" si="58"/>
        <v>105.3</v>
      </c>
      <c r="AC61" s="420">
        <f t="shared" si="58"/>
        <v>109.60000000000001</v>
      </c>
      <c r="AD61" s="420">
        <f>AD59+AD60</f>
        <v>106.2</v>
      </c>
      <c r="AE61" s="420">
        <v>142.958</v>
      </c>
      <c r="AF61" s="415">
        <f>AE61+AD61+AC61+AB61</f>
        <v>464.05800000000005</v>
      </c>
      <c r="AG61" s="420">
        <v>120.01900000000001</v>
      </c>
      <c r="AH61" s="420">
        <v>143.505</v>
      </c>
      <c r="AI61" s="420">
        <v>130.53200000000001</v>
      </c>
      <c r="AJ61" s="420">
        <v>160.30000000000001</v>
      </c>
      <c r="AK61" s="177">
        <f>AJ61+AI61+AH61+AG61</f>
        <v>554.35599999999999</v>
      </c>
      <c r="AL61" s="420"/>
      <c r="AM61" s="420"/>
      <c r="AN61" s="420"/>
      <c r="AO61" s="420"/>
      <c r="AP61" s="178"/>
      <c r="AQ61" s="420"/>
      <c r="AR61" s="420"/>
      <c r="AS61" s="420"/>
      <c r="AT61" s="420"/>
      <c r="AU61" s="415"/>
      <c r="AV61" s="420"/>
      <c r="AW61" s="420"/>
      <c r="AX61" s="420"/>
      <c r="AY61" s="420"/>
      <c r="AZ61" s="415"/>
      <c r="BA61" s="420"/>
      <c r="BB61" s="420"/>
      <c r="BC61" s="420"/>
      <c r="BD61" s="420"/>
      <c r="BE61" s="415"/>
      <c r="BF61" s="420"/>
      <c r="BG61" s="420"/>
      <c r="BH61" s="420"/>
      <c r="BI61" s="420"/>
      <c r="BJ61" s="415"/>
      <c r="BK61" s="420"/>
      <c r="BL61" s="420"/>
      <c r="BM61" s="420"/>
      <c r="BN61" s="420"/>
      <c r="BO61" s="415"/>
      <c r="BP61" s="420"/>
      <c r="BQ61" s="420"/>
      <c r="BR61" s="420"/>
      <c r="BS61" s="420"/>
      <c r="BT61" s="415"/>
      <c r="BU61" s="420"/>
      <c r="BV61" s="420"/>
      <c r="BW61" s="420"/>
      <c r="BX61" s="420"/>
      <c r="BY61" s="415"/>
      <c r="BZ61" s="420"/>
      <c r="CA61" s="420"/>
      <c r="CB61" s="420"/>
      <c r="CC61" s="420"/>
      <c r="CD61" s="415"/>
      <c r="CE61" s="420"/>
      <c r="CF61" s="420"/>
      <c r="CG61" s="420"/>
      <c r="CH61" s="420"/>
      <c r="CI61" s="415"/>
      <c r="CJ61" s="420"/>
      <c r="CK61" s="420"/>
      <c r="CL61" s="420"/>
      <c r="CM61" s="420"/>
      <c r="CN61" s="415"/>
      <c r="CO61" s="420"/>
      <c r="CP61" s="420"/>
      <c r="CQ61" s="420"/>
      <c r="CR61" s="420"/>
      <c r="CS61" s="415"/>
      <c r="CT61" s="420"/>
      <c r="CU61" s="420"/>
      <c r="CV61" s="420"/>
      <c r="CW61" s="420"/>
      <c r="CX61" s="415"/>
    </row>
    <row r="62" spans="2:102" ht="14.25" hidden="1" outlineLevel="1" thickBot="1">
      <c r="B62" s="433"/>
      <c r="C62" s="421"/>
      <c r="D62" s="421"/>
      <c r="E62" s="421"/>
      <c r="F62" s="421"/>
      <c r="G62" s="414"/>
      <c r="H62" s="421"/>
      <c r="I62" s="421"/>
      <c r="J62" s="421"/>
      <c r="K62" s="421"/>
      <c r="L62" s="414"/>
      <c r="M62" s="421"/>
      <c r="N62" s="421"/>
      <c r="O62" s="421"/>
      <c r="P62" s="421"/>
      <c r="Q62" s="414"/>
      <c r="R62" s="420"/>
      <c r="S62" s="420"/>
      <c r="T62" s="420"/>
      <c r="U62" s="420"/>
      <c r="V62" s="414"/>
      <c r="W62" s="420"/>
      <c r="X62" s="420"/>
      <c r="Y62" s="420"/>
      <c r="Z62" s="420"/>
      <c r="AA62" s="414"/>
      <c r="AB62" s="420"/>
      <c r="AC62" s="420"/>
      <c r="AD62" s="420"/>
      <c r="AE62" s="420"/>
      <c r="AF62" s="415"/>
      <c r="AG62" s="420"/>
      <c r="AH62" s="420"/>
      <c r="AI62" s="420"/>
      <c r="AJ62" s="420"/>
      <c r="AK62" s="414"/>
      <c r="AL62" s="420"/>
      <c r="AM62" s="420"/>
      <c r="AN62" s="711" t="s">
        <v>568</v>
      </c>
      <c r="AO62" s="712"/>
      <c r="AP62" s="713" t="s">
        <v>618</v>
      </c>
      <c r="AQ62" s="420"/>
      <c r="AR62" s="420"/>
      <c r="AS62" s="420"/>
      <c r="AT62" s="420"/>
      <c r="AU62" s="415"/>
      <c r="AV62" s="420"/>
      <c r="AW62" s="420"/>
      <c r="AX62" s="420"/>
      <c r="AY62" s="420"/>
      <c r="AZ62" s="415"/>
      <c r="BA62" s="420"/>
      <c r="BB62" s="420"/>
      <c r="BC62" s="420"/>
      <c r="BD62" s="420"/>
      <c r="BE62" s="415"/>
      <c r="BF62" s="420"/>
      <c r="BG62" s="420"/>
      <c r="BH62" s="420"/>
      <c r="BI62" s="420"/>
      <c r="BJ62" s="415"/>
      <c r="BK62" s="420"/>
      <c r="BL62" s="420"/>
      <c r="BM62" s="420"/>
      <c r="BN62" s="420"/>
      <c r="BO62" s="415"/>
      <c r="BP62" s="420"/>
      <c r="BQ62" s="420"/>
      <c r="BR62" s="420"/>
      <c r="BS62" s="420"/>
      <c r="BT62" s="415"/>
      <c r="BU62" s="420"/>
      <c r="BV62" s="420"/>
      <c r="BW62" s="420"/>
      <c r="BX62" s="420"/>
      <c r="BY62" s="415"/>
      <c r="BZ62" s="420"/>
      <c r="CA62" s="420"/>
      <c r="CB62" s="420"/>
      <c r="CC62" s="420"/>
      <c r="CD62" s="415"/>
      <c r="CE62" s="420"/>
      <c r="CF62" s="420"/>
      <c r="CG62" s="420"/>
      <c r="CH62" s="420"/>
      <c r="CI62" s="415"/>
      <c r="CJ62" s="420"/>
      <c r="CK62" s="420"/>
      <c r="CL62" s="420"/>
      <c r="CM62" s="420"/>
      <c r="CN62" s="415"/>
      <c r="CO62" s="420"/>
      <c r="CP62" s="420"/>
      <c r="CQ62" s="420"/>
      <c r="CR62" s="420"/>
      <c r="CS62" s="415"/>
      <c r="CT62" s="420"/>
      <c r="CU62" s="420"/>
      <c r="CV62" s="420"/>
      <c r="CW62" s="420"/>
      <c r="CX62" s="415"/>
    </row>
    <row r="63" spans="2:102" hidden="1" outlineLevel="2">
      <c r="B63" s="556" t="s">
        <v>450</v>
      </c>
      <c r="C63" s="421"/>
      <c r="D63" s="421"/>
      <c r="E63" s="421"/>
      <c r="F63" s="421"/>
      <c r="G63" s="414"/>
      <c r="H63" s="421"/>
      <c r="I63" s="421"/>
      <c r="J63" s="421"/>
      <c r="K63" s="421"/>
      <c r="L63" s="414"/>
      <c r="M63" s="421"/>
      <c r="N63" s="421"/>
      <c r="O63" s="421"/>
      <c r="P63" s="421"/>
      <c r="Q63" s="414">
        <f>-Q92-Q93</f>
        <v>-36.799999999999997</v>
      </c>
      <c r="R63" s="420"/>
      <c r="S63" s="420"/>
      <c r="T63" s="420"/>
      <c r="U63" s="420"/>
      <c r="V63" s="414">
        <v>-16.5</v>
      </c>
      <c r="W63" s="420">
        <f>W116</f>
        <v>4.3000000000000007</v>
      </c>
      <c r="X63" s="420">
        <f>X116</f>
        <v>4.5999999999999996</v>
      </c>
      <c r="Y63" s="420">
        <f>Y116</f>
        <v>4.8</v>
      </c>
      <c r="Z63" s="420">
        <f>Z116</f>
        <v>5.6999999999999993</v>
      </c>
      <c r="AA63" s="414">
        <v>-19.399999999999999</v>
      </c>
      <c r="AB63" s="420">
        <f>AB116</f>
        <v>5.6999999999999993</v>
      </c>
      <c r="AC63" s="420">
        <f>AC116</f>
        <v>5.9</v>
      </c>
      <c r="AD63" s="420">
        <f>AD116</f>
        <v>7.7000000000000011</v>
      </c>
      <c r="AE63" s="420">
        <f>AE116</f>
        <v>6</v>
      </c>
      <c r="AF63" s="415">
        <f t="shared" ref="AF63:AF64" si="59">AE63+AD63+AC63+AB63</f>
        <v>25.3</v>
      </c>
      <c r="AG63" s="420">
        <v>5</v>
      </c>
      <c r="AH63" s="420">
        <v>5.5</v>
      </c>
      <c r="AI63" s="420">
        <f t="shared" ref="AI63" si="60">AI116</f>
        <v>5.7</v>
      </c>
      <c r="AJ63" s="420">
        <v>6.8</v>
      </c>
      <c r="AK63" s="177">
        <f t="shared" ref="AK63:AK65" si="61">AJ63+AI63+AH63+AG63</f>
        <v>23</v>
      </c>
      <c r="AL63" s="420"/>
      <c r="AM63" s="420"/>
      <c r="AN63" s="420"/>
      <c r="AO63" s="420"/>
      <c r="AP63" s="177"/>
      <c r="AQ63" s="420"/>
      <c r="AR63" s="420"/>
      <c r="AS63" s="420"/>
      <c r="AT63" s="420"/>
      <c r="AU63" s="414"/>
      <c r="AV63" s="420"/>
      <c r="AW63" s="420"/>
      <c r="AX63" s="420"/>
      <c r="AY63" s="420"/>
      <c r="AZ63" s="414"/>
      <c r="BA63" s="420"/>
      <c r="BB63" s="420"/>
      <c r="BC63" s="420"/>
      <c r="BD63" s="420"/>
      <c r="BE63" s="414"/>
      <c r="BF63" s="420"/>
      <c r="BG63" s="420"/>
      <c r="BH63" s="420"/>
      <c r="BI63" s="420"/>
      <c r="BJ63" s="414"/>
      <c r="BK63" s="420"/>
      <c r="BL63" s="420"/>
      <c r="BM63" s="420"/>
      <c r="BN63" s="420"/>
      <c r="BO63" s="414"/>
      <c r="BP63" s="420"/>
      <c r="BQ63" s="420"/>
      <c r="BR63" s="420"/>
      <c r="BS63" s="420"/>
      <c r="BT63" s="414"/>
      <c r="BU63" s="420"/>
      <c r="BV63" s="420"/>
      <c r="BW63" s="420"/>
      <c r="BX63" s="420"/>
      <c r="BY63" s="414"/>
      <c r="BZ63" s="420"/>
      <c r="CA63" s="420"/>
      <c r="CB63" s="420"/>
      <c r="CC63" s="420"/>
      <c r="CD63" s="414"/>
      <c r="CE63" s="420"/>
      <c r="CF63" s="420"/>
      <c r="CG63" s="420"/>
      <c r="CH63" s="420"/>
      <c r="CI63" s="414"/>
      <c r="CJ63" s="420"/>
      <c r="CK63" s="420"/>
      <c r="CL63" s="420"/>
      <c r="CM63" s="420"/>
      <c r="CN63" s="414"/>
      <c r="CO63" s="420"/>
      <c r="CP63" s="420"/>
      <c r="CQ63" s="420"/>
      <c r="CR63" s="420"/>
      <c r="CS63" s="414"/>
      <c r="CT63" s="420"/>
      <c r="CU63" s="420"/>
      <c r="CV63" s="420"/>
      <c r="CW63" s="420"/>
      <c r="CX63" s="414"/>
    </row>
    <row r="64" spans="2:102" hidden="1" outlineLevel="2">
      <c r="B64" s="556" t="s">
        <v>451</v>
      </c>
      <c r="C64" s="421"/>
      <c r="D64" s="421"/>
      <c r="E64" s="421"/>
      <c r="F64" s="421"/>
      <c r="G64" s="414"/>
      <c r="H64" s="421"/>
      <c r="I64" s="421"/>
      <c r="J64" s="421"/>
      <c r="K64" s="421"/>
      <c r="L64" s="414"/>
      <c r="M64" s="421"/>
      <c r="N64" s="421"/>
      <c r="O64" s="421"/>
      <c r="P64" s="421"/>
      <c r="Q64" s="414">
        <f>-Q106</f>
        <v>-31.753999999999998</v>
      </c>
      <c r="R64" s="420"/>
      <c r="S64" s="420"/>
      <c r="T64" s="420"/>
      <c r="U64" s="420"/>
      <c r="V64" s="414">
        <v>-45.2</v>
      </c>
      <c r="W64" s="420">
        <f>W106</f>
        <v>11.4</v>
      </c>
      <c r="X64" s="420">
        <f>X106</f>
        <v>15.295</v>
      </c>
      <c r="Y64" s="420">
        <f>Y106</f>
        <v>14.794</v>
      </c>
      <c r="Z64" s="420">
        <f>Z106</f>
        <v>13.8</v>
      </c>
      <c r="AA64" s="414">
        <v>-62.3</v>
      </c>
      <c r="AB64" s="420">
        <f>AB106</f>
        <v>14.907999999999999</v>
      </c>
      <c r="AC64" s="420">
        <f>AC106</f>
        <v>16.795000000000002</v>
      </c>
      <c r="AD64" s="420">
        <f>AD106</f>
        <v>16.645</v>
      </c>
      <c r="AE64" s="420">
        <f>AE106</f>
        <v>19</v>
      </c>
      <c r="AF64" s="415">
        <f t="shared" si="59"/>
        <v>67.347999999999999</v>
      </c>
      <c r="AG64" s="420">
        <v>18</v>
      </c>
      <c r="AH64" s="420">
        <v>22.9</v>
      </c>
      <c r="AI64" s="420">
        <f t="shared" ref="AI64" si="62">AI106</f>
        <v>19.100000000000001</v>
      </c>
      <c r="AJ64" s="420">
        <v>17.600000000000001</v>
      </c>
      <c r="AK64" s="177">
        <f t="shared" si="61"/>
        <v>77.599999999999994</v>
      </c>
      <c r="AL64" s="420"/>
      <c r="AM64" s="420"/>
      <c r="AN64" s="420"/>
      <c r="AO64" s="420"/>
      <c r="AP64" s="177"/>
      <c r="AQ64" s="420"/>
      <c r="AR64" s="420"/>
      <c r="AS64" s="420"/>
      <c r="AT64" s="420"/>
      <c r="AU64" s="414"/>
      <c r="AV64" s="420"/>
      <c r="AW64" s="420"/>
      <c r="AX64" s="420"/>
      <c r="AY64" s="420"/>
      <c r="AZ64" s="414"/>
      <c r="BA64" s="420"/>
      <c r="BB64" s="420"/>
      <c r="BC64" s="420"/>
      <c r="BD64" s="420"/>
      <c r="BE64" s="414"/>
      <c r="BF64" s="420"/>
      <c r="BG64" s="420"/>
      <c r="BH64" s="420"/>
      <c r="BI64" s="420"/>
      <c r="BJ64" s="414"/>
      <c r="BK64" s="420"/>
      <c r="BL64" s="420"/>
      <c r="BM64" s="420"/>
      <c r="BN64" s="420"/>
      <c r="BO64" s="414"/>
      <c r="BP64" s="420"/>
      <c r="BQ64" s="420"/>
      <c r="BR64" s="420"/>
      <c r="BS64" s="420"/>
      <c r="BT64" s="414"/>
      <c r="BU64" s="420"/>
      <c r="BV64" s="420"/>
      <c r="BW64" s="420"/>
      <c r="BX64" s="420"/>
      <c r="BY64" s="414"/>
      <c r="BZ64" s="420"/>
      <c r="CA64" s="420"/>
      <c r="CB64" s="420"/>
      <c r="CC64" s="420"/>
      <c r="CD64" s="414"/>
      <c r="CE64" s="420"/>
      <c r="CF64" s="420"/>
      <c r="CG64" s="420"/>
      <c r="CH64" s="420"/>
      <c r="CI64" s="414"/>
      <c r="CJ64" s="420"/>
      <c r="CK64" s="420"/>
      <c r="CL64" s="420"/>
      <c r="CM64" s="420"/>
      <c r="CN64" s="414"/>
      <c r="CO64" s="420"/>
      <c r="CP64" s="420"/>
      <c r="CQ64" s="420"/>
      <c r="CR64" s="420"/>
      <c r="CS64" s="414"/>
      <c r="CT64" s="420"/>
      <c r="CU64" s="420"/>
      <c r="CV64" s="420"/>
      <c r="CW64" s="420"/>
      <c r="CX64" s="414"/>
    </row>
    <row r="65" spans="2:110" hidden="1" outlineLevel="1">
      <c r="B65" s="171" t="s">
        <v>452</v>
      </c>
      <c r="C65" s="421"/>
      <c r="D65" s="421"/>
      <c r="E65" s="421"/>
      <c r="F65" s="421"/>
      <c r="G65" s="414"/>
      <c r="H65" s="421"/>
      <c r="I65" s="421"/>
      <c r="J65" s="421"/>
      <c r="K65" s="421"/>
      <c r="L65" s="414"/>
      <c r="M65" s="421"/>
      <c r="N65" s="421"/>
      <c r="O65" s="421"/>
      <c r="P65" s="421"/>
      <c r="Q65" s="414">
        <f>Q64+Q63</f>
        <v>-68.554000000000002</v>
      </c>
      <c r="R65" s="420"/>
      <c r="S65" s="420"/>
      <c r="T65" s="420"/>
      <c r="U65" s="420"/>
      <c r="V65" s="414">
        <f>V64+V63</f>
        <v>-61.7</v>
      </c>
      <c r="W65" s="420">
        <f>W63+W64</f>
        <v>15.700000000000001</v>
      </c>
      <c r="X65" s="420">
        <f>X63+X64</f>
        <v>19.895</v>
      </c>
      <c r="Y65" s="420">
        <f>Y63+Y64</f>
        <v>19.594000000000001</v>
      </c>
      <c r="Z65" s="420">
        <f>Z63+Z64</f>
        <v>19.5</v>
      </c>
      <c r="AA65" s="414">
        <f>AA64+AA63</f>
        <v>-81.699999999999989</v>
      </c>
      <c r="AB65" s="420">
        <f>AB63+AB64</f>
        <v>20.607999999999997</v>
      </c>
      <c r="AC65" s="420">
        <f>AC63+AC64</f>
        <v>22.695</v>
      </c>
      <c r="AD65" s="420">
        <f>AD63+AD64</f>
        <v>24.344999999999999</v>
      </c>
      <c r="AE65" s="420">
        <f>AE63+AE64</f>
        <v>25</v>
      </c>
      <c r="AF65" s="415">
        <f>AE65+AD65+AC65+AB65</f>
        <v>92.647999999999996</v>
      </c>
      <c r="AG65" s="420">
        <f t="shared" ref="AG65:AJ65" si="63">AG63+AG64</f>
        <v>23</v>
      </c>
      <c r="AH65" s="420">
        <f t="shared" si="63"/>
        <v>28.4</v>
      </c>
      <c r="AI65" s="420">
        <f t="shared" si="63"/>
        <v>24.8</v>
      </c>
      <c r="AJ65" s="420">
        <f t="shared" si="63"/>
        <v>24.400000000000002</v>
      </c>
      <c r="AK65" s="177">
        <f t="shared" si="61"/>
        <v>100.6</v>
      </c>
      <c r="AL65" s="420"/>
      <c r="AM65" s="420"/>
      <c r="AN65" s="420"/>
      <c r="AO65" s="420"/>
      <c r="AP65" s="178"/>
      <c r="AQ65" s="420"/>
      <c r="AR65" s="420"/>
      <c r="AS65" s="420"/>
      <c r="AT65" s="420"/>
      <c r="AU65" s="415"/>
      <c r="AV65" s="420"/>
      <c r="AW65" s="420"/>
      <c r="AX65" s="420"/>
      <c r="AY65" s="420"/>
      <c r="AZ65" s="415"/>
      <c r="BA65" s="420"/>
      <c r="BB65" s="420"/>
      <c r="BC65" s="420"/>
      <c r="BD65" s="420"/>
      <c r="BE65" s="415"/>
      <c r="BF65" s="420"/>
      <c r="BG65" s="420"/>
      <c r="BH65" s="420"/>
      <c r="BI65" s="420"/>
      <c r="BJ65" s="415"/>
      <c r="BK65" s="420"/>
      <c r="BL65" s="420"/>
      <c r="BM65" s="420"/>
      <c r="BN65" s="420"/>
      <c r="BO65" s="415"/>
      <c r="BP65" s="420"/>
      <c r="BQ65" s="420"/>
      <c r="BR65" s="420"/>
      <c r="BS65" s="420"/>
      <c r="BT65" s="415"/>
      <c r="BU65" s="420"/>
      <c r="BV65" s="420"/>
      <c r="BW65" s="420"/>
      <c r="BX65" s="420"/>
      <c r="BY65" s="415"/>
      <c r="BZ65" s="420"/>
      <c r="CA65" s="420"/>
      <c r="CB65" s="420"/>
      <c r="CC65" s="420"/>
      <c r="CD65" s="415"/>
      <c r="CE65" s="420"/>
      <c r="CF65" s="420"/>
      <c r="CG65" s="420"/>
      <c r="CH65" s="420"/>
      <c r="CI65" s="415"/>
      <c r="CJ65" s="420"/>
      <c r="CK65" s="420"/>
      <c r="CL65" s="420"/>
      <c r="CM65" s="420"/>
      <c r="CN65" s="415"/>
      <c r="CO65" s="420"/>
      <c r="CP65" s="420"/>
      <c r="CQ65" s="420"/>
      <c r="CR65" s="420"/>
      <c r="CS65" s="415"/>
      <c r="CT65" s="420"/>
      <c r="CU65" s="420"/>
      <c r="CV65" s="420"/>
      <c r="CW65" s="420"/>
      <c r="CX65" s="415"/>
    </row>
    <row r="66" spans="2:110" collapsed="1">
      <c r="B66" s="177" t="s">
        <v>35</v>
      </c>
      <c r="C66" s="176">
        <f>41.037-C106-C114-C117</f>
        <v>30.132999999999999</v>
      </c>
      <c r="D66" s="176">
        <f>41.015-D106-D114-D117</f>
        <v>28.258999999999997</v>
      </c>
      <c r="E66" s="176">
        <f>44.88-E106-E114-E117</f>
        <v>31.968000000000004</v>
      </c>
      <c r="F66" s="176">
        <f>48.454-F106-F114-F117</f>
        <v>35.643999999999998</v>
      </c>
      <c r="G66" s="177">
        <f>SUM(C66:F66)</f>
        <v>126.00399999999999</v>
      </c>
      <c r="H66" s="176">
        <f>45.248-H106-H114-H117</f>
        <v>23.081999999999997</v>
      </c>
      <c r="I66" s="176">
        <f>51.539-I106-I114-I117</f>
        <v>35.804999999999993</v>
      </c>
      <c r="J66" s="176">
        <f>46.337-J106-J114-J117</f>
        <v>31.485000000000003</v>
      </c>
      <c r="K66" s="176">
        <f>55.049-K106-K114-K117</f>
        <v>40.523999999999994</v>
      </c>
      <c r="L66" s="177">
        <f>SUM(H66:K66)</f>
        <v>130.89599999999999</v>
      </c>
      <c r="M66" s="176">
        <f>51.05-M106-6.1-2.6</f>
        <v>37.152999999999992</v>
      </c>
      <c r="N66" s="176">
        <f>50.656-N106-6.6-3.6</f>
        <v>34.037999999999997</v>
      </c>
      <c r="O66" s="176">
        <f>61.841-O106-6.3-2.6</f>
        <v>45.341000000000001</v>
      </c>
      <c r="P66" s="176">
        <f>71.809-P106-6.4-2.6</f>
        <v>50.269999999999996</v>
      </c>
      <c r="Q66" s="177">
        <f>SUM(M66:P66)</f>
        <v>166.80199999999996</v>
      </c>
      <c r="R66" s="422">
        <f>60.069-R106+2.7-R114-R117</f>
        <v>45.366</v>
      </c>
      <c r="S66" s="422">
        <f>68.089-S106-3.8</f>
        <v>55.573</v>
      </c>
      <c r="T66" s="422">
        <f>74.604-T106-4.3</f>
        <v>59.759</v>
      </c>
      <c r="U66" s="422">
        <f>99.768-U106-4.8+U121-0.3</f>
        <v>74.368000000000009</v>
      </c>
      <c r="V66" s="177">
        <f>SUM(R66:U66)</f>
        <v>235.06599999999997</v>
      </c>
      <c r="W66" s="422">
        <f>W61-W65</f>
        <v>77.099999999999994</v>
      </c>
      <c r="X66" s="422">
        <f>X61-X65</f>
        <v>81.605000000000004</v>
      </c>
      <c r="Y66" s="422">
        <f>Y61-Y65</f>
        <v>74.406000000000006</v>
      </c>
      <c r="Z66" s="422">
        <f>Z61-Z65</f>
        <v>94.5</v>
      </c>
      <c r="AA66" s="177">
        <f>SUM(W66:Z66)</f>
        <v>327.61099999999999</v>
      </c>
      <c r="AB66" s="422">
        <f>AB61-AB65</f>
        <v>84.692000000000007</v>
      </c>
      <c r="AC66" s="422">
        <f>AC61-AC65</f>
        <v>86.905000000000001</v>
      </c>
      <c r="AD66" s="422">
        <f>AD61-AD65</f>
        <v>81.855000000000004</v>
      </c>
      <c r="AE66" s="422">
        <f>AE61-AE65</f>
        <v>117.958</v>
      </c>
      <c r="AF66" s="178">
        <f>AE66+AD66+AC66+AB66</f>
        <v>371.40999999999997</v>
      </c>
      <c r="AG66" s="422">
        <f>AG61-AG65</f>
        <v>97.019000000000005</v>
      </c>
      <c r="AH66" s="422">
        <f>AH61-AH65</f>
        <v>115.10499999999999</v>
      </c>
      <c r="AI66" s="422">
        <f>AI61-AI65</f>
        <v>105.73200000000001</v>
      </c>
      <c r="AJ66" s="422">
        <f>AJ61-AJ65</f>
        <v>135.9</v>
      </c>
      <c r="AK66" s="178">
        <f>AJ66+AI66+AH66+AG66</f>
        <v>453.75599999999997</v>
      </c>
      <c r="AL66" s="422">
        <v>115</v>
      </c>
      <c r="AM66" s="422">
        <f>AL66*1.025</f>
        <v>117.87499999999999</v>
      </c>
      <c r="AN66" s="422">
        <f>AM66*1.025</f>
        <v>120.82187499999998</v>
      </c>
      <c r="AO66" s="422">
        <f>AP66-SUM(AL66:AN66)</f>
        <v>145.43472500000001</v>
      </c>
      <c r="AP66" s="178">
        <f>AK66*1.1</f>
        <v>499.13159999999999</v>
      </c>
      <c r="AQ66" s="422"/>
      <c r="AR66" s="422"/>
      <c r="AS66" s="422"/>
      <c r="AT66" s="422"/>
      <c r="AU66" s="178">
        <f>AP66*1.09</f>
        <v>544.05344400000001</v>
      </c>
      <c r="AV66" s="422"/>
      <c r="AW66" s="422"/>
      <c r="AX66" s="422"/>
      <c r="AY66" s="422"/>
      <c r="AZ66" s="178">
        <f>AU66*1.05</f>
        <v>571.25611620000006</v>
      </c>
      <c r="BA66" s="422"/>
      <c r="BB66" s="422"/>
      <c r="BC66" s="422"/>
      <c r="BD66" s="422"/>
      <c r="BE66" s="178">
        <f>AZ66*1.05</f>
        <v>599.81892201000005</v>
      </c>
      <c r="BF66" s="422"/>
      <c r="BG66" s="422"/>
      <c r="BH66" s="422"/>
      <c r="BI66" s="422"/>
      <c r="BJ66" s="178">
        <f>BE66*1.025</f>
        <v>614.81439506025004</v>
      </c>
      <c r="BK66" s="422"/>
      <c r="BL66" s="422"/>
      <c r="BM66" s="422"/>
      <c r="BN66" s="422"/>
      <c r="BO66" s="178">
        <f>BJ66*1.025</f>
        <v>630.18475493675624</v>
      </c>
      <c r="BP66" s="422"/>
      <c r="BQ66" s="422"/>
      <c r="BR66" s="422"/>
      <c r="BS66" s="422"/>
      <c r="BT66" s="178">
        <f>BO66*1.025</f>
        <v>645.93937381017508</v>
      </c>
      <c r="BU66" s="422"/>
      <c r="BV66" s="422"/>
      <c r="BW66" s="422"/>
      <c r="BX66" s="422"/>
      <c r="BY66" s="178">
        <f>BT66*1.025</f>
        <v>662.08785815542944</v>
      </c>
      <c r="BZ66" s="422"/>
      <c r="CA66" s="422"/>
      <c r="CB66" s="422"/>
      <c r="CC66" s="422"/>
      <c r="CD66" s="178">
        <f>BY66*1.025</f>
        <v>678.64005460931514</v>
      </c>
      <c r="CE66" s="422"/>
      <c r="CF66" s="422"/>
      <c r="CG66" s="422"/>
      <c r="CH66" s="422"/>
      <c r="CI66" s="178">
        <f>CD66*1.025</f>
        <v>695.60605597454798</v>
      </c>
      <c r="CJ66" s="422"/>
      <c r="CK66" s="422"/>
      <c r="CL66" s="422"/>
      <c r="CM66" s="422"/>
      <c r="CN66" s="178">
        <f>CI66*1.025</f>
        <v>712.9962073739116</v>
      </c>
      <c r="CO66" s="422"/>
      <c r="CP66" s="422"/>
      <c r="CQ66" s="422"/>
      <c r="CR66" s="422"/>
      <c r="CS66" s="178">
        <f>CN66*1.025</f>
        <v>730.8211125582593</v>
      </c>
      <c r="CT66" s="422"/>
      <c r="CU66" s="422"/>
      <c r="CV66" s="422"/>
      <c r="CW66" s="422"/>
      <c r="CX66" s="178">
        <f>CS66*1.025</f>
        <v>749.09164037221569</v>
      </c>
    </row>
    <row r="67" spans="2:110">
      <c r="B67" s="414"/>
      <c r="C67" s="421"/>
      <c r="D67" s="421"/>
      <c r="E67" s="176"/>
      <c r="F67" s="176"/>
      <c r="G67" s="177"/>
      <c r="H67" s="421"/>
      <c r="I67" s="421"/>
      <c r="J67" s="176"/>
      <c r="K67" s="176"/>
      <c r="L67" s="177"/>
      <c r="M67" s="421"/>
      <c r="N67" s="421"/>
      <c r="O67" s="176"/>
      <c r="P67" s="176"/>
      <c r="Q67" s="177"/>
      <c r="R67" s="420"/>
      <c r="S67" s="420"/>
      <c r="T67" s="420"/>
      <c r="U67" s="420"/>
      <c r="V67" s="177"/>
      <c r="W67" s="420"/>
      <c r="X67" s="420"/>
      <c r="Y67" s="422"/>
      <c r="Z67" s="420"/>
      <c r="AA67" s="177"/>
      <c r="AB67" s="420"/>
      <c r="AC67" s="420"/>
      <c r="AD67" s="420"/>
      <c r="AE67" s="422"/>
      <c r="AF67" s="178"/>
      <c r="AG67" s="731"/>
      <c r="AH67" s="731"/>
      <c r="AI67" s="731"/>
      <c r="AJ67" s="731"/>
      <c r="AK67" s="415"/>
      <c r="AL67" s="420"/>
      <c r="AM67" s="420"/>
      <c r="AN67" s="422"/>
      <c r="AO67" s="422"/>
      <c r="AP67" s="739"/>
      <c r="AQ67" s="420"/>
      <c r="AR67" s="420"/>
      <c r="AS67" s="422"/>
      <c r="AT67" s="422"/>
      <c r="AU67" s="178"/>
      <c r="AV67" s="420"/>
      <c r="AW67" s="420"/>
      <c r="AX67" s="422"/>
      <c r="AY67" s="422"/>
      <c r="AZ67" s="178"/>
      <c r="BA67" s="420"/>
      <c r="BB67" s="420"/>
      <c r="BC67" s="422"/>
      <c r="BD67" s="422"/>
      <c r="BE67" s="178"/>
      <c r="BF67" s="420"/>
      <c r="BG67" s="420"/>
      <c r="BH67" s="422"/>
      <c r="BI67" s="422"/>
      <c r="BJ67" s="178"/>
      <c r="BK67" s="420"/>
      <c r="BL67" s="420"/>
      <c r="BM67" s="422"/>
      <c r="BN67" s="422"/>
      <c r="BO67" s="178"/>
      <c r="BP67" s="420"/>
      <c r="BQ67" s="420"/>
      <c r="BR67" s="422"/>
      <c r="BS67" s="422"/>
      <c r="BT67" s="178"/>
      <c r="BU67" s="420"/>
      <c r="BV67" s="420"/>
      <c r="BW67" s="422"/>
      <c r="BX67" s="422"/>
      <c r="BY67" s="178"/>
      <c r="BZ67" s="420"/>
      <c r="CA67" s="420"/>
      <c r="CB67" s="422"/>
      <c r="CC67" s="422"/>
      <c r="CD67" s="178"/>
      <c r="CE67" s="420"/>
      <c r="CF67" s="420"/>
      <c r="CG67" s="422"/>
      <c r="CH67" s="422"/>
      <c r="CI67" s="178"/>
      <c r="CJ67" s="420"/>
      <c r="CK67" s="420"/>
      <c r="CL67" s="422"/>
      <c r="CM67" s="422"/>
      <c r="CN67" s="178"/>
      <c r="CO67" s="420"/>
      <c r="CP67" s="420"/>
      <c r="CQ67" s="422"/>
      <c r="CR67" s="422"/>
      <c r="CS67" s="178"/>
      <c r="CT67" s="420"/>
      <c r="CU67" s="420"/>
      <c r="CV67" s="422"/>
      <c r="CW67" s="422"/>
      <c r="CX67" s="178"/>
    </row>
    <row r="68" spans="2:110" ht="12.75" customHeight="1">
      <c r="B68" s="414" t="s">
        <v>105</v>
      </c>
      <c r="C68" s="421">
        <f>0.312-C119</f>
        <v>0.81200000000000006</v>
      </c>
      <c r="D68" s="421">
        <f>-3.324-D119</f>
        <v>0.7759999999999998</v>
      </c>
      <c r="E68" s="421">
        <f>3.04-E119</f>
        <v>0.83999999999999986</v>
      </c>
      <c r="F68" s="421">
        <f>1.4-F119</f>
        <v>0.79999999999999993</v>
      </c>
      <c r="G68" s="414">
        <f>SUM(C68:F68)</f>
        <v>3.2279999999999998</v>
      </c>
      <c r="H68" s="421">
        <f>2.328-H119</f>
        <v>7.5280000000000005</v>
      </c>
      <c r="I68" s="421">
        <f>2.048-I119</f>
        <v>0.84800000000000009</v>
      </c>
      <c r="J68" s="421">
        <f>1.443-J119</f>
        <v>0.84300000000000008</v>
      </c>
      <c r="K68" s="421">
        <f>12.898-K119</f>
        <v>0.79800000000000004</v>
      </c>
      <c r="L68" s="414">
        <f>SUM(H68:K68)</f>
        <v>10.017000000000001</v>
      </c>
      <c r="M68" s="421">
        <f>5.556-4.8</f>
        <v>0.75600000000000023</v>
      </c>
      <c r="N68" s="421">
        <f>-2.022+3.8</f>
        <v>1.778</v>
      </c>
      <c r="O68" s="421">
        <f>9.639-8.8</f>
        <v>0.83899999999999864</v>
      </c>
      <c r="P68" s="421">
        <f>5.441-4.6</f>
        <v>0.84100000000000019</v>
      </c>
      <c r="Q68" s="414">
        <f>SUM(M68:P68)</f>
        <v>4.2139999999999986</v>
      </c>
      <c r="R68" s="412">
        <f>(8.957-8.1)</f>
        <v>0.85700000000000109</v>
      </c>
      <c r="S68" s="412">
        <f>3.668-3.668</f>
        <v>0</v>
      </c>
      <c r="T68" s="412">
        <f>2.636-67.5-2.636+67.5</f>
        <v>0</v>
      </c>
      <c r="U68" s="412">
        <f>3.072-3.072</f>
        <v>0</v>
      </c>
      <c r="V68" s="414">
        <f>SUM(R68:U68)</f>
        <v>0.85700000000000109</v>
      </c>
      <c r="W68" s="420">
        <f>2.9-2.6-0.3</f>
        <v>0</v>
      </c>
      <c r="X68" s="420">
        <f>16.945-2.6-14.3</f>
        <v>4.4999999999999929E-2</v>
      </c>
      <c r="Y68" s="420">
        <f>3.116-2.6-0.5</f>
        <v>1.6000000000000014E-2</v>
      </c>
      <c r="Z68" s="420">
        <f>-40.654+198.7-369.498+40.654-198.7+369.498</f>
        <v>0</v>
      </c>
      <c r="AA68" s="414">
        <f>SUM(W68:Z68)</f>
        <v>6.0999999999999943E-2</v>
      </c>
      <c r="AB68" s="420">
        <f>10.442-7.5-2.9</f>
        <v>4.2000000000000259E-2</v>
      </c>
      <c r="AC68" s="420">
        <v>0</v>
      </c>
      <c r="AD68" s="420">
        <v>0</v>
      </c>
      <c r="AE68" s="170">
        <v>0</v>
      </c>
      <c r="AF68" s="415">
        <f>AE68+AD68+AC68+AB68</f>
        <v>4.2000000000000259E-2</v>
      </c>
      <c r="AG68" s="170">
        <v>0</v>
      </c>
      <c r="AH68" s="170">
        <v>0</v>
      </c>
      <c r="AI68" s="170">
        <v>0</v>
      </c>
      <c r="AJ68" s="170">
        <v>0</v>
      </c>
      <c r="AK68" s="415">
        <f>AJ68+AI68+AH68+AG68</f>
        <v>0</v>
      </c>
      <c r="AL68" s="170">
        <v>0</v>
      </c>
      <c r="AM68" s="170">
        <v>0</v>
      </c>
      <c r="AN68" s="170">
        <v>0</v>
      </c>
      <c r="AO68" s="170">
        <v>0</v>
      </c>
      <c r="AP68" s="415">
        <v>0</v>
      </c>
      <c r="AQ68" s="170"/>
      <c r="AR68" s="170"/>
      <c r="AS68" s="170"/>
      <c r="AT68" s="170"/>
      <c r="AU68" s="415">
        <v>0</v>
      </c>
      <c r="AV68" s="170"/>
      <c r="AW68" s="170"/>
      <c r="AX68" s="170"/>
      <c r="AY68" s="170"/>
      <c r="AZ68" s="415">
        <v>0</v>
      </c>
      <c r="BA68" s="170"/>
      <c r="BB68" s="170"/>
      <c r="BC68" s="170"/>
      <c r="BD68" s="170"/>
      <c r="BE68" s="415">
        <v>0</v>
      </c>
      <c r="BF68" s="170"/>
      <c r="BG68" s="170"/>
      <c r="BH68" s="170"/>
      <c r="BI68" s="170"/>
      <c r="BJ68" s="415">
        <v>0</v>
      </c>
      <c r="BK68" s="170"/>
      <c r="BL68" s="170"/>
      <c r="BM68" s="170"/>
      <c r="BN68" s="170"/>
      <c r="BO68" s="415">
        <v>0</v>
      </c>
      <c r="BP68" s="170"/>
      <c r="BQ68" s="170"/>
      <c r="BR68" s="170"/>
      <c r="BS68" s="170"/>
      <c r="BT68" s="415">
        <v>0</v>
      </c>
      <c r="BU68" s="170"/>
      <c r="BV68" s="170"/>
      <c r="BW68" s="170"/>
      <c r="BX68" s="170"/>
      <c r="BY68" s="415">
        <v>0</v>
      </c>
      <c r="BZ68" s="170"/>
      <c r="CA68" s="170"/>
      <c r="CB68" s="170"/>
      <c r="CC68" s="170"/>
      <c r="CD68" s="415">
        <v>0</v>
      </c>
      <c r="CE68" s="170"/>
      <c r="CF68" s="170"/>
      <c r="CG68" s="170"/>
      <c r="CH68" s="170"/>
      <c r="CI68" s="415">
        <v>0</v>
      </c>
      <c r="CJ68" s="170"/>
      <c r="CK68" s="170"/>
      <c r="CL68" s="170"/>
      <c r="CM68" s="170"/>
      <c r="CN68" s="415">
        <v>0</v>
      </c>
      <c r="CO68" s="170"/>
      <c r="CP68" s="170"/>
      <c r="CQ68" s="170"/>
      <c r="CR68" s="170"/>
      <c r="CS68" s="415">
        <v>0</v>
      </c>
      <c r="CT68" s="170"/>
      <c r="CU68" s="170"/>
      <c r="CV68" s="170"/>
      <c r="CW68" s="170"/>
      <c r="CX68" s="415">
        <v>0</v>
      </c>
    </row>
    <row r="69" spans="2:110" s="172" customFormat="1">
      <c r="B69" s="173" t="s">
        <v>37</v>
      </c>
      <c r="C69" s="417">
        <f t="shared" ref="C69:AO69" si="64">C29-C53-C66-C68</f>
        <v>17.77399999999998</v>
      </c>
      <c r="D69" s="417">
        <f t="shared" si="64"/>
        <v>14.57500000000001</v>
      </c>
      <c r="E69" s="417">
        <f t="shared" si="64"/>
        <v>5.3010000000000055</v>
      </c>
      <c r="F69" s="417">
        <f t="shared" si="64"/>
        <v>-2.4230000000000116</v>
      </c>
      <c r="G69" s="174">
        <f t="shared" si="64"/>
        <v>35.227000000000068</v>
      </c>
      <c r="H69" s="417">
        <f t="shared" si="64"/>
        <v>0.66799999999999393</v>
      </c>
      <c r="I69" s="417">
        <f t="shared" si="64"/>
        <v>-7.2169999999999854</v>
      </c>
      <c r="J69" s="417">
        <f t="shared" si="64"/>
        <v>11.347999999999985</v>
      </c>
      <c r="K69" s="417">
        <f t="shared" si="64"/>
        <v>-13.538999999999993</v>
      </c>
      <c r="L69" s="174">
        <f t="shared" si="64"/>
        <v>-8.739999999999986</v>
      </c>
      <c r="M69" s="417">
        <f t="shared" si="64"/>
        <v>-7.8559999999999945</v>
      </c>
      <c r="N69" s="417">
        <f t="shared" si="64"/>
        <v>0.2770000000000068</v>
      </c>
      <c r="O69" s="417">
        <f t="shared" si="64"/>
        <v>-16.818999999999996</v>
      </c>
      <c r="P69" s="417">
        <f t="shared" si="64"/>
        <v>-15.987999999999978</v>
      </c>
      <c r="Q69" s="174">
        <f t="shared" si="64"/>
        <v>-40.385999999999967</v>
      </c>
      <c r="R69" s="417">
        <f t="shared" si="64"/>
        <v>-1.5519999999999943</v>
      </c>
      <c r="S69" s="417">
        <f t="shared" si="64"/>
        <v>11.83600000000002</v>
      </c>
      <c r="T69" s="417">
        <f t="shared" si="64"/>
        <v>-23.157000000000011</v>
      </c>
      <c r="U69" s="417">
        <f t="shared" si="64"/>
        <v>-11.383999999999986</v>
      </c>
      <c r="V69" s="174">
        <f t="shared" si="64"/>
        <v>-24.256999999999977</v>
      </c>
      <c r="W69" s="417">
        <f t="shared" si="64"/>
        <v>-32.377999999999957</v>
      </c>
      <c r="X69" s="417">
        <f t="shared" si="64"/>
        <v>0.63599999999999746</v>
      </c>
      <c r="Y69" s="417">
        <f t="shared" si="64"/>
        <v>-31.158000000000051</v>
      </c>
      <c r="Z69" s="417">
        <f t="shared" si="64"/>
        <v>-62.608000000000004</v>
      </c>
      <c r="AA69" s="174">
        <f t="shared" si="64"/>
        <v>-125.5079999999999</v>
      </c>
      <c r="AB69" s="417">
        <f t="shared" si="64"/>
        <v>-27.247000000000043</v>
      </c>
      <c r="AC69" s="725">
        <f t="shared" si="64"/>
        <v>29.212000000000018</v>
      </c>
      <c r="AD69" s="417">
        <f t="shared" si="64"/>
        <v>25.260000000000019</v>
      </c>
      <c r="AE69" s="417">
        <f t="shared" si="64"/>
        <v>-31.256000000000029</v>
      </c>
      <c r="AF69" s="174">
        <f t="shared" si="64"/>
        <v>-4.0309999999999189</v>
      </c>
      <c r="AG69" s="417">
        <f>AG29-AG53-AG66-AG68</f>
        <v>31.717000000000013</v>
      </c>
      <c r="AH69" s="417">
        <f t="shared" si="64"/>
        <v>26.299000000000007</v>
      </c>
      <c r="AI69" s="417">
        <f t="shared" si="64"/>
        <v>7.7849999999999824</v>
      </c>
      <c r="AJ69" s="417">
        <f t="shared" si="64"/>
        <v>1.7970000000000539</v>
      </c>
      <c r="AK69" s="174">
        <f>AK29-AK53-AK66-AK68</f>
        <v>67.571999999999889</v>
      </c>
      <c r="AL69" s="417">
        <f t="shared" si="64"/>
        <v>27.670828301871438</v>
      </c>
      <c r="AM69" s="417">
        <f t="shared" si="64"/>
        <v>33.023565255324584</v>
      </c>
      <c r="AN69" s="417">
        <f t="shared" si="64"/>
        <v>7.1722950436860344</v>
      </c>
      <c r="AO69" s="417">
        <f t="shared" si="64"/>
        <v>33.454689549444709</v>
      </c>
      <c r="AP69" s="174">
        <f>AP29-AP53-AP66-AP68</f>
        <v>101.32137815032689</v>
      </c>
      <c r="AQ69" s="417"/>
      <c r="AR69" s="417"/>
      <c r="AS69" s="417"/>
      <c r="AT69" s="417"/>
      <c r="AU69" s="174">
        <f>AU29-AU53-AU66-AU68</f>
        <v>169.08890989014606</v>
      </c>
      <c r="AV69" s="417"/>
      <c r="AW69" s="417"/>
      <c r="AX69" s="417"/>
      <c r="AY69" s="417"/>
      <c r="AZ69" s="174">
        <f>AZ29-AZ53-AZ66-AZ68</f>
        <v>376.49283515360935</v>
      </c>
      <c r="BA69" s="417"/>
      <c r="BB69" s="417"/>
      <c r="BC69" s="417"/>
      <c r="BD69" s="417"/>
      <c r="BE69" s="174">
        <f>BE29-BE53-BE66-BE68</f>
        <v>636.44161164300635</v>
      </c>
      <c r="BF69" s="417"/>
      <c r="BG69" s="417"/>
      <c r="BH69" s="417"/>
      <c r="BI69" s="417"/>
      <c r="BJ69" s="174">
        <f>BJ29-BJ53-BJ66-BJ68</f>
        <v>920.16611058420926</v>
      </c>
      <c r="BK69" s="417"/>
      <c r="BL69" s="417"/>
      <c r="BM69" s="417"/>
      <c r="BN69" s="417"/>
      <c r="BO69" s="174">
        <f>BO29-BO53-BO66-BO68</f>
        <v>1230.4180383241865</v>
      </c>
      <c r="BP69" s="417"/>
      <c r="BQ69" s="417"/>
      <c r="BR69" s="417"/>
      <c r="BS69" s="417"/>
      <c r="BT69" s="174">
        <f>BT29-BT53-BT66-BT68</f>
        <v>1606.1611559537289</v>
      </c>
      <c r="BU69" s="417"/>
      <c r="BV69" s="417"/>
      <c r="BW69" s="417"/>
      <c r="BX69" s="417"/>
      <c r="BY69" s="174">
        <f>BY29-BY53-BY66-BY68</f>
        <v>2006.1383838060005</v>
      </c>
      <c r="BZ69" s="417"/>
      <c r="CA69" s="417"/>
      <c r="CB69" s="417"/>
      <c r="CC69" s="417"/>
      <c r="CD69" s="174">
        <f>CD29-CD53-CD66-CD68</f>
        <v>2360.7351942883142</v>
      </c>
      <c r="CE69" s="417"/>
      <c r="CF69" s="417"/>
      <c r="CG69" s="417"/>
      <c r="CH69" s="417"/>
      <c r="CI69" s="174">
        <f>CI29-CI53-CI66-CI68</f>
        <v>2661.5551557124463</v>
      </c>
      <c r="CJ69" s="417"/>
      <c r="CK69" s="417"/>
      <c r="CL69" s="417"/>
      <c r="CM69" s="417"/>
      <c r="CN69" s="174">
        <f>CN29-CN53-CN66-CN68</f>
        <v>2869.6116178577749</v>
      </c>
      <c r="CO69" s="417"/>
      <c r="CP69" s="417"/>
      <c r="CQ69" s="417"/>
      <c r="CR69" s="417"/>
      <c r="CS69" s="174">
        <f>CS29-CS53-CS66-CS68</f>
        <v>3098.1760838097202</v>
      </c>
      <c r="CT69" s="417"/>
      <c r="CU69" s="417"/>
      <c r="CV69" s="417"/>
      <c r="CW69" s="417"/>
      <c r="CX69" s="174">
        <f>CX29-CX53-CX66-CX68</f>
        <v>3320.3843669526459</v>
      </c>
      <c r="DA69"/>
      <c r="DB69"/>
      <c r="DC69"/>
      <c r="DD69"/>
      <c r="DE69"/>
      <c r="DF69"/>
    </row>
    <row r="70" spans="2:110">
      <c r="B70" s="414"/>
      <c r="C70" s="421"/>
      <c r="D70" s="421"/>
      <c r="E70" s="421"/>
      <c r="F70" s="421"/>
      <c r="G70" s="414"/>
      <c r="H70" s="421"/>
      <c r="I70" s="421"/>
      <c r="J70" s="421"/>
      <c r="K70" s="421"/>
      <c r="L70" s="414"/>
      <c r="M70" s="421"/>
      <c r="N70" s="421"/>
      <c r="O70" s="421"/>
      <c r="P70" s="421"/>
      <c r="Q70" s="414"/>
      <c r="R70" s="421"/>
      <c r="S70" s="421"/>
      <c r="T70" s="421"/>
      <c r="U70" s="421"/>
      <c r="V70" s="414"/>
      <c r="W70" s="420"/>
      <c r="X70" s="420"/>
      <c r="Y70" s="420"/>
      <c r="Z70" s="420"/>
      <c r="AA70" s="414"/>
      <c r="AB70" s="420"/>
      <c r="AC70" s="420"/>
      <c r="AD70" s="420"/>
      <c r="AE70" s="420"/>
      <c r="AF70" s="415"/>
      <c r="AG70" s="420"/>
      <c r="AH70" s="420"/>
      <c r="AI70" s="420"/>
      <c r="AJ70" s="420"/>
      <c r="AK70" s="415"/>
      <c r="AL70" s="420"/>
      <c r="AM70" s="420"/>
      <c r="AN70" s="420"/>
      <c r="AO70" s="420"/>
      <c r="AP70" s="415"/>
      <c r="AQ70" s="420"/>
      <c r="AR70" s="420"/>
      <c r="AS70" s="420"/>
      <c r="AT70" s="420"/>
      <c r="AU70" s="415"/>
      <c r="AV70" s="420"/>
      <c r="AW70" s="420"/>
      <c r="AX70" s="420"/>
      <c r="AY70" s="420"/>
      <c r="AZ70" s="415"/>
      <c r="BA70" s="420"/>
      <c r="BB70" s="420"/>
      <c r="BC70" s="420"/>
      <c r="BD70" s="420"/>
      <c r="BE70" s="415"/>
      <c r="BF70" s="420"/>
      <c r="BG70" s="420"/>
      <c r="BH70" s="420"/>
      <c r="BI70" s="420"/>
      <c r="BJ70" s="415"/>
      <c r="BK70" s="420"/>
      <c r="BL70" s="420"/>
      <c r="BM70" s="420"/>
      <c r="BN70" s="420"/>
      <c r="BO70" s="415"/>
      <c r="BP70" s="420"/>
      <c r="BQ70" s="420"/>
      <c r="BR70" s="420"/>
      <c r="BS70" s="420"/>
      <c r="BT70" s="415"/>
      <c r="BU70" s="420"/>
      <c r="BV70" s="420"/>
      <c r="BW70" s="420"/>
      <c r="BX70" s="420"/>
      <c r="BY70" s="415"/>
      <c r="BZ70" s="420"/>
      <c r="CA70" s="420"/>
      <c r="CB70" s="420"/>
      <c r="CC70" s="420"/>
      <c r="CD70" s="415"/>
      <c r="CE70" s="420"/>
      <c r="CF70" s="420"/>
      <c r="CG70" s="420"/>
      <c r="CH70" s="420"/>
      <c r="CI70" s="415"/>
      <c r="CJ70" s="420"/>
      <c r="CK70" s="420"/>
      <c r="CL70" s="420"/>
      <c r="CM70" s="420"/>
      <c r="CN70" s="415"/>
      <c r="CO70" s="420"/>
      <c r="CP70" s="420"/>
      <c r="CQ70" s="420"/>
      <c r="CR70" s="420"/>
      <c r="CS70" s="415"/>
      <c r="CT70" s="420"/>
      <c r="CU70" s="420"/>
      <c r="CV70" s="420"/>
      <c r="CW70" s="420"/>
      <c r="CX70" s="415"/>
    </row>
    <row r="71" spans="2:110">
      <c r="B71" s="414" t="s">
        <v>381</v>
      </c>
      <c r="C71" s="421">
        <v>-0.54200000000000004</v>
      </c>
      <c r="D71" s="421">
        <v>-0.66700000000000004</v>
      </c>
      <c r="E71" s="421">
        <v>-0.60799999999999998</v>
      </c>
      <c r="F71" s="421">
        <v>-0.60899999999999999</v>
      </c>
      <c r="G71" s="414">
        <f>SUM(C71:F71)</f>
        <v>-2.4260000000000002</v>
      </c>
      <c r="H71" s="421">
        <v>-0.73399999999999999</v>
      </c>
      <c r="I71" s="421">
        <v>0.10199999999999999</v>
      </c>
      <c r="J71" s="421">
        <v>-0.33600000000000002</v>
      </c>
      <c r="K71" s="421">
        <v>-0.253</v>
      </c>
      <c r="L71" s="414">
        <f>SUM(H71:K71)</f>
        <v>-1.2210000000000001</v>
      </c>
      <c r="M71" s="421">
        <v>-0.40100000000000002</v>
      </c>
      <c r="N71" s="421">
        <v>-0.16300000000000001</v>
      </c>
      <c r="O71" s="421">
        <v>-0.14699999999999999</v>
      </c>
      <c r="P71" s="421">
        <v>-0.438</v>
      </c>
      <c r="Q71" s="414">
        <f>SUM(M71:P71)</f>
        <v>-1.149</v>
      </c>
      <c r="R71" s="421">
        <v>-0.33800000000000002</v>
      </c>
      <c r="S71" s="421">
        <v>-0.53900000000000003</v>
      </c>
      <c r="T71" s="421">
        <v>-0.22500000000000001</v>
      </c>
      <c r="U71" s="421">
        <v>0.22500000000000001</v>
      </c>
      <c r="V71" s="414">
        <f>SUM(R71:U71)</f>
        <v>-0.87700000000000011</v>
      </c>
      <c r="W71" s="420">
        <v>-0.2</v>
      </c>
      <c r="X71" s="420">
        <v>-0.20300000000000001</v>
      </c>
      <c r="Y71" s="420">
        <v>-0.186</v>
      </c>
      <c r="Z71" s="420">
        <v>-0.27800000000000002</v>
      </c>
      <c r="AA71" s="414">
        <f>SUM(W71:Z71)</f>
        <v>-0.86699999999999999</v>
      </c>
      <c r="AB71" s="420">
        <v>-0.13500000000000001</v>
      </c>
      <c r="AC71" s="420">
        <v>-0.13500000000000001</v>
      </c>
      <c r="AD71" s="420">
        <v>-0.104</v>
      </c>
      <c r="AE71" s="170">
        <v>-0.16400000000000001</v>
      </c>
      <c r="AF71" s="415">
        <f>AE71+AD71+AC71+AB71</f>
        <v>-0.53800000000000003</v>
      </c>
      <c r="AG71" s="170">
        <v>-0.52300000000000002</v>
      </c>
      <c r="AH71" s="170">
        <v>-0.22</v>
      </c>
      <c r="AI71" s="170">
        <v>-0.253</v>
      </c>
      <c r="AJ71" s="170">
        <v>-0.29499999999999998</v>
      </c>
      <c r="AK71" s="415">
        <f>AJ71+AI71+AH71+AG71</f>
        <v>-1.2909999999999999</v>
      </c>
      <c r="AL71" s="170">
        <f>AP71/4</f>
        <v>-0.32274999999999998</v>
      </c>
      <c r="AM71" s="170">
        <f>AP71/4</f>
        <v>-0.32274999999999998</v>
      </c>
      <c r="AN71" s="170">
        <f>AP71/4</f>
        <v>-0.32274999999999998</v>
      </c>
      <c r="AO71" s="170">
        <f>AP71-SUM(AL71:AN71)</f>
        <v>-0.32274999999999998</v>
      </c>
      <c r="AP71" s="415">
        <f>AK71</f>
        <v>-1.2909999999999999</v>
      </c>
      <c r="AQ71" s="170"/>
      <c r="AR71" s="170"/>
      <c r="AS71" s="170"/>
      <c r="AT71" s="170"/>
      <c r="AU71" s="415">
        <f>AP71</f>
        <v>-1.2909999999999999</v>
      </c>
      <c r="AV71" s="170"/>
      <c r="AW71" s="170"/>
      <c r="AX71" s="170"/>
      <c r="AY71" s="170"/>
      <c r="AZ71" s="415">
        <f>AU71</f>
        <v>-1.2909999999999999</v>
      </c>
      <c r="BA71" s="170"/>
      <c r="BB71" s="170"/>
      <c r="BC71" s="170"/>
      <c r="BD71" s="170"/>
      <c r="BE71" s="415">
        <f>AZ71</f>
        <v>-1.2909999999999999</v>
      </c>
      <c r="BF71" s="170"/>
      <c r="BG71" s="170"/>
      <c r="BH71" s="170"/>
      <c r="BI71" s="170"/>
      <c r="BJ71" s="415">
        <f>BE71</f>
        <v>-1.2909999999999999</v>
      </c>
      <c r="BK71" s="170"/>
      <c r="BL71" s="170"/>
      <c r="BM71" s="170"/>
      <c r="BN71" s="170"/>
      <c r="BO71" s="415">
        <f>BJ71</f>
        <v>-1.2909999999999999</v>
      </c>
      <c r="BP71" s="170"/>
      <c r="BQ71" s="170"/>
      <c r="BR71" s="170"/>
      <c r="BS71" s="170"/>
      <c r="BT71" s="415">
        <f>BO71</f>
        <v>-1.2909999999999999</v>
      </c>
      <c r="BU71" s="170"/>
      <c r="BV71" s="170"/>
      <c r="BW71" s="170"/>
      <c r="BX71" s="170"/>
      <c r="BY71" s="415">
        <f>BT71</f>
        <v>-1.2909999999999999</v>
      </c>
      <c r="BZ71" s="170"/>
      <c r="CA71" s="170"/>
      <c r="CB71" s="170"/>
      <c r="CC71" s="170"/>
      <c r="CD71" s="415">
        <f>BY71</f>
        <v>-1.2909999999999999</v>
      </c>
      <c r="CE71" s="170"/>
      <c r="CF71" s="170"/>
      <c r="CG71" s="170"/>
      <c r="CH71" s="170"/>
      <c r="CI71" s="415">
        <f>CD71</f>
        <v>-1.2909999999999999</v>
      </c>
      <c r="CJ71" s="170"/>
      <c r="CK71" s="170"/>
      <c r="CL71" s="170"/>
      <c r="CM71" s="170"/>
      <c r="CN71" s="415">
        <f>CI71</f>
        <v>-1.2909999999999999</v>
      </c>
      <c r="CO71" s="170"/>
      <c r="CP71" s="170"/>
      <c r="CQ71" s="170"/>
      <c r="CR71" s="170"/>
      <c r="CS71" s="415">
        <f>CN71</f>
        <v>-1.2909999999999999</v>
      </c>
      <c r="CT71" s="170"/>
      <c r="CU71" s="170"/>
      <c r="CV71" s="170"/>
      <c r="CW71" s="170"/>
      <c r="CX71" s="415">
        <f>CS71</f>
        <v>-1.2909999999999999</v>
      </c>
    </row>
    <row r="72" spans="2:110" hidden="1" outlineLevel="1">
      <c r="B72" s="433" t="s">
        <v>382</v>
      </c>
      <c r="C72" s="421">
        <v>0</v>
      </c>
      <c r="D72" s="421">
        <v>0</v>
      </c>
      <c r="E72" s="421">
        <f>-1.896+E122</f>
        <v>0</v>
      </c>
      <c r="F72" s="421">
        <v>0</v>
      </c>
      <c r="G72" s="414">
        <f t="shared" ref="G72" si="65">SUM(C72:F72)</f>
        <v>0</v>
      </c>
      <c r="H72" s="421">
        <v>0</v>
      </c>
      <c r="I72" s="421">
        <v>0</v>
      </c>
      <c r="J72" s="421">
        <v>0</v>
      </c>
      <c r="K72" s="421">
        <v>0</v>
      </c>
      <c r="L72" s="414">
        <f t="shared" ref="L72" si="66">SUM(H72:K72)</f>
        <v>0</v>
      </c>
      <c r="M72" s="421">
        <f>-10.42+10.42</f>
        <v>0</v>
      </c>
      <c r="N72" s="421">
        <v>0</v>
      </c>
      <c r="O72" s="421">
        <f>-1.732+1.732</f>
        <v>0</v>
      </c>
      <c r="P72" s="421">
        <f>-0.813+0.813</f>
        <v>0</v>
      </c>
      <c r="Q72" s="414">
        <f t="shared" ref="Q72" si="67">SUM(M72:P72)</f>
        <v>0</v>
      </c>
      <c r="R72" s="421">
        <v>0</v>
      </c>
      <c r="S72" s="421">
        <v>-0.67400000000000004</v>
      </c>
      <c r="T72" s="421">
        <v>0</v>
      </c>
      <c r="U72" s="421">
        <v>0</v>
      </c>
      <c r="V72" s="414">
        <f t="shared" ref="V72" si="68">SUM(R72:U72)</f>
        <v>-0.67400000000000004</v>
      </c>
      <c r="W72" s="420">
        <v>-0.2</v>
      </c>
      <c r="X72" s="420">
        <v>0</v>
      </c>
      <c r="Y72" s="420">
        <v>0</v>
      </c>
      <c r="Z72" s="420">
        <v>0</v>
      </c>
      <c r="AA72" s="414">
        <f t="shared" ref="AA72" si="69">SUM(W72:Z72)</f>
        <v>-0.2</v>
      </c>
      <c r="AB72" s="420">
        <v>0</v>
      </c>
      <c r="AC72" s="420">
        <v>0</v>
      </c>
      <c r="AD72" s="420">
        <v>0</v>
      </c>
      <c r="AE72" s="170">
        <v>0</v>
      </c>
      <c r="AF72" s="415">
        <f>AE72+AD72+AC72+AB72</f>
        <v>0</v>
      </c>
      <c r="AG72" s="170">
        <v>0</v>
      </c>
      <c r="AH72" s="170">
        <v>0</v>
      </c>
      <c r="AI72" s="170">
        <v>0</v>
      </c>
      <c r="AJ72" s="170">
        <v>0</v>
      </c>
      <c r="AK72" s="415">
        <f>AJ72+AI72+AH72+AG72</f>
        <v>0</v>
      </c>
      <c r="AL72" s="170">
        <v>0</v>
      </c>
      <c r="AM72" s="170">
        <v>0</v>
      </c>
      <c r="AN72" s="170">
        <v>0</v>
      </c>
      <c r="AO72" s="170">
        <v>0</v>
      </c>
      <c r="AP72" s="415">
        <v>0</v>
      </c>
      <c r="AQ72" s="170"/>
      <c r="AR72" s="170"/>
      <c r="AS72" s="170"/>
      <c r="AT72" s="170"/>
      <c r="AU72" s="415">
        <v>0</v>
      </c>
      <c r="AV72" s="170"/>
      <c r="AW72" s="170"/>
      <c r="AX72" s="170"/>
      <c r="AY72" s="170"/>
      <c r="AZ72" s="415">
        <v>0</v>
      </c>
      <c r="BA72" s="170"/>
      <c r="BB72" s="170"/>
      <c r="BC72" s="170"/>
      <c r="BD72" s="170"/>
      <c r="BE72" s="415">
        <v>0</v>
      </c>
      <c r="BF72" s="170"/>
      <c r="BG72" s="170"/>
      <c r="BH72" s="170"/>
      <c r="BI72" s="170"/>
      <c r="BJ72" s="415">
        <v>0</v>
      </c>
      <c r="BK72" s="170"/>
      <c r="BL72" s="170"/>
      <c r="BM72" s="170"/>
      <c r="BN72" s="170"/>
      <c r="BO72" s="415">
        <v>0</v>
      </c>
      <c r="BP72" s="170"/>
      <c r="BQ72" s="170"/>
      <c r="BR72" s="170"/>
      <c r="BS72" s="170"/>
      <c r="BT72" s="415">
        <v>0</v>
      </c>
      <c r="BU72" s="170"/>
      <c r="BV72" s="170"/>
      <c r="BW72" s="170"/>
      <c r="BX72" s="170"/>
      <c r="BY72" s="415">
        <v>0</v>
      </c>
      <c r="BZ72" s="170"/>
      <c r="CA72" s="170"/>
      <c r="CB72" s="170"/>
      <c r="CC72" s="170"/>
      <c r="CD72" s="415">
        <v>0</v>
      </c>
      <c r="CE72" s="170"/>
      <c r="CF72" s="170"/>
      <c r="CG72" s="170"/>
      <c r="CH72" s="170"/>
      <c r="CI72" s="415">
        <v>0</v>
      </c>
      <c r="CJ72" s="170"/>
      <c r="CK72" s="170"/>
      <c r="CL72" s="170"/>
      <c r="CM72" s="170"/>
      <c r="CN72" s="415">
        <v>0</v>
      </c>
      <c r="CO72" s="170"/>
      <c r="CP72" s="170"/>
      <c r="CQ72" s="170"/>
      <c r="CR72" s="170"/>
      <c r="CS72" s="415">
        <v>0</v>
      </c>
      <c r="CT72" s="170"/>
      <c r="CU72" s="170"/>
      <c r="CV72" s="170"/>
      <c r="CW72" s="170"/>
      <c r="CX72" s="415">
        <v>0</v>
      </c>
    </row>
    <row r="73" spans="2:110" collapsed="1">
      <c r="B73" s="414" t="s">
        <v>383</v>
      </c>
      <c r="C73" s="421">
        <v>0</v>
      </c>
      <c r="D73" s="421">
        <v>0</v>
      </c>
      <c r="E73" s="421">
        <v>-0.26400000000000001</v>
      </c>
      <c r="F73" s="421">
        <v>0.17399999999999999</v>
      </c>
      <c r="G73" s="414">
        <f>SUM(C73:F73)</f>
        <v>-9.0000000000000024E-2</v>
      </c>
      <c r="H73" s="421">
        <v>0</v>
      </c>
      <c r="I73" s="421">
        <v>-0.17599999999999999</v>
      </c>
      <c r="J73" s="421">
        <v>0.125</v>
      </c>
      <c r="K73" s="421">
        <v>-1.772</v>
      </c>
      <c r="L73" s="414">
        <f>SUM(H73:K73)</f>
        <v>-1.823</v>
      </c>
      <c r="M73" s="421">
        <v>0.22800000000000001</v>
      </c>
      <c r="N73" s="421">
        <v>-0.123</v>
      </c>
      <c r="O73" s="421">
        <v>0.23899999999999999</v>
      </c>
      <c r="P73" s="421">
        <v>0.63800000000000001</v>
      </c>
      <c r="Q73" s="414">
        <f>SUM(M73:P73)</f>
        <v>0.98199999999999998</v>
      </c>
      <c r="R73" s="421">
        <v>0.153</v>
      </c>
      <c r="S73" s="421">
        <v>-0.14699999999999999</v>
      </c>
      <c r="T73" s="421">
        <v>-7.3999999999999996E-2</v>
      </c>
      <c r="U73" s="421">
        <v>0.34699999999999998</v>
      </c>
      <c r="V73" s="414">
        <f>SUM(R73:U73)</f>
        <v>0.27899999999999997</v>
      </c>
      <c r="W73" s="420">
        <v>0.4</v>
      </c>
      <c r="X73" s="420">
        <f>-9.073+12.8</f>
        <v>3.7270000000000003</v>
      </c>
      <c r="Y73" s="420">
        <v>-0.28100000000000003</v>
      </c>
      <c r="Z73" s="420">
        <f>-0.194</f>
        <v>-0.19400000000000001</v>
      </c>
      <c r="AA73" s="414">
        <f>SUM(W73:Z73)</f>
        <v>3.6520000000000006</v>
      </c>
      <c r="AB73" s="420">
        <v>0.19800000000000001</v>
      </c>
      <c r="AC73" s="420">
        <v>-1.417</v>
      </c>
      <c r="AD73" s="420">
        <v>1.7230000000000001</v>
      </c>
      <c r="AE73" s="170">
        <v>4.4249999999999998</v>
      </c>
      <c r="AF73" s="415">
        <f>AE73+AD73+AC73+AB73</f>
        <v>4.9290000000000003</v>
      </c>
      <c r="AG73" s="170">
        <f>3.072-10.119+3.472-3.072+10.119</f>
        <v>3.4719999999999995</v>
      </c>
      <c r="AH73" s="170">
        <f>2.983-10.04+0.543+7</f>
        <v>0.48600000000000154</v>
      </c>
      <c r="AI73" s="170">
        <v>0.26700000000000002</v>
      </c>
      <c r="AJ73" s="170">
        <f>4.822-(11.664-6.8)+3.688</f>
        <v>3.6460000000000004</v>
      </c>
      <c r="AK73" s="415">
        <f>AJ73+AI73+AH73+AG73</f>
        <v>7.8710000000000013</v>
      </c>
      <c r="AL73" s="170">
        <v>0</v>
      </c>
      <c r="AM73" s="170">
        <v>0</v>
      </c>
      <c r="AN73" s="170">
        <v>0</v>
      </c>
      <c r="AO73" s="170">
        <v>0</v>
      </c>
      <c r="AP73" s="415">
        <v>0</v>
      </c>
      <c r="AQ73" s="170"/>
      <c r="AR73" s="170"/>
      <c r="AS73" s="170"/>
      <c r="AT73" s="170"/>
      <c r="AU73" s="415">
        <v>0</v>
      </c>
      <c r="AV73" s="170"/>
      <c r="AW73" s="170"/>
      <c r="AX73" s="170"/>
      <c r="AY73" s="170"/>
      <c r="AZ73" s="415">
        <v>0</v>
      </c>
      <c r="BA73" s="170"/>
      <c r="BB73" s="170"/>
      <c r="BC73" s="170"/>
      <c r="BD73" s="170"/>
      <c r="BE73" s="415">
        <v>0</v>
      </c>
      <c r="BF73" s="170"/>
      <c r="BG73" s="170"/>
      <c r="BH73" s="170"/>
      <c r="BI73" s="170"/>
      <c r="BJ73" s="415">
        <v>0</v>
      </c>
      <c r="BK73" s="170"/>
      <c r="BL73" s="170"/>
      <c r="BM73" s="170"/>
      <c r="BN73" s="170"/>
      <c r="BO73" s="415">
        <v>0</v>
      </c>
      <c r="BP73" s="170"/>
      <c r="BQ73" s="170"/>
      <c r="BR73" s="170"/>
      <c r="BS73" s="170"/>
      <c r="BT73" s="415">
        <v>0</v>
      </c>
      <c r="BU73" s="170"/>
      <c r="BV73" s="170"/>
      <c r="BW73" s="170"/>
      <c r="BX73" s="170"/>
      <c r="BY73" s="415">
        <v>0</v>
      </c>
      <c r="BZ73" s="170"/>
      <c r="CA73" s="170"/>
      <c r="CB73" s="170"/>
      <c r="CC73" s="170"/>
      <c r="CD73" s="415">
        <v>0</v>
      </c>
      <c r="CE73" s="170"/>
      <c r="CF73" s="170"/>
      <c r="CG73" s="170"/>
      <c r="CH73" s="170"/>
      <c r="CI73" s="415">
        <v>0</v>
      </c>
      <c r="CJ73" s="170"/>
      <c r="CK73" s="170"/>
      <c r="CL73" s="170"/>
      <c r="CM73" s="170"/>
      <c r="CN73" s="415">
        <v>0</v>
      </c>
      <c r="CO73" s="170"/>
      <c r="CP73" s="170"/>
      <c r="CQ73" s="170"/>
      <c r="CR73" s="170"/>
      <c r="CS73" s="415">
        <v>0</v>
      </c>
      <c r="CT73" s="170"/>
      <c r="CU73" s="170"/>
      <c r="CV73" s="170"/>
      <c r="CW73" s="170"/>
      <c r="CX73" s="415">
        <v>0</v>
      </c>
    </row>
    <row r="74" spans="2:110" s="172" customFormat="1">
      <c r="B74" s="173" t="s">
        <v>38</v>
      </c>
      <c r="C74" s="417">
        <f t="shared" ref="C74:AO74" si="70">C69+C71+C73+C72</f>
        <v>17.231999999999978</v>
      </c>
      <c r="D74" s="417">
        <f t="shared" si="70"/>
        <v>13.90800000000001</v>
      </c>
      <c r="E74" s="417">
        <f t="shared" si="70"/>
        <v>4.4290000000000056</v>
      </c>
      <c r="F74" s="417">
        <f t="shared" si="70"/>
        <v>-2.8580000000000116</v>
      </c>
      <c r="G74" s="174">
        <f t="shared" si="70"/>
        <v>32.711000000000062</v>
      </c>
      <c r="H74" s="417">
        <f t="shared" si="70"/>
        <v>-6.6000000000006054E-2</v>
      </c>
      <c r="I74" s="417">
        <f t="shared" si="70"/>
        <v>-7.2909999999999853</v>
      </c>
      <c r="J74" s="417">
        <f t="shared" si="70"/>
        <v>11.136999999999984</v>
      </c>
      <c r="K74" s="417">
        <f t="shared" si="70"/>
        <v>-15.563999999999993</v>
      </c>
      <c r="L74" s="174">
        <f t="shared" si="70"/>
        <v>-11.783999999999986</v>
      </c>
      <c r="M74" s="417">
        <f t="shared" si="70"/>
        <v>-8.0289999999999946</v>
      </c>
      <c r="N74" s="417">
        <f t="shared" si="70"/>
        <v>-8.9999999999932079E-3</v>
      </c>
      <c r="O74" s="417">
        <f t="shared" si="70"/>
        <v>-16.726999999999993</v>
      </c>
      <c r="P74" s="417">
        <f t="shared" si="70"/>
        <v>-15.787999999999977</v>
      </c>
      <c r="Q74" s="174">
        <f t="shared" si="70"/>
        <v>-40.552999999999969</v>
      </c>
      <c r="R74" s="417">
        <f t="shared" si="70"/>
        <v>-1.7369999999999943</v>
      </c>
      <c r="S74" s="417">
        <f t="shared" si="70"/>
        <v>10.47600000000002</v>
      </c>
      <c r="T74" s="417">
        <f t="shared" si="70"/>
        <v>-23.456000000000014</v>
      </c>
      <c r="U74" s="417">
        <f t="shared" si="70"/>
        <v>-10.811999999999987</v>
      </c>
      <c r="V74" s="174">
        <f t="shared" si="70"/>
        <v>-25.528999999999975</v>
      </c>
      <c r="W74" s="417">
        <f t="shared" si="70"/>
        <v>-32.377999999999965</v>
      </c>
      <c r="X74" s="417">
        <f t="shared" si="70"/>
        <v>4.1599999999999975</v>
      </c>
      <c r="Y74" s="417">
        <f t="shared" si="70"/>
        <v>-31.62500000000005</v>
      </c>
      <c r="Z74" s="417">
        <f t="shared" si="70"/>
        <v>-63.080000000000005</v>
      </c>
      <c r="AA74" s="174">
        <f t="shared" si="70"/>
        <v>-122.9229999999999</v>
      </c>
      <c r="AB74" s="417">
        <f t="shared" si="70"/>
        <v>-27.184000000000044</v>
      </c>
      <c r="AC74" s="417">
        <f t="shared" si="70"/>
        <v>27.660000000000014</v>
      </c>
      <c r="AD74" s="417">
        <f t="shared" si="70"/>
        <v>26.879000000000019</v>
      </c>
      <c r="AE74" s="417">
        <f t="shared" si="70"/>
        <v>-26.995000000000029</v>
      </c>
      <c r="AF74" s="174">
        <f t="shared" si="70"/>
        <v>0.36000000000008114</v>
      </c>
      <c r="AG74" s="417">
        <f t="shared" si="70"/>
        <v>34.666000000000011</v>
      </c>
      <c r="AH74" s="417">
        <f t="shared" si="70"/>
        <v>26.565000000000008</v>
      </c>
      <c r="AI74" s="417">
        <f t="shared" si="70"/>
        <v>7.7989999999999826</v>
      </c>
      <c r="AJ74" s="417">
        <f t="shared" si="70"/>
        <v>5.1480000000000548</v>
      </c>
      <c r="AK74" s="174">
        <f t="shared" ref="AK74" si="71">AK69+AK71+AK73+AK72</f>
        <v>74.151999999999887</v>
      </c>
      <c r="AL74" s="417">
        <f t="shared" si="70"/>
        <v>27.348078301871439</v>
      </c>
      <c r="AM74" s="417">
        <f t="shared" si="70"/>
        <v>32.700815255324585</v>
      </c>
      <c r="AN74" s="417">
        <f t="shared" si="70"/>
        <v>6.8495450436860343</v>
      </c>
      <c r="AO74" s="417">
        <f t="shared" si="70"/>
        <v>33.131939549444709</v>
      </c>
      <c r="AP74" s="174">
        <f t="shared" ref="AP74" si="72">AP69+AP71+AP73+AP72</f>
        <v>100.0303781503269</v>
      </c>
      <c r="AQ74" s="417"/>
      <c r="AR74" s="417"/>
      <c r="AS74" s="417"/>
      <c r="AT74" s="417"/>
      <c r="AU74" s="174">
        <f t="shared" ref="AU74" si="73">AU69+AU71+AU73+AU72</f>
        <v>167.79790989014606</v>
      </c>
      <c r="AV74" s="417"/>
      <c r="AW74" s="417"/>
      <c r="AX74" s="417"/>
      <c r="AY74" s="417"/>
      <c r="AZ74" s="174">
        <f t="shared" ref="AZ74" si="74">AZ69+AZ71+AZ73+AZ72</f>
        <v>375.20183515360935</v>
      </c>
      <c r="BA74" s="417"/>
      <c r="BB74" s="417"/>
      <c r="BC74" s="417"/>
      <c r="BD74" s="417"/>
      <c r="BE74" s="174">
        <f t="shared" ref="BE74" si="75">BE69+BE71+BE73+BE72</f>
        <v>635.1506116430063</v>
      </c>
      <c r="BF74" s="417"/>
      <c r="BG74" s="417"/>
      <c r="BH74" s="417"/>
      <c r="BI74" s="417"/>
      <c r="BJ74" s="174">
        <f t="shared" ref="BJ74" si="76">BJ69+BJ71+BJ73+BJ72</f>
        <v>918.87511058420921</v>
      </c>
      <c r="BK74" s="417"/>
      <c r="BL74" s="417"/>
      <c r="BM74" s="417"/>
      <c r="BN74" s="417"/>
      <c r="BO74" s="174">
        <f t="shared" ref="BO74" si="77">BO69+BO71+BO73+BO72</f>
        <v>1229.1270383241865</v>
      </c>
      <c r="BP74" s="417"/>
      <c r="BQ74" s="417"/>
      <c r="BR74" s="417"/>
      <c r="BS74" s="417"/>
      <c r="BT74" s="174">
        <f t="shared" ref="BT74" si="78">BT69+BT71+BT73+BT72</f>
        <v>1604.870155953729</v>
      </c>
      <c r="BU74" s="417"/>
      <c r="BV74" s="417"/>
      <c r="BW74" s="417"/>
      <c r="BX74" s="417"/>
      <c r="BY74" s="174">
        <f t="shared" ref="BY74" si="79">BY69+BY71+BY73+BY72</f>
        <v>2004.8473838060006</v>
      </c>
      <c r="BZ74" s="417"/>
      <c r="CA74" s="417"/>
      <c r="CB74" s="417"/>
      <c r="CC74" s="417"/>
      <c r="CD74" s="174">
        <f t="shared" ref="CD74" si="80">CD69+CD71+CD73+CD72</f>
        <v>2359.4441942883141</v>
      </c>
      <c r="CE74" s="417"/>
      <c r="CF74" s="417"/>
      <c r="CG74" s="417"/>
      <c r="CH74" s="417"/>
      <c r="CI74" s="174">
        <f t="shared" ref="CI74" si="81">CI69+CI71+CI73+CI72</f>
        <v>2660.2641557124462</v>
      </c>
      <c r="CJ74" s="417"/>
      <c r="CK74" s="417"/>
      <c r="CL74" s="417"/>
      <c r="CM74" s="417"/>
      <c r="CN74" s="174">
        <f t="shared" ref="CN74" si="82">CN69+CN71+CN73+CN72</f>
        <v>2868.3206178577748</v>
      </c>
      <c r="CO74" s="417"/>
      <c r="CP74" s="417"/>
      <c r="CQ74" s="417"/>
      <c r="CR74" s="417"/>
      <c r="CS74" s="174">
        <f t="shared" ref="CS74" si="83">CS69+CS71+CS73+CS72</f>
        <v>3096.8850838097201</v>
      </c>
      <c r="CT74" s="417"/>
      <c r="CU74" s="417"/>
      <c r="CV74" s="417"/>
      <c r="CW74" s="417"/>
      <c r="CX74" s="174">
        <f t="shared" ref="CX74" si="84">CX69+CX71+CX73+CX72</f>
        <v>3319.0933669526457</v>
      </c>
      <c r="DA74"/>
      <c r="DB74"/>
      <c r="DC74"/>
      <c r="DD74"/>
      <c r="DE74"/>
      <c r="DF74"/>
    </row>
    <row r="75" spans="2:110">
      <c r="B75" s="414" t="s">
        <v>39</v>
      </c>
      <c r="C75" s="421">
        <f>4.764-4.764</f>
        <v>0</v>
      </c>
      <c r="D75" s="421">
        <f>3.904-3.904</f>
        <v>0</v>
      </c>
      <c r="E75" s="421">
        <f>-2.078+2.078</f>
        <v>0</v>
      </c>
      <c r="F75" s="421">
        <f>3.619-3.619</f>
        <v>0</v>
      </c>
      <c r="G75" s="414">
        <f t="shared" ref="G75" si="85">SUM(C75:F75)</f>
        <v>0</v>
      </c>
      <c r="H75" s="421">
        <f>-0.034+0.034</f>
        <v>0</v>
      </c>
      <c r="I75" s="421">
        <f>-0.411+0.411</f>
        <v>0</v>
      </c>
      <c r="J75" s="421">
        <f>-6.404+6.404</f>
        <v>0</v>
      </c>
      <c r="K75" s="421">
        <f>2.918-2.918</f>
        <v>0</v>
      </c>
      <c r="L75" s="414">
        <f t="shared" ref="L75" si="86">SUM(H75:K75)</f>
        <v>0</v>
      </c>
      <c r="M75" s="421">
        <f>-4.711+4.711</f>
        <v>0</v>
      </c>
      <c r="N75" s="421">
        <f>1.242-1.242</f>
        <v>0</v>
      </c>
      <c r="O75" s="421">
        <f>0.704-0.704</f>
        <v>0</v>
      </c>
      <c r="P75" s="421">
        <f>2.615-2.615</f>
        <v>0</v>
      </c>
      <c r="Q75" s="414">
        <f t="shared" ref="Q75" si="87">SUM(M75:P75)</f>
        <v>0</v>
      </c>
      <c r="R75" s="421">
        <f>3.491-3.491</f>
        <v>0</v>
      </c>
      <c r="S75" s="421">
        <f>5.774-5.774</f>
        <v>0</v>
      </c>
      <c r="T75" s="421">
        <f>-4.224+4.224</f>
        <v>0</v>
      </c>
      <c r="U75" s="421">
        <f>4.06-4.06</f>
        <v>0</v>
      </c>
      <c r="V75" s="414">
        <f t="shared" ref="V75" si="88">SUM(R75:U75)</f>
        <v>0</v>
      </c>
      <c r="W75" s="420">
        <f>-7.202+7.202</f>
        <v>0</v>
      </c>
      <c r="X75" s="420">
        <f>-0.554+0.554</f>
        <v>0</v>
      </c>
      <c r="Y75" s="420">
        <f>0.483-0.483</f>
        <v>0</v>
      </c>
      <c r="Z75" s="420">
        <f>24.348-24.348</f>
        <v>0</v>
      </c>
      <c r="AA75" s="414">
        <f t="shared" ref="AA75" si="89">SUM(W75:Z75)</f>
        <v>0</v>
      </c>
      <c r="AB75" s="420">
        <f>-3.984+3.984</f>
        <v>0</v>
      </c>
      <c r="AC75" s="420">
        <f>-159.385+159.385</f>
        <v>0</v>
      </c>
      <c r="AD75" s="420">
        <f>-24.016+24.016</f>
        <v>0</v>
      </c>
      <c r="AE75" s="170">
        <v>0</v>
      </c>
      <c r="AF75" s="415">
        <f>AF236</f>
        <v>0</v>
      </c>
      <c r="AG75" s="420">
        <f>8.016-8.016</f>
        <v>0</v>
      </c>
      <c r="AH75" s="420">
        <f>-8.713+8.7</f>
        <v>-1.2999999999999901E-2</v>
      </c>
      <c r="AI75" s="420">
        <f>8.094-8.094</f>
        <v>0</v>
      </c>
      <c r="AJ75" s="420">
        <v>0</v>
      </c>
      <c r="AK75" s="415">
        <f>AJ75+AI75+AH75+AG75</f>
        <v>-1.2999999999999901E-2</v>
      </c>
      <c r="AL75" s="420">
        <f>AL76*AL74</f>
        <v>5.4696156603742887</v>
      </c>
      <c r="AM75" s="420">
        <f t="shared" ref="AM75:AO75" si="90">AM76*AM74</f>
        <v>6.5401630510649182</v>
      </c>
      <c r="AN75" s="420">
        <f t="shared" si="90"/>
        <v>1.3699090087372072</v>
      </c>
      <c r="AO75" s="420">
        <f t="shared" si="90"/>
        <v>6.6263879098889431</v>
      </c>
      <c r="AP75" s="415">
        <f>AP236</f>
        <v>20.006075630065382</v>
      </c>
      <c r="AQ75" s="420"/>
      <c r="AR75" s="420"/>
      <c r="AS75" s="420"/>
      <c r="AT75" s="420"/>
      <c r="AU75" s="415">
        <f>AU236</f>
        <v>33.559581978029215</v>
      </c>
      <c r="AV75" s="420"/>
      <c r="AW75" s="420"/>
      <c r="AX75" s="420"/>
      <c r="AY75" s="420"/>
      <c r="AZ75" s="415">
        <f>AZ236</f>
        <v>75.040367030721868</v>
      </c>
      <c r="BA75" s="420"/>
      <c r="BB75" s="420"/>
      <c r="BC75" s="420"/>
      <c r="BD75" s="420"/>
      <c r="BE75" s="415">
        <f>BE236</f>
        <v>127.03012232860127</v>
      </c>
      <c r="BF75" s="420"/>
      <c r="BG75" s="420"/>
      <c r="BH75" s="420"/>
      <c r="BI75" s="420"/>
      <c r="BJ75" s="415">
        <f>BJ236</f>
        <v>183.77502211684185</v>
      </c>
      <c r="BK75" s="420"/>
      <c r="BL75" s="420"/>
      <c r="BM75" s="420"/>
      <c r="BN75" s="420"/>
      <c r="BO75" s="415">
        <f>BO236</f>
        <v>245.82540766483731</v>
      </c>
      <c r="BP75" s="420"/>
      <c r="BQ75" s="420"/>
      <c r="BR75" s="420"/>
      <c r="BS75" s="420"/>
      <c r="BT75" s="415">
        <f>BT236</f>
        <v>320.97403119074579</v>
      </c>
      <c r="BU75" s="420"/>
      <c r="BV75" s="420"/>
      <c r="BW75" s="420"/>
      <c r="BX75" s="420"/>
      <c r="BY75" s="415">
        <f>BY236</f>
        <v>400.96947676120016</v>
      </c>
      <c r="BZ75" s="420"/>
      <c r="CA75" s="420"/>
      <c r="CB75" s="420"/>
      <c r="CC75" s="420"/>
      <c r="CD75" s="415">
        <f>CD236</f>
        <v>471.88883885766285</v>
      </c>
      <c r="CE75" s="420"/>
      <c r="CF75" s="420"/>
      <c r="CG75" s="420"/>
      <c r="CH75" s="420"/>
      <c r="CI75" s="415">
        <f>CI236</f>
        <v>532.05283114248925</v>
      </c>
      <c r="CJ75" s="420"/>
      <c r="CK75" s="420"/>
      <c r="CL75" s="420"/>
      <c r="CM75" s="420"/>
      <c r="CN75" s="415">
        <f>CN236</f>
        <v>573.66412357155502</v>
      </c>
      <c r="CO75" s="420"/>
      <c r="CP75" s="420"/>
      <c r="CQ75" s="420"/>
      <c r="CR75" s="420"/>
      <c r="CS75" s="415">
        <f>CS236</f>
        <v>619.37701676194411</v>
      </c>
      <c r="CT75" s="420"/>
      <c r="CU75" s="420"/>
      <c r="CV75" s="420"/>
      <c r="CW75" s="420"/>
      <c r="CX75" s="415">
        <f>CX236</f>
        <v>663.81867339052917</v>
      </c>
    </row>
    <row r="76" spans="2:110" s="179" customFormat="1">
      <c r="B76" s="190" t="s">
        <v>384</v>
      </c>
      <c r="C76" s="424">
        <f t="shared" ref="C76:F76" si="91">IF(C75&lt;0,"NA",-C75/C74)</f>
        <v>0</v>
      </c>
      <c r="D76" s="424">
        <f t="shared" si="91"/>
        <v>0</v>
      </c>
      <c r="E76" s="424">
        <f t="shared" si="91"/>
        <v>0</v>
      </c>
      <c r="F76" s="191">
        <f t="shared" si="91"/>
        <v>0</v>
      </c>
      <c r="G76" s="187">
        <f t="shared" ref="G76:L76" si="92">IF(G75&lt;0,"NA",-G75/G74)</f>
        <v>0</v>
      </c>
      <c r="H76" s="424">
        <f t="shared" si="92"/>
        <v>0</v>
      </c>
      <c r="I76" s="424">
        <f t="shared" si="92"/>
        <v>0</v>
      </c>
      <c r="J76" s="191">
        <f t="shared" si="92"/>
        <v>0</v>
      </c>
      <c r="K76" s="191">
        <f t="shared" si="92"/>
        <v>0</v>
      </c>
      <c r="L76" s="187">
        <f t="shared" si="92"/>
        <v>0</v>
      </c>
      <c r="M76" s="424">
        <f t="shared" ref="M76:Q76" si="93">IF(M75&lt;0,"NA",-M75/M74)</f>
        <v>0</v>
      </c>
      <c r="N76" s="424">
        <f t="shared" si="93"/>
        <v>0</v>
      </c>
      <c r="O76" s="191">
        <f t="shared" si="93"/>
        <v>0</v>
      </c>
      <c r="P76" s="191">
        <f t="shared" si="93"/>
        <v>0</v>
      </c>
      <c r="Q76" s="187">
        <f t="shared" si="93"/>
        <v>0</v>
      </c>
      <c r="R76" s="424">
        <f>IF(R75&lt;0,"NA",-R75/R74)</f>
        <v>0</v>
      </c>
      <c r="S76" s="424">
        <f>IF(S75&lt;0,"NA",-S75/S74)</f>
        <v>0</v>
      </c>
      <c r="T76" s="424">
        <f>IF(T75&lt;0,"NA",-T75/T74)</f>
        <v>0</v>
      </c>
      <c r="U76" s="424">
        <f>IF(U75&lt;0,"NA",-U75/U74)</f>
        <v>0</v>
      </c>
      <c r="V76" s="187">
        <f t="shared" ref="V76" si="94">IF(V75&lt;0,"NA",-V75/V74)</f>
        <v>0</v>
      </c>
      <c r="W76" s="424">
        <f>IF(W75&lt;0,"NA",-W75/W74)</f>
        <v>0</v>
      </c>
      <c r="X76" s="424">
        <f>IF(X75&lt;0,"NA",-X75/X74)</f>
        <v>0</v>
      </c>
      <c r="Y76" s="424">
        <f>IF(Y75&lt;0,"NA",-Y75/Y74)</f>
        <v>0</v>
      </c>
      <c r="Z76" s="424">
        <f>IF(Z75&lt;0,"NA",-Z75/Z74)</f>
        <v>0</v>
      </c>
      <c r="AA76" s="187">
        <f t="shared" ref="AA76" si="95">IF(AA75&lt;0,"NA",-AA75/AA74)</f>
        <v>0</v>
      </c>
      <c r="AB76" s="424">
        <f>IF(AB75&lt;0,"NA",-AB75/AB74)</f>
        <v>0</v>
      </c>
      <c r="AC76" s="424">
        <f>IF(AC75&lt;0,"NA",-AC75/AC74)</f>
        <v>0</v>
      </c>
      <c r="AD76" s="424">
        <f>IF(AD75&lt;0,"NA",-AD75/AD74)</f>
        <v>0</v>
      </c>
      <c r="AE76" s="424">
        <f>IF(AE75&lt;0,"NA",-AE75/AE74)</f>
        <v>0</v>
      </c>
      <c r="AF76" s="187">
        <f t="shared" ref="AF76" si="96">IF(AF75&lt;0,"NA",-AF75/AF74)</f>
        <v>0</v>
      </c>
      <c r="AG76" s="424">
        <f>AG75/AG74</f>
        <v>0</v>
      </c>
      <c r="AH76" s="424">
        <f t="shared" ref="AH76:AJ76" si="97">AH75/AH74</f>
        <v>-4.8936570675700715E-4</v>
      </c>
      <c r="AI76" s="424">
        <f t="shared" si="97"/>
        <v>0</v>
      </c>
      <c r="AJ76" s="424">
        <f t="shared" si="97"/>
        <v>0</v>
      </c>
      <c r="AK76" s="187">
        <f>AK75/AK74</f>
        <v>-1.7531556802243933E-4</v>
      </c>
      <c r="AL76" s="424">
        <f>AP76</f>
        <v>0.20000000000000004</v>
      </c>
      <c r="AM76" s="424">
        <f>AL76</f>
        <v>0.20000000000000004</v>
      </c>
      <c r="AN76" s="424">
        <f t="shared" ref="AN76:AO76" si="98">AM76</f>
        <v>0.20000000000000004</v>
      </c>
      <c r="AO76" s="424">
        <f t="shared" si="98"/>
        <v>0.20000000000000004</v>
      </c>
      <c r="AP76" s="187">
        <f>AP75/AP74</f>
        <v>0.20000000000000004</v>
      </c>
      <c r="AQ76" s="424"/>
      <c r="AR76" s="424"/>
      <c r="AS76" s="424"/>
      <c r="AT76" s="424"/>
      <c r="AU76" s="187">
        <f>AU75/AU74</f>
        <v>0.2</v>
      </c>
      <c r="AV76" s="424"/>
      <c r="AW76" s="424"/>
      <c r="AX76" s="424"/>
      <c r="AY76" s="424"/>
      <c r="AZ76" s="187">
        <f>AZ75/AZ74</f>
        <v>0.19999999999999998</v>
      </c>
      <c r="BA76" s="424"/>
      <c r="BB76" s="424"/>
      <c r="BC76" s="424"/>
      <c r="BD76" s="424"/>
      <c r="BE76" s="187">
        <f>BE75/BE74</f>
        <v>0.2</v>
      </c>
      <c r="BF76" s="424"/>
      <c r="BG76" s="424"/>
      <c r="BH76" s="424"/>
      <c r="BI76" s="424"/>
      <c r="BJ76" s="187">
        <f>BJ75/BJ74</f>
        <v>0.2</v>
      </c>
      <c r="BK76" s="424"/>
      <c r="BL76" s="424"/>
      <c r="BM76" s="424"/>
      <c r="BN76" s="424"/>
      <c r="BO76" s="187">
        <f>BO75/BO74</f>
        <v>0.2</v>
      </c>
      <c r="BP76" s="424"/>
      <c r="BQ76" s="424"/>
      <c r="BR76" s="424"/>
      <c r="BS76" s="424"/>
      <c r="BT76" s="187">
        <f>BT75/BT74</f>
        <v>0.2</v>
      </c>
      <c r="BU76" s="424"/>
      <c r="BV76" s="424"/>
      <c r="BW76" s="424"/>
      <c r="BX76" s="424"/>
      <c r="BY76" s="187">
        <f>BY75/BY74</f>
        <v>0.2</v>
      </c>
      <c r="BZ76" s="424"/>
      <c r="CA76" s="424"/>
      <c r="CB76" s="424"/>
      <c r="CC76" s="424"/>
      <c r="CD76" s="187">
        <f>CD75/CD74</f>
        <v>0.2</v>
      </c>
      <c r="CE76" s="424"/>
      <c r="CF76" s="424"/>
      <c r="CG76" s="424"/>
      <c r="CH76" s="424"/>
      <c r="CI76" s="187">
        <f>CI75/CI74</f>
        <v>0.2</v>
      </c>
      <c r="CJ76" s="424"/>
      <c r="CK76" s="424"/>
      <c r="CL76" s="424"/>
      <c r="CM76" s="424"/>
      <c r="CN76" s="187">
        <f>CN75/CN74</f>
        <v>0.2</v>
      </c>
      <c r="CO76" s="424"/>
      <c r="CP76" s="424"/>
      <c r="CQ76" s="424"/>
      <c r="CR76" s="424"/>
      <c r="CS76" s="187">
        <f>CS75/CS74</f>
        <v>0.20000000000000004</v>
      </c>
      <c r="CT76" s="424"/>
      <c r="CU76" s="424"/>
      <c r="CV76" s="424"/>
      <c r="CW76" s="424"/>
      <c r="CX76" s="187">
        <f>CX75/CX74</f>
        <v>0.2</v>
      </c>
      <c r="DA76"/>
      <c r="DB76"/>
      <c r="DC76"/>
      <c r="DD76"/>
      <c r="DE76"/>
      <c r="DF76"/>
    </row>
    <row r="77" spans="2:110" s="172" customFormat="1" ht="14.25" thickBot="1">
      <c r="B77" s="173" t="s">
        <v>396</v>
      </c>
      <c r="C77" s="417">
        <f t="shared" ref="C77:D77" si="99">C74-C75</f>
        <v>17.231999999999978</v>
      </c>
      <c r="D77" s="417">
        <f t="shared" si="99"/>
        <v>13.90800000000001</v>
      </c>
      <c r="E77" s="417">
        <f t="shared" ref="E77:F77" si="100">E74-E75</f>
        <v>4.4290000000000056</v>
      </c>
      <c r="F77" s="417">
        <f t="shared" si="100"/>
        <v>-2.8580000000000116</v>
      </c>
      <c r="G77" s="174">
        <f>G74-G75</f>
        <v>32.711000000000062</v>
      </c>
      <c r="H77" s="417">
        <f t="shared" ref="H77" si="101">H74-H75</f>
        <v>-6.6000000000006054E-2</v>
      </c>
      <c r="I77" s="417">
        <f t="shared" ref="I77:X77" si="102">I74-I75</f>
        <v>-7.2909999999999853</v>
      </c>
      <c r="J77" s="417">
        <f t="shared" si="102"/>
        <v>11.136999999999984</v>
      </c>
      <c r="K77" s="417">
        <f t="shared" si="102"/>
        <v>-15.563999999999993</v>
      </c>
      <c r="L77" s="174">
        <f>L74-L75</f>
        <v>-11.783999999999986</v>
      </c>
      <c r="M77" s="417">
        <f t="shared" ref="M77:P77" si="103">M74-M75</f>
        <v>-8.0289999999999946</v>
      </c>
      <c r="N77" s="417">
        <f t="shared" si="103"/>
        <v>-8.9999999999932079E-3</v>
      </c>
      <c r="O77" s="417">
        <f t="shared" si="103"/>
        <v>-16.726999999999993</v>
      </c>
      <c r="P77" s="417">
        <f t="shared" si="103"/>
        <v>-15.787999999999977</v>
      </c>
      <c r="Q77" s="174">
        <f>Q74-Q75</f>
        <v>-40.552999999999969</v>
      </c>
      <c r="R77" s="417">
        <f t="shared" si="102"/>
        <v>-1.7369999999999943</v>
      </c>
      <c r="S77" s="417">
        <f>S74-S75</f>
        <v>10.47600000000002</v>
      </c>
      <c r="T77" s="417">
        <f>T74-T75</f>
        <v>-23.456000000000014</v>
      </c>
      <c r="U77" s="417">
        <f>U74-U75</f>
        <v>-10.811999999999987</v>
      </c>
      <c r="V77" s="174">
        <f>V74-V75</f>
        <v>-25.528999999999975</v>
      </c>
      <c r="W77" s="417">
        <f>W74-W75</f>
        <v>-32.377999999999965</v>
      </c>
      <c r="X77" s="417">
        <f t="shared" si="102"/>
        <v>4.1599999999999975</v>
      </c>
      <c r="Y77" s="417">
        <f t="shared" ref="Y77:AO77" si="104">Y74-Y75</f>
        <v>-31.62500000000005</v>
      </c>
      <c r="Z77" s="417">
        <f t="shared" si="104"/>
        <v>-63.080000000000005</v>
      </c>
      <c r="AA77" s="174">
        <f>AA74-AA75</f>
        <v>-122.9229999999999</v>
      </c>
      <c r="AB77" s="417">
        <f t="shared" si="104"/>
        <v>-27.184000000000044</v>
      </c>
      <c r="AC77" s="417">
        <f t="shared" si="104"/>
        <v>27.660000000000014</v>
      </c>
      <c r="AD77" s="417">
        <f t="shared" si="104"/>
        <v>26.879000000000019</v>
      </c>
      <c r="AE77" s="417">
        <f t="shared" si="104"/>
        <v>-26.995000000000029</v>
      </c>
      <c r="AF77" s="174">
        <f t="shared" si="104"/>
        <v>0.36000000000008114</v>
      </c>
      <c r="AG77" s="417">
        <f t="shared" si="104"/>
        <v>34.666000000000011</v>
      </c>
      <c r="AH77" s="417">
        <f t="shared" si="104"/>
        <v>26.57800000000001</v>
      </c>
      <c r="AI77" s="417">
        <f t="shared" si="104"/>
        <v>7.7989999999999826</v>
      </c>
      <c r="AJ77" s="417">
        <f t="shared" si="104"/>
        <v>5.1480000000000548</v>
      </c>
      <c r="AK77" s="174">
        <f t="shared" ref="AK77" si="105">AK74-AK75</f>
        <v>74.164999999999893</v>
      </c>
      <c r="AL77" s="417">
        <f t="shared" si="104"/>
        <v>21.878462641497151</v>
      </c>
      <c r="AM77" s="417">
        <f t="shared" si="104"/>
        <v>26.160652204259666</v>
      </c>
      <c r="AN77" s="417">
        <f t="shared" si="104"/>
        <v>5.4796360349488271</v>
      </c>
      <c r="AO77" s="417">
        <f t="shared" si="104"/>
        <v>26.505551639555765</v>
      </c>
      <c r="AP77" s="174">
        <f t="shared" ref="AP77" si="106">AP74-AP75</f>
        <v>80.024302520261514</v>
      </c>
      <c r="AQ77" s="417"/>
      <c r="AR77" s="417"/>
      <c r="AS77" s="417"/>
      <c r="AT77" s="417"/>
      <c r="AU77" s="174">
        <f t="shared" ref="AU77" si="107">AU74-AU75</f>
        <v>134.23832791211686</v>
      </c>
      <c r="AV77" s="417"/>
      <c r="AW77" s="417"/>
      <c r="AX77" s="417"/>
      <c r="AY77" s="417"/>
      <c r="AZ77" s="174">
        <f t="shared" ref="AZ77" si="108">AZ74-AZ75</f>
        <v>300.16146812288747</v>
      </c>
      <c r="BA77" s="417"/>
      <c r="BB77" s="417"/>
      <c r="BC77" s="417"/>
      <c r="BD77" s="417"/>
      <c r="BE77" s="174">
        <f t="shared" ref="BE77" si="109">BE74-BE75</f>
        <v>508.12048931440506</v>
      </c>
      <c r="BF77" s="417"/>
      <c r="BG77" s="417"/>
      <c r="BH77" s="417"/>
      <c r="BI77" s="417"/>
      <c r="BJ77" s="174">
        <f t="shared" ref="BJ77" si="110">BJ74-BJ75</f>
        <v>735.10008846736741</v>
      </c>
      <c r="BK77" s="417"/>
      <c r="BL77" s="417"/>
      <c r="BM77" s="417"/>
      <c r="BN77" s="417"/>
      <c r="BO77" s="174">
        <f t="shared" ref="BO77" si="111">BO74-BO75</f>
        <v>983.30163065934926</v>
      </c>
      <c r="BP77" s="417"/>
      <c r="BQ77" s="417"/>
      <c r="BR77" s="417"/>
      <c r="BS77" s="417"/>
      <c r="BT77" s="174">
        <f t="shared" ref="BT77" si="112">BT74-BT75</f>
        <v>1283.8961247629832</v>
      </c>
      <c r="BU77" s="417"/>
      <c r="BV77" s="417"/>
      <c r="BW77" s="417"/>
      <c r="BX77" s="417"/>
      <c r="BY77" s="174">
        <f t="shared" ref="BY77" si="113">BY74-BY75</f>
        <v>1603.8779070448004</v>
      </c>
      <c r="BZ77" s="417"/>
      <c r="CA77" s="417"/>
      <c r="CB77" s="417"/>
      <c r="CC77" s="417"/>
      <c r="CD77" s="174">
        <f t="shared" ref="CD77" si="114">CD74-CD75</f>
        <v>1887.5553554306512</v>
      </c>
      <c r="CE77" s="417"/>
      <c r="CF77" s="417"/>
      <c r="CG77" s="417"/>
      <c r="CH77" s="417"/>
      <c r="CI77" s="174">
        <f t="shared" ref="CI77" si="115">CI74-CI75</f>
        <v>2128.211324569957</v>
      </c>
      <c r="CJ77" s="417"/>
      <c r="CK77" s="417"/>
      <c r="CL77" s="417"/>
      <c r="CM77" s="417"/>
      <c r="CN77" s="174">
        <f t="shared" ref="CN77" si="116">CN74-CN75</f>
        <v>2294.6564942862196</v>
      </c>
      <c r="CO77" s="417"/>
      <c r="CP77" s="417"/>
      <c r="CQ77" s="417"/>
      <c r="CR77" s="417"/>
      <c r="CS77" s="174">
        <f t="shared" ref="CS77" si="117">CS74-CS75</f>
        <v>2477.508067047776</v>
      </c>
      <c r="CT77" s="417"/>
      <c r="CU77" s="417"/>
      <c r="CV77" s="417"/>
      <c r="CW77" s="417"/>
      <c r="CX77" s="174">
        <f t="shared" ref="CX77" si="118">CX74-CX75</f>
        <v>2655.2746935621167</v>
      </c>
      <c r="DA77"/>
      <c r="DB77"/>
      <c r="DC77"/>
      <c r="DD77"/>
      <c r="DE77"/>
      <c r="DF77"/>
    </row>
    <row r="78" spans="2:110" ht="14.25" thickBot="1">
      <c r="B78" s="70"/>
      <c r="C78" s="416"/>
      <c r="D78" s="416"/>
      <c r="E78" s="418"/>
      <c r="F78" s="418"/>
      <c r="G78" s="172"/>
      <c r="H78" s="416"/>
      <c r="I78" s="416"/>
      <c r="J78" s="418"/>
      <c r="K78" s="418"/>
      <c r="L78" s="172"/>
      <c r="M78" s="416"/>
      <c r="N78" s="416"/>
      <c r="O78" s="418"/>
      <c r="P78" s="418"/>
      <c r="Q78" s="172"/>
      <c r="R78" s="411"/>
      <c r="S78" s="418"/>
      <c r="T78" s="418"/>
      <c r="U78" s="418"/>
      <c r="V78" s="172"/>
      <c r="W78" s="416"/>
      <c r="X78" s="416"/>
      <c r="Y78" s="418"/>
      <c r="Z78" s="418"/>
      <c r="AA78" s="172"/>
      <c r="AB78" s="416"/>
      <c r="AC78" s="416"/>
      <c r="AD78" s="418"/>
      <c r="AE78" s="418"/>
      <c r="AF78" s="172"/>
      <c r="AG78" s="416"/>
      <c r="AH78" s="416"/>
      <c r="AI78" s="420"/>
      <c r="AJ78" s="420"/>
      <c r="AK78" s="415"/>
      <c r="AL78" s="416"/>
      <c r="AM78" s="416"/>
      <c r="AN78" s="711" t="s">
        <v>568</v>
      </c>
      <c r="AO78" s="712"/>
      <c r="AP78" s="713" t="s">
        <v>619</v>
      </c>
      <c r="AQ78" s="416"/>
      <c r="AR78" s="416"/>
      <c r="AS78" s="418"/>
      <c r="AT78" s="418"/>
      <c r="AU78" s="172"/>
      <c r="AV78" s="416"/>
      <c r="AW78" s="416"/>
      <c r="AX78" s="418"/>
      <c r="AY78" s="418"/>
      <c r="AZ78" s="172"/>
      <c r="BA78" s="416"/>
      <c r="BB78" s="416"/>
      <c r="BC78" s="418"/>
      <c r="BD78" s="418"/>
      <c r="BE78" s="172"/>
      <c r="BF78" s="416"/>
      <c r="BG78" s="416"/>
      <c r="BH78" s="418"/>
      <c r="BI78" s="418"/>
      <c r="BJ78" s="172"/>
      <c r="BK78" s="416"/>
      <c r="BL78" s="416"/>
      <c r="BM78" s="418"/>
      <c r="BN78" s="418"/>
      <c r="BO78" s="172"/>
      <c r="BP78" s="416"/>
      <c r="BQ78" s="416"/>
      <c r="BR78" s="418"/>
      <c r="BS78" s="418"/>
      <c r="BT78" s="172"/>
      <c r="BU78" s="416"/>
      <c r="BV78" s="416"/>
      <c r="BW78" s="418"/>
      <c r="BX78" s="418"/>
      <c r="BY78" s="172"/>
      <c r="BZ78" s="416"/>
      <c r="CA78" s="416"/>
      <c r="CB78" s="418"/>
      <c r="CC78" s="418"/>
      <c r="CD78" s="172"/>
      <c r="CE78" s="416"/>
      <c r="CF78" s="416"/>
      <c r="CG78" s="418"/>
      <c r="CH78" s="418"/>
      <c r="CI78" s="172"/>
      <c r="CJ78" s="416"/>
      <c r="CK78" s="416"/>
      <c r="CL78" s="418"/>
      <c r="CM78" s="418"/>
      <c r="CN78" s="172"/>
      <c r="CO78" s="416"/>
      <c r="CP78" s="416"/>
      <c r="CQ78" s="418"/>
      <c r="CR78" s="418"/>
      <c r="CS78" s="172"/>
      <c r="CT78" s="416"/>
      <c r="CU78" s="416"/>
      <c r="CV78" s="418"/>
      <c r="CW78" s="418"/>
      <c r="CX78" s="172"/>
    </row>
    <row r="79" spans="2:110" ht="3.75" customHeight="1">
      <c r="C79" s="416"/>
      <c r="D79" s="416"/>
      <c r="E79" s="416"/>
      <c r="F79" s="416"/>
      <c r="H79" s="416"/>
      <c r="I79" s="416"/>
      <c r="J79" s="416"/>
      <c r="K79" s="416"/>
      <c r="M79" s="416"/>
      <c r="N79" s="416"/>
      <c r="O79" s="416"/>
      <c r="P79" s="416"/>
      <c r="R79" s="416"/>
      <c r="S79" s="416"/>
      <c r="T79" s="416"/>
      <c r="U79" s="416"/>
      <c r="W79" s="416"/>
      <c r="X79" s="416"/>
      <c r="Y79" s="416"/>
      <c r="Z79" s="416"/>
      <c r="AB79" s="416"/>
      <c r="AC79" s="416"/>
      <c r="AD79" s="416"/>
      <c r="AE79" s="416"/>
      <c r="AG79" s="416"/>
      <c r="AH79" s="416"/>
      <c r="AI79" s="416"/>
      <c r="AJ79" s="416"/>
      <c r="AL79" s="416"/>
      <c r="AM79" s="416"/>
      <c r="AN79" s="416"/>
      <c r="AO79" s="416"/>
      <c r="AQ79" s="416"/>
      <c r="AR79" s="416"/>
      <c r="AS79" s="416"/>
      <c r="AT79" s="416"/>
      <c r="AV79" s="416"/>
      <c r="AW79" s="416"/>
      <c r="AX79" s="416"/>
      <c r="AY79" s="416"/>
      <c r="BA79" s="416"/>
      <c r="BB79" s="416"/>
      <c r="BC79" s="416"/>
      <c r="BD79" s="416"/>
      <c r="BF79" s="416"/>
      <c r="BG79" s="416"/>
      <c r="BH79" s="416"/>
      <c r="BI79" s="416"/>
      <c r="BK79" s="416"/>
      <c r="BL79" s="416"/>
      <c r="BM79" s="416"/>
      <c r="BN79" s="416"/>
      <c r="BP79" s="416"/>
      <c r="BQ79" s="416"/>
      <c r="BR79" s="416"/>
      <c r="BS79" s="416"/>
      <c r="BU79" s="416"/>
      <c r="BV79" s="416"/>
      <c r="BW79" s="416"/>
      <c r="BX79" s="416"/>
      <c r="BZ79" s="416"/>
      <c r="CA79" s="416"/>
      <c r="CB79" s="416"/>
      <c r="CC79" s="416"/>
      <c r="CE79" s="416"/>
      <c r="CF79" s="416"/>
      <c r="CG79" s="416"/>
      <c r="CH79" s="416"/>
      <c r="CJ79" s="416"/>
      <c r="CK79" s="416"/>
      <c r="CL79" s="416"/>
      <c r="CM79" s="416"/>
      <c r="CO79" s="416"/>
      <c r="CP79" s="416"/>
      <c r="CQ79" s="416"/>
      <c r="CR79" s="416"/>
      <c r="CT79" s="416"/>
      <c r="CU79" s="416"/>
      <c r="CV79" s="416"/>
      <c r="CW79" s="416"/>
    </row>
    <row r="80" spans="2:110" s="172" customFormat="1">
      <c r="B80" s="172" t="s">
        <v>84</v>
      </c>
      <c r="C80" s="419">
        <f t="shared" ref="C80" si="119">C77/C86</f>
        <v>0.15560351444335063</v>
      </c>
      <c r="D80" s="419">
        <f t="shared" ref="D80:L80" si="120">D77/D86</f>
        <v>0.12516874561261415</v>
      </c>
      <c r="E80" s="419">
        <f t="shared" si="120"/>
        <v>3.9442514916733507E-2</v>
      </c>
      <c r="F80" s="419">
        <f t="shared" si="120"/>
        <v>-2.4979242232224898E-2</v>
      </c>
      <c r="G80" s="192">
        <f t="shared" si="120"/>
        <v>0.29174470665881863</v>
      </c>
      <c r="H80" s="419">
        <f t="shared" si="120"/>
        <v>-5.7356391761541716E-4</v>
      </c>
      <c r="I80" s="419">
        <f t="shared" si="120"/>
        <v>-6.1834249270642384E-2</v>
      </c>
      <c r="J80" s="419">
        <f t="shared" si="120"/>
        <v>9.0226355785277837E-2</v>
      </c>
      <c r="K80" s="419">
        <f t="shared" si="120"/>
        <v>-0.12493678506923533</v>
      </c>
      <c r="L80" s="192">
        <f t="shared" si="120"/>
        <v>-9.7978731365000599E-2</v>
      </c>
      <c r="M80" s="419">
        <f>M77/M86</f>
        <v>-6.2741757769459755E-2</v>
      </c>
      <c r="N80" s="419">
        <f t="shared" ref="N80:P80" si="121">N77/N86</f>
        <v>-6.4471761368471931E-5</v>
      </c>
      <c r="O80" s="419">
        <f t="shared" si="121"/>
        <v>-0.11880309099690328</v>
      </c>
      <c r="P80" s="419">
        <f t="shared" si="121"/>
        <v>-0.11051997871923373</v>
      </c>
      <c r="Q80" s="192">
        <f t="shared" ref="Q80:AO80" si="122">Q77/Q86</f>
        <v>-0.29438495880367299</v>
      </c>
      <c r="R80" s="419">
        <f>R77/R84</f>
        <v>-1.2063924213275139E-2</v>
      </c>
      <c r="S80" s="419">
        <f t="shared" ref="S80" si="123">S77/S86</f>
        <v>7.1581335282984201E-2</v>
      </c>
      <c r="T80" s="419">
        <f t="shared" si="122"/>
        <v>-0.14724049615828863</v>
      </c>
      <c r="U80" s="419">
        <f t="shared" si="122"/>
        <v>-7.2954481046139635E-2</v>
      </c>
      <c r="V80" s="192">
        <f t="shared" ref="V80" si="124">V77/V86</f>
        <v>-0.17443918304873951</v>
      </c>
      <c r="W80" s="419">
        <f t="shared" si="122"/>
        <v>-0.20542852067101469</v>
      </c>
      <c r="X80" s="419">
        <f t="shared" si="122"/>
        <v>2.5934191987830861E-2</v>
      </c>
      <c r="Y80" s="419">
        <f t="shared" si="122"/>
        <v>-0.19626522025146806</v>
      </c>
      <c r="Z80" s="419">
        <f t="shared" si="122"/>
        <v>-0.36192967961075923</v>
      </c>
      <c r="AA80" s="192">
        <f t="shared" si="122"/>
        <v>-0.76814872676144286</v>
      </c>
      <c r="AB80" s="419">
        <f t="shared" si="122"/>
        <v>-0.16827196870280067</v>
      </c>
      <c r="AC80" s="419">
        <f t="shared" si="122"/>
        <v>0.17012430268102627</v>
      </c>
      <c r="AD80" s="419">
        <f t="shared" si="122"/>
        <v>0.16026688290780747</v>
      </c>
      <c r="AE80" s="419">
        <f t="shared" si="122"/>
        <v>-0.15672898281467737</v>
      </c>
      <c r="AF80" s="192">
        <f t="shared" si="122"/>
        <v>2.1683840569567104E-3</v>
      </c>
      <c r="AG80" s="419">
        <f t="shared" si="122"/>
        <v>0.20046382051913114</v>
      </c>
      <c r="AH80" s="419">
        <f t="shared" si="122"/>
        <v>0.15241951208322349</v>
      </c>
      <c r="AI80" s="419">
        <f t="shared" si="122"/>
        <v>4.4539499608801575E-2</v>
      </c>
      <c r="AJ80" s="419">
        <f t="shared" si="122"/>
        <v>2.9299109302524426E-2</v>
      </c>
      <c r="AK80" s="192">
        <f t="shared" ref="AK80" si="125">AK77/AK86</f>
        <v>0.42494677350431453</v>
      </c>
      <c r="AL80" s="419">
        <f t="shared" si="122"/>
        <v>0.12381045078817633</v>
      </c>
      <c r="AM80" s="419">
        <f t="shared" si="122"/>
        <v>0.14804340667788551</v>
      </c>
      <c r="AN80" s="419">
        <f t="shared" si="122"/>
        <v>3.1009318102422384E-2</v>
      </c>
      <c r="AO80" s="419">
        <f t="shared" si="122"/>
        <v>0.14999519621905755</v>
      </c>
      <c r="AP80" s="192">
        <f t="shared" ref="AP80" si="126">AP77/AP86</f>
        <v>0.45285837178754235</v>
      </c>
      <c r="AQ80" s="419"/>
      <c r="AR80" s="419"/>
      <c r="AS80" s="419"/>
      <c r="AT80" s="419"/>
      <c r="AU80" s="192">
        <f t="shared" ref="AU80" si="127">AU77/AU86</f>
        <v>0.75027764261335717</v>
      </c>
      <c r="AV80" s="419"/>
      <c r="AW80" s="419"/>
      <c r="AX80" s="419"/>
      <c r="AY80" s="419"/>
      <c r="AZ80" s="192">
        <f t="shared" ref="AZ80" si="128">AZ77/AZ86</f>
        <v>1.656934650882971</v>
      </c>
      <c r="BA80" s="419"/>
      <c r="BB80" s="419"/>
      <c r="BC80" s="419"/>
      <c r="BD80" s="419"/>
      <c r="BE80" s="192">
        <f t="shared" ref="BE80" si="129">BE77/BE86</f>
        <v>2.7702701032963266</v>
      </c>
      <c r="BF80" s="419"/>
      <c r="BG80" s="419"/>
      <c r="BH80" s="419"/>
      <c r="BI80" s="419"/>
      <c r="BJ80" s="192">
        <f t="shared" ref="BJ80" si="130">BJ77/BJ86</f>
        <v>3.958283086538589</v>
      </c>
      <c r="BK80" s="419"/>
      <c r="BL80" s="419"/>
      <c r="BM80" s="419"/>
      <c r="BN80" s="419"/>
      <c r="BO80" s="192">
        <f t="shared" ref="BO80" si="131">BO77/BO86</f>
        <v>5.2294028966450385</v>
      </c>
      <c r="BP80" s="419"/>
      <c r="BQ80" s="419"/>
      <c r="BR80" s="419"/>
      <c r="BS80" s="419"/>
      <c r="BT80" s="192">
        <f t="shared" ref="BT80" si="132">BT77/BT86</f>
        <v>6.743730401046383</v>
      </c>
      <c r="BU80" s="419"/>
      <c r="BV80" s="419"/>
      <c r="BW80" s="419"/>
      <c r="BX80" s="419"/>
      <c r="BY80" s="192">
        <f t="shared" ref="BY80" si="133">BY77/BY86</f>
        <v>8.3204455929894614</v>
      </c>
      <c r="BZ80" s="419"/>
      <c r="CA80" s="419"/>
      <c r="CB80" s="419"/>
      <c r="CC80" s="419"/>
      <c r="CD80" s="192">
        <f t="shared" ref="CD80" si="134">CD77/CD86</f>
        <v>9.6711906546393482</v>
      </c>
      <c r="CE80" s="419"/>
      <c r="CF80" s="419"/>
      <c r="CG80" s="419"/>
      <c r="CH80" s="419"/>
      <c r="CI80" s="192">
        <f t="shared" ref="CI80" si="135">CI77/CI86</f>
        <v>10.769609740463363</v>
      </c>
      <c r="CJ80" s="419"/>
      <c r="CK80" s="419"/>
      <c r="CL80" s="419"/>
      <c r="CM80" s="419"/>
      <c r="CN80" s="192">
        <f t="shared" ref="CN80" si="136">CN77/CN86</f>
        <v>11.468532931545399</v>
      </c>
      <c r="CO80" s="419"/>
      <c r="CP80" s="419"/>
      <c r="CQ80" s="419"/>
      <c r="CR80" s="419"/>
      <c r="CS80" s="192">
        <f t="shared" ref="CS80" si="137">CS77/CS86</f>
        <v>12.229543036441269</v>
      </c>
      <c r="CT80" s="419"/>
      <c r="CU80" s="419"/>
      <c r="CV80" s="419"/>
      <c r="CW80" s="419"/>
      <c r="CX80" s="192">
        <f t="shared" ref="CX80" si="138">CX77/CX86</f>
        <v>12.945224214324904</v>
      </c>
      <c r="DA80"/>
      <c r="DB80"/>
      <c r="DC80"/>
      <c r="DD80"/>
      <c r="DE80"/>
      <c r="DF80"/>
    </row>
    <row r="81" spans="2:110" s="172" customFormat="1" hidden="1">
      <c r="B81" s="172" t="s">
        <v>41</v>
      </c>
      <c r="C81" s="419"/>
      <c r="D81" s="419"/>
      <c r="E81" s="419"/>
      <c r="F81" s="419"/>
      <c r="G81" s="192"/>
      <c r="H81" s="419"/>
      <c r="I81" s="419"/>
      <c r="J81" s="419"/>
      <c r="K81" s="419"/>
      <c r="L81" s="192"/>
      <c r="M81" s="419"/>
      <c r="N81" s="419"/>
      <c r="O81" s="419"/>
      <c r="P81" s="419"/>
      <c r="Q81" s="192"/>
      <c r="R81" s="419">
        <f>R77/R85</f>
        <v>-1.2049362847451003E-2</v>
      </c>
      <c r="S81" s="419"/>
      <c r="T81" s="419"/>
      <c r="U81" s="419"/>
      <c r="V81" s="192"/>
      <c r="W81" s="419"/>
      <c r="X81" s="419"/>
      <c r="Y81" s="419"/>
      <c r="Z81" s="419"/>
      <c r="AA81" s="192"/>
      <c r="AB81" s="419"/>
      <c r="AC81" s="419"/>
      <c r="AD81" s="419"/>
      <c r="AE81" s="419"/>
      <c r="AF81" s="192"/>
      <c r="AG81" s="419"/>
      <c r="AH81" s="419"/>
      <c r="AI81" s="419"/>
      <c r="AJ81" s="419"/>
      <c r="AK81" s="192"/>
      <c r="AL81" s="419"/>
      <c r="AM81" s="419"/>
      <c r="AN81" s="419"/>
      <c r="AO81" s="419"/>
      <c r="AP81" s="192"/>
      <c r="AQ81" s="419"/>
      <c r="AR81" s="419"/>
      <c r="AS81" s="419"/>
      <c r="AT81" s="419"/>
      <c r="AU81" s="192"/>
      <c r="AV81" s="419"/>
      <c r="AW81" s="419"/>
      <c r="AX81" s="419"/>
      <c r="AY81" s="419"/>
      <c r="AZ81" s="192"/>
      <c r="BA81" s="419"/>
      <c r="BB81" s="419"/>
      <c r="BC81" s="419"/>
      <c r="BD81" s="419"/>
      <c r="BE81" s="192"/>
      <c r="BF81" s="419"/>
      <c r="BG81" s="419"/>
      <c r="BH81" s="419"/>
      <c r="BI81" s="419"/>
      <c r="BJ81" s="192"/>
      <c r="BK81" s="419"/>
      <c r="BL81" s="419"/>
      <c r="BM81" s="419"/>
      <c r="BN81" s="419"/>
      <c r="BO81" s="192"/>
      <c r="BP81" s="419"/>
      <c r="BQ81" s="419"/>
      <c r="BR81" s="419"/>
      <c r="BS81" s="419"/>
      <c r="BT81" s="192"/>
      <c r="BU81" s="419"/>
      <c r="BV81" s="419"/>
      <c r="BW81" s="419"/>
      <c r="BX81" s="419"/>
      <c r="BY81" s="192"/>
      <c r="BZ81" s="419"/>
      <c r="CA81" s="419"/>
      <c r="CB81" s="419"/>
      <c r="CC81" s="419"/>
      <c r="CD81" s="192"/>
      <c r="CE81" s="419"/>
      <c r="CF81" s="419"/>
      <c r="CG81" s="419"/>
      <c r="CH81" s="419"/>
      <c r="CI81" s="192"/>
      <c r="CJ81" s="419"/>
      <c r="CK81" s="419"/>
      <c r="CL81" s="419"/>
      <c r="CM81" s="419"/>
      <c r="CN81" s="192"/>
      <c r="CO81" s="419"/>
      <c r="CP81" s="419"/>
      <c r="CQ81" s="419"/>
      <c r="CR81" s="419"/>
      <c r="CS81" s="192"/>
      <c r="CT81" s="419"/>
      <c r="CU81" s="419"/>
      <c r="CV81" s="419"/>
      <c r="CW81" s="419"/>
      <c r="CX81" s="192"/>
      <c r="DA81"/>
      <c r="DB81"/>
      <c r="DC81"/>
      <c r="DD81"/>
      <c r="DE81"/>
      <c r="DF81"/>
    </row>
    <row r="82" spans="2:110" s="172" customFormat="1">
      <c r="B82" s="722" t="s">
        <v>623</v>
      </c>
      <c r="C82" s="722"/>
      <c r="D82" s="722"/>
      <c r="E82" s="722"/>
      <c r="F82" s="722"/>
      <c r="G82" s="722"/>
      <c r="H82" s="722"/>
      <c r="I82" s="722"/>
      <c r="J82" s="722"/>
      <c r="K82" s="722"/>
      <c r="L82" s="722"/>
      <c r="M82" s="722"/>
      <c r="N82" s="722"/>
      <c r="O82" s="722"/>
      <c r="P82" s="722"/>
      <c r="Q82" s="722"/>
      <c r="R82" s="722"/>
      <c r="S82" s="722"/>
      <c r="T82" s="722"/>
      <c r="U82" s="722"/>
      <c r="V82" s="722"/>
      <c r="W82" s="722"/>
      <c r="X82" s="722"/>
      <c r="Y82" s="722"/>
      <c r="Z82" s="722"/>
      <c r="AA82" s="722"/>
      <c r="AB82" s="722"/>
      <c r="AC82" s="722"/>
      <c r="AD82" s="722"/>
      <c r="AE82" s="722"/>
      <c r="AF82" s="722"/>
      <c r="AG82" s="722"/>
      <c r="AH82" s="722"/>
      <c r="AI82" s="722"/>
      <c r="AJ82" s="722"/>
      <c r="AK82" s="722"/>
      <c r="AL82" s="740">
        <f>_xll.TR($DH$1,"TR.EPSMean","Period=#1 Curn=#2 Scale=6 Null=BLANK",,LEFT(AL$2,1)&amp;"CQ20"&amp;MID(AL$2,3,2),$DH$2)</f>
        <v>-0.17144000000000001</v>
      </c>
      <c r="AM82" s="740">
        <f>_xll.TR($DH$1,"TR.EPSMean","Period=#1 Curn=#2 Scale=6 Null=BLANK",,LEFT(AM$2,1)&amp;"CQ20"&amp;MID(AM$2,3,2),$DH$2)</f>
        <v>-0.17399999999999999</v>
      </c>
      <c r="AN82" s="740">
        <f>_xll.TR($DH$1,"TR.EPSMean","Period=#1 Curn=#2 Scale=6 Null=BLANK",,LEFT(AN$2,1)&amp;"CQ20"&amp;MID(AN$2,3,2),$DH$2)</f>
        <v>-0.16667000000000001</v>
      </c>
      <c r="AO82" s="740">
        <f>_xll.TR($DH$1,"TR.EPSMean","Period=#1 Curn=#2 Scale=6 Null=BLANK",,LEFT(AO$2,1)&amp;"CQ20"&amp;MID(AO$2,3,2),$DH$2)</f>
        <v>-0.13533000000000001</v>
      </c>
      <c r="AP82" s="740">
        <f>_xll.TR($DH$1,"AVAIL(TR.EPSMean(Methodology=WeightedAnnual),TR.RevenueMean(Methodology=Interimsum))","Period=#1 Curn=#2 Scale=6 Null=BLANK",,"CY"&amp;LEFT(AP$2,4),$DH$2)</f>
        <v>-0.65832999999999997</v>
      </c>
      <c r="AQ82" s="740"/>
      <c r="AR82" s="740"/>
      <c r="AS82" s="740"/>
      <c r="AT82" s="740"/>
      <c r="AU82" s="740">
        <f>_xll.TR($DH$1,"AVAIL(TR.EPSMean(Methodology=WeightedAnnual),TR.RevenueMean(Methodology=Interimsum))","Period=#1 Curn=#2 Scale=6 Null=BLANK",,"CY"&amp;LEFT(AU$2,4),$DH$2)</f>
        <v>0.22211</v>
      </c>
      <c r="AV82" s="740"/>
      <c r="AW82" s="740"/>
      <c r="AX82" s="740"/>
      <c r="AY82" s="740"/>
      <c r="AZ82" s="740">
        <f>_xll.TR($DH$1,"AVAIL(TR.EPSMean(Methodology=WeightedAnnual),TR.RevenueMean(Methodology=Interimsum))","Period=#1 Curn=#2 Scale=6 Null=BLANK",,"CY"&amp;LEFT(AZ$2,4),$DH$2)</f>
        <v>1.24888</v>
      </c>
      <c r="BA82" s="722"/>
      <c r="BB82" s="722"/>
      <c r="BC82" s="722"/>
      <c r="BD82" s="722"/>
      <c r="BE82" s="722"/>
      <c r="BF82" s="722"/>
      <c r="BG82" s="722"/>
      <c r="BH82" s="722"/>
      <c r="BI82" s="722"/>
      <c r="BJ82" s="722"/>
      <c r="BK82" s="722"/>
      <c r="BL82" s="722"/>
      <c r="BM82" s="722"/>
      <c r="BN82" s="722"/>
      <c r="BO82" s="722"/>
      <c r="BP82" s="722"/>
      <c r="BQ82" s="722"/>
      <c r="BR82" s="722"/>
      <c r="BS82" s="722"/>
      <c r="BT82" s="722"/>
      <c r="BU82" s="722"/>
      <c r="BV82" s="722"/>
      <c r="BW82" s="722"/>
      <c r="BX82" s="722"/>
      <c r="BY82" s="722"/>
      <c r="BZ82" s="722"/>
      <c r="CA82" s="722"/>
      <c r="CB82" s="722"/>
      <c r="CC82" s="722"/>
      <c r="CD82" s="722"/>
      <c r="CE82" s="722"/>
      <c r="CF82" s="722"/>
      <c r="CG82" s="722"/>
      <c r="CH82" s="722"/>
      <c r="CI82" s="722"/>
      <c r="CJ82" s="722"/>
      <c r="CK82" s="722"/>
      <c r="CL82" s="722"/>
      <c r="CM82" s="722"/>
      <c r="CN82" s="722"/>
      <c r="CO82" s="722"/>
      <c r="CP82" s="722"/>
      <c r="CQ82" s="722"/>
      <c r="CR82" s="722"/>
      <c r="CS82" s="722"/>
      <c r="CT82" s="722"/>
      <c r="CU82" s="722"/>
      <c r="CV82" s="722"/>
      <c r="CW82" s="722"/>
      <c r="CX82" s="722"/>
      <c r="DA82"/>
      <c r="DB82"/>
      <c r="DC82"/>
      <c r="DD82"/>
      <c r="DE82"/>
      <c r="DF82"/>
    </row>
    <row r="83" spans="2:110" ht="3.75" customHeight="1">
      <c r="C83" s="416"/>
      <c r="D83" s="416"/>
      <c r="E83" s="416"/>
      <c r="F83" s="416"/>
      <c r="H83" s="416"/>
      <c r="I83" s="416"/>
      <c r="J83" s="416"/>
      <c r="K83" s="416"/>
      <c r="M83" s="416"/>
      <c r="N83" s="416"/>
      <c r="O83" s="416"/>
      <c r="P83" s="416"/>
      <c r="R83" s="416"/>
      <c r="S83" s="416"/>
      <c r="T83" s="416"/>
      <c r="U83" s="416"/>
      <c r="W83" s="416"/>
      <c r="X83" s="416"/>
      <c r="Y83" s="416"/>
      <c r="Z83" s="416"/>
      <c r="AB83" s="416"/>
      <c r="AC83" s="416"/>
      <c r="AD83" s="416"/>
      <c r="AE83" s="416"/>
      <c r="AG83" s="416"/>
      <c r="AH83" s="416"/>
      <c r="AI83" s="416"/>
      <c r="AJ83" s="416"/>
      <c r="AL83" s="416"/>
      <c r="AM83" s="416"/>
      <c r="AN83" s="416"/>
      <c r="AO83" s="416"/>
      <c r="AQ83" s="416"/>
      <c r="AR83" s="416"/>
      <c r="AS83" s="416"/>
      <c r="AT83" s="416"/>
      <c r="AV83" s="416"/>
      <c r="AW83" s="416"/>
      <c r="AX83" s="416"/>
      <c r="AY83" s="416"/>
      <c r="BA83" s="416"/>
      <c r="BB83" s="416"/>
      <c r="BC83" s="416"/>
      <c r="BD83" s="416"/>
      <c r="BF83" s="416"/>
      <c r="BG83" s="416"/>
      <c r="BH83" s="416"/>
      <c r="BI83" s="416"/>
      <c r="BK83" s="416"/>
      <c r="BL83" s="416"/>
      <c r="BM83" s="416"/>
      <c r="BN83" s="416"/>
      <c r="BP83" s="416"/>
      <c r="BQ83" s="416"/>
      <c r="BR83" s="416"/>
      <c r="BS83" s="416"/>
      <c r="BU83" s="416"/>
      <c r="BV83" s="416"/>
      <c r="BW83" s="416"/>
      <c r="BX83" s="416"/>
      <c r="BZ83" s="416"/>
      <c r="CA83" s="416"/>
      <c r="CB83" s="416"/>
      <c r="CC83" s="416"/>
      <c r="CE83" s="416"/>
      <c r="CF83" s="416"/>
      <c r="CG83" s="416"/>
      <c r="CH83" s="416"/>
      <c r="CJ83" s="416"/>
      <c r="CK83" s="416"/>
      <c r="CL83" s="416"/>
      <c r="CM83" s="416"/>
      <c r="CO83" s="416"/>
      <c r="CP83" s="416"/>
      <c r="CQ83" s="416"/>
      <c r="CR83" s="416"/>
      <c r="CT83" s="416"/>
      <c r="CU83" s="416"/>
      <c r="CV83" s="416"/>
      <c r="CW83" s="416"/>
    </row>
    <row r="84" spans="2:110">
      <c r="B84" s="413" t="s">
        <v>385</v>
      </c>
      <c r="C84" s="420">
        <v>110.652</v>
      </c>
      <c r="D84" s="420">
        <v>111.114</v>
      </c>
      <c r="E84" s="420">
        <v>112.29</v>
      </c>
      <c r="F84" s="420">
        <v>114.41500000000001</v>
      </c>
      <c r="G84" s="415">
        <v>112.122</v>
      </c>
      <c r="H84" s="420">
        <v>115.07</v>
      </c>
      <c r="I84" s="420">
        <v>117.91200000000001</v>
      </c>
      <c r="J84" s="420">
        <v>123.434</v>
      </c>
      <c r="K84" s="420">
        <v>124.575</v>
      </c>
      <c r="L84" s="415">
        <v>120.271</v>
      </c>
      <c r="M84" s="420">
        <v>127.96899999999999</v>
      </c>
      <c r="N84" s="420">
        <v>139.4</v>
      </c>
      <c r="O84" s="420">
        <v>140.79599999999999</v>
      </c>
      <c r="P84" s="420">
        <v>142.65899999999999</v>
      </c>
      <c r="Q84" s="415">
        <v>137.755</v>
      </c>
      <c r="R84" s="420">
        <v>143.983</v>
      </c>
      <c r="S84" s="420">
        <v>146.12</v>
      </c>
      <c r="T84" s="420">
        <v>147.01599999999999</v>
      </c>
      <c r="U84" s="420">
        <v>148.202</v>
      </c>
      <c r="V84" s="415">
        <v>146.34899999999999</v>
      </c>
      <c r="W84" s="420">
        <v>157.61199999999999</v>
      </c>
      <c r="X84" s="420">
        <v>160.40600000000001</v>
      </c>
      <c r="Y84" s="420">
        <v>160.886</v>
      </c>
      <c r="Z84" s="420">
        <v>161.149</v>
      </c>
      <c r="AA84" s="415">
        <v>160.02500000000001</v>
      </c>
      <c r="AB84" s="420">
        <v>161.548</v>
      </c>
      <c r="AC84" s="420">
        <v>162.58699999999999</v>
      </c>
      <c r="AD84" s="420">
        <v>167.714</v>
      </c>
      <c r="AE84" s="420">
        <v>172.006</v>
      </c>
      <c r="AF84" s="415">
        <f>(AE84+AD84+AC84+AB84)/4</f>
        <v>165.96375</v>
      </c>
      <c r="AG84" s="420">
        <v>172.71</v>
      </c>
      <c r="AH84" s="420">
        <v>174.374</v>
      </c>
      <c r="AI84" s="420">
        <v>175.10300000000001</v>
      </c>
      <c r="AJ84" s="420">
        <v>175.48500000000001</v>
      </c>
      <c r="AK84" s="415">
        <f>(AJ84+AI84+AH84+AG84)/4</f>
        <v>174.41800000000001</v>
      </c>
      <c r="AL84" s="420">
        <f>AP84</f>
        <v>176.59822499999999</v>
      </c>
      <c r="AM84" s="420">
        <f>AL84</f>
        <v>176.59822499999999</v>
      </c>
      <c r="AN84" s="420">
        <f t="shared" ref="AN84:AO84" si="139">AM84</f>
        <v>176.59822499999999</v>
      </c>
      <c r="AO84" s="420">
        <f t="shared" si="139"/>
        <v>176.59822499999999</v>
      </c>
      <c r="AP84" s="415">
        <f>AK84*1.0125</f>
        <v>176.59822499999999</v>
      </c>
      <c r="AQ84" s="420"/>
      <c r="AR84" s="420"/>
      <c r="AS84" s="420"/>
      <c r="AT84" s="420"/>
      <c r="AU84" s="415">
        <f>AP84*1.0125</f>
        <v>178.80570281249999</v>
      </c>
      <c r="AV84" s="420"/>
      <c r="AW84" s="420"/>
      <c r="AX84" s="420"/>
      <c r="AY84" s="420"/>
      <c r="AZ84" s="415">
        <f>AU84*1.0125</f>
        <v>181.04077409765623</v>
      </c>
      <c r="BA84" s="420"/>
      <c r="BB84" s="420"/>
      <c r="BC84" s="420"/>
      <c r="BD84" s="420"/>
      <c r="BE84" s="415">
        <f>AZ84*1.0125</f>
        <v>183.30378377387692</v>
      </c>
      <c r="BF84" s="420"/>
      <c r="BG84" s="420"/>
      <c r="BH84" s="420"/>
      <c r="BI84" s="420"/>
      <c r="BJ84" s="415">
        <f>BE84*1.0125</f>
        <v>185.59508107105037</v>
      </c>
      <c r="BK84" s="420"/>
      <c r="BL84" s="420"/>
      <c r="BM84" s="420"/>
      <c r="BN84" s="420"/>
      <c r="BO84" s="415">
        <f>BJ84*1.0125</f>
        <v>187.91501958443848</v>
      </c>
      <c r="BP84" s="420"/>
      <c r="BQ84" s="420"/>
      <c r="BR84" s="420"/>
      <c r="BS84" s="420"/>
      <c r="BT84" s="415">
        <f>BO84*1.0125</f>
        <v>190.26395732924396</v>
      </c>
      <c r="BU84" s="420"/>
      <c r="BV84" s="420"/>
      <c r="BW84" s="420"/>
      <c r="BX84" s="420"/>
      <c r="BY84" s="415">
        <f>BT84*1.0125</f>
        <v>192.64225679585951</v>
      </c>
      <c r="BZ84" s="420"/>
      <c r="CA84" s="420"/>
      <c r="CB84" s="420"/>
      <c r="CC84" s="420"/>
      <c r="CD84" s="415">
        <f>BY84*1.0125</f>
        <v>195.05028500580775</v>
      </c>
      <c r="CE84" s="420"/>
      <c r="CF84" s="420"/>
      <c r="CG84" s="420"/>
      <c r="CH84" s="420"/>
      <c r="CI84" s="415">
        <f>CD84*1.0125</f>
        <v>197.48841356838034</v>
      </c>
      <c r="CJ84" s="420"/>
      <c r="CK84" s="420"/>
      <c r="CL84" s="420"/>
      <c r="CM84" s="420"/>
      <c r="CN84" s="415">
        <f>CI84*1.0125</f>
        <v>199.95701873798509</v>
      </c>
      <c r="CO84" s="420"/>
      <c r="CP84" s="420"/>
      <c r="CQ84" s="420"/>
      <c r="CR84" s="420"/>
      <c r="CS84" s="415">
        <f>CN84*1.0125</f>
        <v>202.4564814722099</v>
      </c>
      <c r="CT84" s="420"/>
      <c r="CU84" s="420"/>
      <c r="CV84" s="420"/>
      <c r="CW84" s="420"/>
      <c r="CX84" s="415">
        <f>CS84*1.0125</f>
        <v>204.98718749061251</v>
      </c>
    </row>
    <row r="85" spans="2:110">
      <c r="B85" s="413" t="s">
        <v>386</v>
      </c>
      <c r="C85" s="420">
        <v>110.74299999999999</v>
      </c>
      <c r="D85" s="420">
        <v>111.114</v>
      </c>
      <c r="E85" s="420">
        <v>112.29</v>
      </c>
      <c r="F85" s="420">
        <v>114.41500000000001</v>
      </c>
      <c r="G85" s="415">
        <v>112.122</v>
      </c>
      <c r="H85" s="420">
        <v>115.07</v>
      </c>
      <c r="I85" s="420">
        <v>117.91200000000001</v>
      </c>
      <c r="J85" s="420">
        <v>123.434</v>
      </c>
      <c r="K85" s="420">
        <v>124.575</v>
      </c>
      <c r="L85" s="415">
        <v>120.271</v>
      </c>
      <c r="M85" s="420">
        <v>127.96899999999999</v>
      </c>
      <c r="N85" s="420">
        <v>139.596</v>
      </c>
      <c r="O85" s="420">
        <v>140.79599999999999</v>
      </c>
      <c r="P85" s="420">
        <v>142.852</v>
      </c>
      <c r="Q85" s="415">
        <v>137.755</v>
      </c>
      <c r="R85" s="420">
        <v>144.15700000000001</v>
      </c>
      <c r="S85" s="420">
        <v>146.351</v>
      </c>
      <c r="T85" s="420">
        <v>159.304</v>
      </c>
      <c r="U85" s="420">
        <v>148.202</v>
      </c>
      <c r="V85" s="415">
        <v>146.34899999999999</v>
      </c>
      <c r="W85" s="420">
        <f t="shared" ref="W85:Z86" si="140">W84</f>
        <v>157.61199999999999</v>
      </c>
      <c r="X85" s="420">
        <f t="shared" si="140"/>
        <v>160.40600000000001</v>
      </c>
      <c r="Y85" s="420">
        <v>161.13399999999999</v>
      </c>
      <c r="Z85" s="420">
        <v>174.28800000000001</v>
      </c>
      <c r="AA85" s="415">
        <v>160.02500000000001</v>
      </c>
      <c r="AB85" s="420">
        <f t="shared" ref="AB85:AD86" si="141">AB84</f>
        <v>161.548</v>
      </c>
      <c r="AC85" s="420">
        <f t="shared" ref="AC85" si="142">AC84</f>
        <v>162.58699999999999</v>
      </c>
      <c r="AD85" s="420">
        <v>167.714</v>
      </c>
      <c r="AE85" s="420">
        <v>172.24</v>
      </c>
      <c r="AF85" s="415">
        <f>(AE85+AD85+AC85+AB85)/4</f>
        <v>166.02224999999999</v>
      </c>
      <c r="AG85" s="420">
        <f>AG84</f>
        <v>172.71</v>
      </c>
      <c r="AH85" s="420">
        <f>AH84</f>
        <v>174.374</v>
      </c>
      <c r="AI85" s="420">
        <f>AI84</f>
        <v>175.10300000000001</v>
      </c>
      <c r="AJ85" s="420">
        <v>175.70500000000001</v>
      </c>
      <c r="AK85" s="415">
        <f>(AJ85+AI85+AH85+AG85)/4</f>
        <v>174.47300000000001</v>
      </c>
      <c r="AL85" s="420">
        <f>AP85</f>
        <v>176.65391250000002</v>
      </c>
      <c r="AM85" s="420">
        <f>AL85</f>
        <v>176.65391250000002</v>
      </c>
      <c r="AN85" s="420">
        <f t="shared" ref="AN85:AO85" si="143">AM85</f>
        <v>176.65391250000002</v>
      </c>
      <c r="AO85" s="420">
        <f t="shared" si="143"/>
        <v>176.65391250000002</v>
      </c>
      <c r="AP85" s="415">
        <f t="shared" ref="AP85:AP86" si="144">AK85*1.0125</f>
        <v>176.65391250000002</v>
      </c>
      <c r="AQ85" s="420"/>
      <c r="AR85" s="420"/>
      <c r="AS85" s="420"/>
      <c r="AT85" s="420"/>
      <c r="AU85" s="415">
        <f t="shared" ref="AU85:AU86" si="145">AP85*1.0125</f>
        <v>178.86208640625</v>
      </c>
      <c r="AV85" s="420"/>
      <c r="AW85" s="420"/>
      <c r="AX85" s="420"/>
      <c r="AY85" s="420"/>
      <c r="AZ85" s="415">
        <f t="shared" ref="AZ85:AZ86" si="146">AU85*1.0125</f>
        <v>181.09786248632813</v>
      </c>
      <c r="BA85" s="420"/>
      <c r="BB85" s="420"/>
      <c r="BC85" s="420"/>
      <c r="BD85" s="420"/>
      <c r="BE85" s="415">
        <f t="shared" ref="BE85:BE86" si="147">AZ85*1.0125</f>
        <v>183.36158576740721</v>
      </c>
      <c r="BF85" s="420"/>
      <c r="BG85" s="420"/>
      <c r="BH85" s="420"/>
      <c r="BI85" s="420"/>
      <c r="BJ85" s="415">
        <f t="shared" ref="BJ85:BJ86" si="148">BE85*1.0125</f>
        <v>185.65360558949979</v>
      </c>
      <c r="BK85" s="420"/>
      <c r="BL85" s="420"/>
      <c r="BM85" s="420"/>
      <c r="BN85" s="420"/>
      <c r="BO85" s="415">
        <f t="shared" ref="BO85:BO86" si="149">BJ85*1.0125</f>
        <v>187.97427565936852</v>
      </c>
      <c r="BP85" s="420"/>
      <c r="BQ85" s="420"/>
      <c r="BR85" s="420"/>
      <c r="BS85" s="420"/>
      <c r="BT85" s="415">
        <f t="shared" ref="BT85:BT86" si="150">BO85*1.0125</f>
        <v>190.3239541051106</v>
      </c>
      <c r="BU85" s="420"/>
      <c r="BV85" s="420"/>
      <c r="BW85" s="420"/>
      <c r="BX85" s="420"/>
      <c r="BY85" s="415">
        <f t="shared" ref="BY85:BY86" si="151">BT85*1.0125</f>
        <v>192.70300353142449</v>
      </c>
      <c r="BZ85" s="420"/>
      <c r="CA85" s="420"/>
      <c r="CB85" s="420"/>
      <c r="CC85" s="420"/>
      <c r="CD85" s="415">
        <f t="shared" ref="CD85:CD86" si="152">BY85*1.0125</f>
        <v>195.11179107556728</v>
      </c>
      <c r="CE85" s="420"/>
      <c r="CF85" s="420"/>
      <c r="CG85" s="420"/>
      <c r="CH85" s="420"/>
      <c r="CI85" s="415">
        <f t="shared" ref="CI85:CI86" si="153">CD85*1.0125</f>
        <v>197.55068846401187</v>
      </c>
      <c r="CJ85" s="420"/>
      <c r="CK85" s="420"/>
      <c r="CL85" s="420"/>
      <c r="CM85" s="420"/>
      <c r="CN85" s="415">
        <f t="shared" ref="CN85:CN86" si="154">CI85*1.0125</f>
        <v>200.02007206981202</v>
      </c>
      <c r="CO85" s="420"/>
      <c r="CP85" s="420"/>
      <c r="CQ85" s="420"/>
      <c r="CR85" s="420"/>
      <c r="CS85" s="415">
        <f t="shared" ref="CS85:CS86" si="155">CN85*1.0125</f>
        <v>202.52032297068465</v>
      </c>
      <c r="CT85" s="420"/>
      <c r="CU85" s="420"/>
      <c r="CV85" s="420"/>
      <c r="CW85" s="420"/>
      <c r="CX85" s="415">
        <f t="shared" ref="CX85:CX86" si="156">CS85*1.0125</f>
        <v>205.05182700781819</v>
      </c>
    </row>
    <row r="86" spans="2:110">
      <c r="B86" s="413" t="s">
        <v>387</v>
      </c>
      <c r="C86" s="420">
        <f>+C85</f>
        <v>110.74299999999999</v>
      </c>
      <c r="D86" s="420">
        <v>111.114</v>
      </c>
      <c r="E86" s="420">
        <v>112.29</v>
      </c>
      <c r="F86" s="420">
        <v>114.41500000000001</v>
      </c>
      <c r="G86" s="415">
        <v>112.122</v>
      </c>
      <c r="H86" s="420">
        <v>115.07</v>
      </c>
      <c r="I86" s="420">
        <v>117.91200000000001</v>
      </c>
      <c r="J86" s="420">
        <v>123.434</v>
      </c>
      <c r="K86" s="420">
        <v>124.575</v>
      </c>
      <c r="L86" s="415">
        <v>120.271</v>
      </c>
      <c r="M86" s="420">
        <f>M85</f>
        <v>127.96899999999999</v>
      </c>
      <c r="N86" s="420">
        <f>N85</f>
        <v>139.596</v>
      </c>
      <c r="O86" s="420">
        <f>O85</f>
        <v>140.79599999999999</v>
      </c>
      <c r="P86" s="420">
        <f>P85</f>
        <v>142.852</v>
      </c>
      <c r="Q86" s="415">
        <v>137.755</v>
      </c>
      <c r="R86" s="420">
        <f t="shared" ref="R86:S86" si="157">R85</f>
        <v>144.15700000000001</v>
      </c>
      <c r="S86" s="420">
        <f t="shared" si="157"/>
        <v>146.351</v>
      </c>
      <c r="T86" s="420">
        <f t="shared" ref="T86:U86" si="158">T85</f>
        <v>159.304</v>
      </c>
      <c r="U86" s="420">
        <f t="shared" si="158"/>
        <v>148.202</v>
      </c>
      <c r="V86" s="415">
        <v>146.34899999999999</v>
      </c>
      <c r="W86" s="420">
        <f t="shared" si="140"/>
        <v>157.61199999999999</v>
      </c>
      <c r="X86" s="420">
        <f t="shared" si="140"/>
        <v>160.40600000000001</v>
      </c>
      <c r="Y86" s="420">
        <f t="shared" si="140"/>
        <v>161.13399999999999</v>
      </c>
      <c r="Z86" s="420">
        <f t="shared" si="140"/>
        <v>174.28800000000001</v>
      </c>
      <c r="AA86" s="415">
        <v>160.02500000000001</v>
      </c>
      <c r="AB86" s="420">
        <f t="shared" si="141"/>
        <v>161.548</v>
      </c>
      <c r="AC86" s="420">
        <f t="shared" ref="AC86" si="159">AC85</f>
        <v>162.58699999999999</v>
      </c>
      <c r="AD86" s="420">
        <f t="shared" si="141"/>
        <v>167.714</v>
      </c>
      <c r="AE86" s="420">
        <f>AE85</f>
        <v>172.24</v>
      </c>
      <c r="AF86" s="415">
        <f>(AE86+AD86+AC86+AB86)/4</f>
        <v>166.02224999999999</v>
      </c>
      <c r="AG86" s="420">
        <f>AE86*1.004</f>
        <v>172.92896000000002</v>
      </c>
      <c r="AH86" s="420">
        <f>AH85</f>
        <v>174.374</v>
      </c>
      <c r="AI86" s="420">
        <f>AI85</f>
        <v>175.10300000000001</v>
      </c>
      <c r="AJ86" s="420">
        <f>AJ85</f>
        <v>175.70500000000001</v>
      </c>
      <c r="AK86" s="415">
        <f>(AJ86+AI86+AH86+AG86)/4</f>
        <v>174.52773999999999</v>
      </c>
      <c r="AL86" s="420">
        <f>AP86</f>
        <v>176.70933674999998</v>
      </c>
      <c r="AM86" s="420">
        <f>AL86</f>
        <v>176.70933674999998</v>
      </c>
      <c r="AN86" s="420">
        <f t="shared" ref="AN86:AO86" si="160">AM86</f>
        <v>176.70933674999998</v>
      </c>
      <c r="AO86" s="420">
        <f t="shared" si="160"/>
        <v>176.70933674999998</v>
      </c>
      <c r="AP86" s="415">
        <f t="shared" si="144"/>
        <v>176.70933674999998</v>
      </c>
      <c r="AQ86" s="420"/>
      <c r="AR86" s="420"/>
      <c r="AS86" s="420"/>
      <c r="AT86" s="420"/>
      <c r="AU86" s="415">
        <f t="shared" si="145"/>
        <v>178.91820345937498</v>
      </c>
      <c r="AV86" s="420"/>
      <c r="AW86" s="420"/>
      <c r="AX86" s="420"/>
      <c r="AY86" s="420"/>
      <c r="AZ86" s="415">
        <f t="shared" si="146"/>
        <v>181.15468100261717</v>
      </c>
      <c r="BA86" s="420"/>
      <c r="BB86" s="420"/>
      <c r="BC86" s="420"/>
      <c r="BD86" s="420"/>
      <c r="BE86" s="415">
        <f t="shared" si="147"/>
        <v>183.41911451514989</v>
      </c>
      <c r="BF86" s="420"/>
      <c r="BG86" s="420"/>
      <c r="BH86" s="420"/>
      <c r="BI86" s="420"/>
      <c r="BJ86" s="415">
        <f t="shared" si="148"/>
        <v>185.71185344658926</v>
      </c>
      <c r="BK86" s="420"/>
      <c r="BL86" s="420"/>
      <c r="BM86" s="420"/>
      <c r="BN86" s="420"/>
      <c r="BO86" s="415">
        <f t="shared" si="149"/>
        <v>188.03325161467163</v>
      </c>
      <c r="BP86" s="420"/>
      <c r="BQ86" s="420"/>
      <c r="BR86" s="420"/>
      <c r="BS86" s="420"/>
      <c r="BT86" s="415">
        <f t="shared" si="150"/>
        <v>190.383667259855</v>
      </c>
      <c r="BU86" s="420"/>
      <c r="BV86" s="420"/>
      <c r="BW86" s="420"/>
      <c r="BX86" s="420"/>
      <c r="BY86" s="415">
        <f t="shared" si="151"/>
        <v>192.76346310060319</v>
      </c>
      <c r="BZ86" s="420"/>
      <c r="CA86" s="420"/>
      <c r="CB86" s="420"/>
      <c r="CC86" s="420"/>
      <c r="CD86" s="415">
        <f t="shared" si="152"/>
        <v>195.17300638936072</v>
      </c>
      <c r="CE86" s="420"/>
      <c r="CF86" s="420"/>
      <c r="CG86" s="420"/>
      <c r="CH86" s="420"/>
      <c r="CI86" s="415">
        <f t="shared" si="153"/>
        <v>197.61266896922771</v>
      </c>
      <c r="CJ86" s="420"/>
      <c r="CK86" s="420"/>
      <c r="CL86" s="420"/>
      <c r="CM86" s="420"/>
      <c r="CN86" s="415">
        <f t="shared" si="154"/>
        <v>200.08282733134305</v>
      </c>
      <c r="CO86" s="420"/>
      <c r="CP86" s="420"/>
      <c r="CQ86" s="420"/>
      <c r="CR86" s="420"/>
      <c r="CS86" s="415">
        <f t="shared" si="155"/>
        <v>202.58386267298482</v>
      </c>
      <c r="CT86" s="420"/>
      <c r="CU86" s="420"/>
      <c r="CV86" s="420"/>
      <c r="CW86" s="420"/>
      <c r="CX86" s="415">
        <f t="shared" si="156"/>
        <v>205.11616095639712</v>
      </c>
    </row>
    <row r="87" spans="2:110">
      <c r="G87" s="624"/>
      <c r="H87" s="625"/>
      <c r="I87" s="625"/>
      <c r="J87" s="625"/>
      <c r="K87" s="625"/>
      <c r="L87" s="624"/>
      <c r="M87" s="625"/>
      <c r="N87" s="625"/>
      <c r="O87" s="625"/>
      <c r="P87" s="625"/>
      <c r="Q87" s="624"/>
      <c r="R87" s="625"/>
      <c r="S87" s="625"/>
      <c r="T87" s="625"/>
      <c r="U87" s="625"/>
      <c r="V87" s="624"/>
      <c r="W87" s="625"/>
      <c r="X87" s="625"/>
      <c r="Y87" s="625"/>
      <c r="Z87" s="625"/>
      <c r="AA87" s="624"/>
      <c r="AB87" s="625"/>
      <c r="AC87" s="625"/>
      <c r="AD87" s="625"/>
      <c r="AE87" s="625"/>
      <c r="AF87" s="624"/>
      <c r="AG87" s="625"/>
      <c r="AH87" s="625"/>
      <c r="AI87" s="625"/>
      <c r="AJ87" s="625"/>
      <c r="AK87" s="624"/>
      <c r="AL87" s="625"/>
      <c r="AM87" s="625"/>
      <c r="AN87" s="625"/>
      <c r="AO87" s="625"/>
      <c r="AP87" s="624"/>
      <c r="AQ87" s="625"/>
      <c r="AR87" s="625"/>
      <c r="AS87" s="625"/>
      <c r="AT87" s="625"/>
      <c r="AU87" s="624"/>
      <c r="AV87" s="625"/>
      <c r="AW87" s="625"/>
      <c r="AX87" s="625"/>
      <c r="AY87" s="625"/>
      <c r="AZ87" s="624"/>
      <c r="BA87" s="625"/>
      <c r="BB87" s="625"/>
      <c r="BC87" s="625"/>
      <c r="BD87" s="625"/>
      <c r="BE87" s="624"/>
      <c r="BF87" s="625"/>
      <c r="BG87" s="625"/>
      <c r="BH87" s="625"/>
      <c r="BI87" s="625"/>
      <c r="BJ87" s="624"/>
      <c r="BK87" s="625"/>
      <c r="BL87" s="625"/>
      <c r="BM87" s="625"/>
      <c r="BN87" s="625"/>
      <c r="BO87" s="624"/>
      <c r="BP87" s="625"/>
      <c r="BQ87" s="625"/>
      <c r="BR87" s="625"/>
      <c r="BS87" s="625"/>
      <c r="BT87" s="624"/>
      <c r="BU87" s="625"/>
      <c r="BV87" s="625"/>
      <c r="BW87" s="625"/>
      <c r="BX87" s="625"/>
      <c r="BY87" s="624"/>
      <c r="BZ87" s="625"/>
      <c r="CA87" s="625"/>
      <c r="CB87" s="625"/>
      <c r="CC87" s="625"/>
      <c r="CD87" s="624"/>
      <c r="CE87" s="625"/>
      <c r="CF87" s="625"/>
      <c r="CG87" s="625"/>
      <c r="CH87" s="625"/>
      <c r="CI87" s="624"/>
      <c r="CJ87" s="625"/>
      <c r="CK87" s="625"/>
      <c r="CL87" s="625"/>
      <c r="CM87" s="625"/>
      <c r="CN87" s="624"/>
      <c r="CO87" s="625"/>
      <c r="CP87" s="625"/>
      <c r="CQ87" s="625"/>
      <c r="CR87" s="625"/>
      <c r="CS87" s="624"/>
      <c r="CT87" s="625"/>
      <c r="CU87" s="625"/>
      <c r="CV87" s="625"/>
      <c r="CW87" s="625"/>
      <c r="CX87" s="624"/>
    </row>
    <row r="88" spans="2:110" ht="14.25" hidden="1" thickBot="1">
      <c r="B88" s="193" t="s">
        <v>50</v>
      </c>
      <c r="C88" s="194"/>
      <c r="D88" s="194"/>
      <c r="E88" s="194"/>
      <c r="F88" s="194"/>
      <c r="G88" s="195"/>
      <c r="H88" s="194"/>
      <c r="I88" s="194"/>
      <c r="J88" s="194"/>
      <c r="K88" s="194"/>
      <c r="L88" s="195"/>
      <c r="M88" s="194"/>
      <c r="N88" s="194"/>
      <c r="O88" s="194"/>
      <c r="P88" s="194"/>
      <c r="Q88" s="195"/>
      <c r="R88" s="194"/>
      <c r="S88" s="194"/>
      <c r="T88" s="194"/>
      <c r="U88" s="194"/>
      <c r="V88" s="195"/>
      <c r="W88" s="194"/>
      <c r="X88" s="194"/>
      <c r="Y88" s="194"/>
      <c r="Z88" s="194"/>
      <c r="AA88" s="195"/>
      <c r="AB88" s="194"/>
      <c r="AC88" s="194"/>
      <c r="AD88" s="194"/>
      <c r="AE88" s="194"/>
      <c r="AF88" s="195"/>
      <c r="AG88" s="194"/>
      <c r="AH88" s="194"/>
      <c r="AI88" s="194"/>
      <c r="AJ88" s="194"/>
      <c r="AK88" s="195"/>
      <c r="AL88" s="194"/>
      <c r="AM88" s="194"/>
      <c r="AN88" s="194"/>
      <c r="AO88" s="194"/>
      <c r="AP88" s="195"/>
      <c r="AQ88" s="194"/>
      <c r="AR88" s="194"/>
      <c r="AS88" s="194"/>
      <c r="AT88" s="194"/>
      <c r="AU88" s="195"/>
      <c r="AV88" s="194"/>
      <c r="AW88" s="194"/>
      <c r="AX88" s="194"/>
      <c r="AY88" s="194"/>
      <c r="AZ88" s="195"/>
      <c r="BA88" s="194"/>
      <c r="BB88" s="194"/>
      <c r="BC88" s="194"/>
      <c r="BD88" s="194"/>
      <c r="BE88" s="195"/>
      <c r="BF88" s="194"/>
      <c r="BG88" s="194"/>
      <c r="BH88" s="194"/>
      <c r="BI88" s="194"/>
      <c r="BJ88" s="195"/>
      <c r="BK88" s="194"/>
      <c r="BL88" s="194"/>
      <c r="BM88" s="194"/>
      <c r="BN88" s="194"/>
      <c r="BO88" s="195"/>
      <c r="BP88" s="194"/>
      <c r="BQ88" s="194"/>
      <c r="BR88" s="194"/>
      <c r="BS88" s="194"/>
      <c r="BT88" s="195"/>
      <c r="BU88" s="194"/>
      <c r="BV88" s="194"/>
      <c r="BW88" s="194"/>
      <c r="BX88" s="194"/>
      <c r="BY88" s="195"/>
      <c r="BZ88" s="194"/>
      <c r="CA88" s="194"/>
      <c r="CB88" s="194"/>
      <c r="CC88" s="194"/>
      <c r="CD88" s="195"/>
      <c r="CE88" s="194"/>
      <c r="CF88" s="194"/>
      <c r="CG88" s="194"/>
      <c r="CH88" s="194"/>
      <c r="CI88" s="195"/>
      <c r="CJ88" s="194"/>
      <c r="CK88" s="194"/>
      <c r="CL88" s="194"/>
      <c r="CM88" s="194"/>
      <c r="CN88" s="195"/>
      <c r="CO88" s="194"/>
      <c r="CP88" s="194"/>
      <c r="CQ88" s="194"/>
      <c r="CR88" s="194"/>
      <c r="CS88" s="195"/>
      <c r="CT88" s="194"/>
      <c r="CU88" s="194"/>
      <c r="CV88" s="194"/>
      <c r="CW88" s="194"/>
      <c r="CX88" s="195"/>
    </row>
    <row r="89" spans="2:110" hidden="1">
      <c r="B89" s="413" t="s">
        <v>44</v>
      </c>
      <c r="C89" s="420">
        <f t="shared" ref="C89:D89" si="161">C123</f>
        <v>-4.4480000000000217</v>
      </c>
      <c r="D89" s="420">
        <f t="shared" si="161"/>
        <v>-5.0989999999999878</v>
      </c>
      <c r="E89" s="420">
        <f t="shared" ref="E89:F89" si="162">E123</f>
        <v>-17.584999999999994</v>
      </c>
      <c r="F89" s="420">
        <f t="shared" si="162"/>
        <v>-26.589000000000013</v>
      </c>
      <c r="G89" s="415">
        <f t="shared" ref="G89:H89" si="163">G123</f>
        <v>-53.721000000000018</v>
      </c>
      <c r="H89" s="420">
        <f t="shared" si="163"/>
        <v>-24.000000000000007</v>
      </c>
      <c r="I89" s="420">
        <f t="shared" ref="I89:J89" si="164">I123</f>
        <v>-32.027999999999984</v>
      </c>
      <c r="J89" s="420">
        <f t="shared" si="164"/>
        <v>-5.402000000000017</v>
      </c>
      <c r="K89" s="420">
        <f t="shared" ref="K89" si="165">K123</f>
        <v>-53.028999999999996</v>
      </c>
      <c r="L89" s="415">
        <f t="shared" ref="L89" si="166">L123</f>
        <v>-114.459</v>
      </c>
      <c r="M89" s="420">
        <f t="shared" ref="M89:N89" si="167">M123</f>
        <v>-39.79</v>
      </c>
      <c r="N89" s="420">
        <f t="shared" si="167"/>
        <v>-21.537999999999993</v>
      </c>
      <c r="O89" s="420">
        <f t="shared" ref="O89:P89" si="168">O123</f>
        <v>-53.031999999999996</v>
      </c>
      <c r="P89" s="420">
        <f t="shared" si="168"/>
        <v>-61.965999999999973</v>
      </c>
      <c r="Q89" s="415">
        <f t="shared" ref="Q89" si="169">Q123</f>
        <v>-176.32599999999994</v>
      </c>
      <c r="R89" s="420">
        <f t="shared" ref="R89:S89" si="170">R123</f>
        <v>-38.140999999999991</v>
      </c>
      <c r="S89" s="420">
        <f t="shared" si="170"/>
        <v>-33.173999999999985</v>
      </c>
      <c r="T89" s="420">
        <f t="shared" ref="T89:V89" si="171">T123</f>
        <v>7.0399999999999885</v>
      </c>
      <c r="U89" s="420">
        <f t="shared" si="171"/>
        <v>-69.911999999999978</v>
      </c>
      <c r="V89" s="415">
        <f t="shared" si="171"/>
        <v>-134.18699999999995</v>
      </c>
      <c r="W89" s="420">
        <f t="shared" ref="W89:AA89" si="172">W123</f>
        <v>-74.456999999999965</v>
      </c>
      <c r="X89" s="420">
        <f t="shared" si="172"/>
        <v>-71.927999999999997</v>
      </c>
      <c r="Y89" s="420">
        <f t="shared" si="172"/>
        <v>-81.186000000000035</v>
      </c>
      <c r="Z89" s="420">
        <f t="shared" si="172"/>
        <v>75.519999999999982</v>
      </c>
      <c r="AA89" s="415">
        <f t="shared" si="172"/>
        <v>-152.05100000000002</v>
      </c>
      <c r="AB89" s="420">
        <f>AB123</f>
        <v>-85.06100000000005</v>
      </c>
      <c r="AC89" s="420">
        <f t="shared" ref="AC89:AJ89" si="173">AC123</f>
        <v>-412.02499999999998</v>
      </c>
      <c r="AD89" s="420">
        <f t="shared" si="173"/>
        <v>-18.86999999999999</v>
      </c>
      <c r="AE89" s="420">
        <f t="shared" si="173"/>
        <v>-90.995000000000033</v>
      </c>
      <c r="AF89" s="415">
        <f t="shared" ref="AF89" si="174">AF123</f>
        <v>-606.95100000000002</v>
      </c>
      <c r="AG89" s="420">
        <f t="shared" si="173"/>
        <v>-6.2919999999999874</v>
      </c>
      <c r="AH89" s="420">
        <f t="shared" si="173"/>
        <v>-36.865999999999985</v>
      </c>
      <c r="AI89" s="420">
        <f t="shared" si="173"/>
        <v>-12.475000000000026</v>
      </c>
      <c r="AJ89" s="420">
        <f t="shared" si="173"/>
        <v>-51.483999999999924</v>
      </c>
      <c r="AK89" s="415">
        <f t="shared" ref="AK89" si="175">AK123</f>
        <v>-107.14300000000007</v>
      </c>
      <c r="AL89" s="420"/>
      <c r="AM89" s="420"/>
      <c r="AN89" s="420"/>
      <c r="AO89" s="420"/>
      <c r="AP89" s="415">
        <f t="shared" ref="AP89" si="176">AP123</f>
        <v>-178.37538489318837</v>
      </c>
      <c r="AQ89" s="420"/>
      <c r="AR89" s="420"/>
      <c r="AS89" s="420"/>
      <c r="AT89" s="420"/>
      <c r="AU89" s="415">
        <f t="shared" ref="AU89" si="177">AU123</f>
        <v>-132.0550857050917</v>
      </c>
      <c r="AV89" s="420"/>
      <c r="AW89" s="420"/>
      <c r="AX89" s="420"/>
      <c r="AY89" s="420"/>
      <c r="AZ89" s="415">
        <f t="shared" ref="AZ89" si="178">AZ123</f>
        <v>15.507533251127995</v>
      </c>
      <c r="BA89" s="420"/>
      <c r="BB89" s="420"/>
      <c r="BC89" s="420"/>
      <c r="BD89" s="420"/>
      <c r="BE89" s="415">
        <f t="shared" ref="BE89" si="179">BE123</f>
        <v>219.92742857831655</v>
      </c>
      <c r="BF89" s="420"/>
      <c r="BG89" s="420"/>
      <c r="BH89" s="420"/>
      <c r="BI89" s="420"/>
      <c r="BJ89" s="415">
        <f t="shared" ref="BJ89" si="180">BJ123</f>
        <v>427.40998228884285</v>
      </c>
      <c r="BK89" s="420"/>
      <c r="BL89" s="420"/>
      <c r="BM89" s="420"/>
      <c r="BN89" s="420"/>
      <c r="BO89" s="415">
        <f t="shared" ref="BO89" si="181">BO123</f>
        <v>647.62888474462102</v>
      </c>
      <c r="BP89" s="420"/>
      <c r="BQ89" s="420"/>
      <c r="BR89" s="420"/>
      <c r="BS89" s="420"/>
      <c r="BT89" s="415">
        <f t="shared" ref="BT89" si="182">BT123</f>
        <v>951.92750271350474</v>
      </c>
      <c r="BU89" s="420"/>
      <c r="BV89" s="420"/>
      <c r="BW89" s="420"/>
      <c r="BX89" s="420"/>
      <c r="BY89" s="415">
        <f t="shared" ref="BY89" si="183">BY123</f>
        <v>1239.0677211837997</v>
      </c>
      <c r="BZ89" s="420"/>
      <c r="CA89" s="420"/>
      <c r="CB89" s="420"/>
      <c r="CC89" s="420"/>
      <c r="CD89" s="415">
        <f t="shared" ref="CD89" si="184">CD123</f>
        <v>1503.9185993039973</v>
      </c>
      <c r="CE89" s="420"/>
      <c r="CF89" s="420"/>
      <c r="CG89" s="420"/>
      <c r="CH89" s="420"/>
      <c r="CI89" s="415">
        <f t="shared" ref="CI89" si="185">CI123</f>
        <v>1726.0932249835823</v>
      </c>
      <c r="CJ89" s="420"/>
      <c r="CK89" s="420"/>
      <c r="CL89" s="420"/>
      <c r="CM89" s="420"/>
      <c r="CN89" s="415">
        <f t="shared" ref="CN89" si="186">CN123</f>
        <v>1873.8176179026525</v>
      </c>
      <c r="CO89" s="420"/>
      <c r="CP89" s="420"/>
      <c r="CQ89" s="420"/>
      <c r="CR89" s="420"/>
      <c r="CS89" s="415">
        <f t="shared" ref="CS89" si="187">CS123</f>
        <v>2035.6375352478258</v>
      </c>
      <c r="CT89" s="420"/>
      <c r="CU89" s="420"/>
      <c r="CV89" s="420"/>
      <c r="CW89" s="420"/>
      <c r="CX89" s="415">
        <f t="shared" ref="CX89" si="188">CX123</f>
        <v>2191.8045745033146</v>
      </c>
    </row>
    <row r="90" spans="2:110" hidden="1">
      <c r="B90" s="196" t="s">
        <v>428</v>
      </c>
      <c r="C90" s="420">
        <f t="shared" ref="C90:D90" si="189">C109</f>
        <v>1.4</v>
      </c>
      <c r="D90" s="420">
        <f t="shared" si="189"/>
        <v>1.3</v>
      </c>
      <c r="E90" s="420">
        <f t="shared" ref="E90:F90" si="190">E109</f>
        <v>1.4</v>
      </c>
      <c r="F90" s="420">
        <f t="shared" si="190"/>
        <v>1.1000000000000001</v>
      </c>
      <c r="G90" s="415">
        <f t="shared" ref="G90:H90" si="191">G109</f>
        <v>5.1999999999999993</v>
      </c>
      <c r="H90" s="420">
        <f t="shared" si="191"/>
        <v>1.4</v>
      </c>
      <c r="I90" s="420">
        <f t="shared" ref="I90:J90" si="192">I109</f>
        <v>1.4</v>
      </c>
      <c r="J90" s="420">
        <f t="shared" si="192"/>
        <v>1.1000000000000001</v>
      </c>
      <c r="K90" s="420">
        <f t="shared" ref="K90" si="193">K109</f>
        <v>1.2</v>
      </c>
      <c r="L90" s="415">
        <f t="shared" ref="L90" si="194">L109</f>
        <v>5.0999999999999996</v>
      </c>
      <c r="M90" s="420">
        <f t="shared" ref="M90:N90" si="195">M109</f>
        <v>1.0070000000000001</v>
      </c>
      <c r="N90" s="420">
        <f t="shared" si="195"/>
        <v>0</v>
      </c>
      <c r="O90" s="420">
        <f t="shared" ref="O90:P90" si="196">O109</f>
        <v>0</v>
      </c>
      <c r="P90" s="420">
        <f t="shared" si="196"/>
        <v>6.5</v>
      </c>
      <c r="Q90" s="415">
        <f t="shared" ref="Q90" si="197">Q109</f>
        <v>7.5069999999999997</v>
      </c>
      <c r="R90" s="420">
        <f t="shared" ref="R90:S90" si="198">R109</f>
        <v>8</v>
      </c>
      <c r="S90" s="420">
        <f t="shared" si="198"/>
        <v>7.5</v>
      </c>
      <c r="T90" s="420">
        <f>T109</f>
        <v>7.7</v>
      </c>
      <c r="U90" s="420">
        <f>U109</f>
        <v>7.6</v>
      </c>
      <c r="V90" s="415">
        <f>V109</f>
        <v>30.799999999999997</v>
      </c>
      <c r="W90" s="420">
        <f t="shared" ref="W90:AA90" si="199">W109</f>
        <v>8.7789999999999999</v>
      </c>
      <c r="X90" s="420">
        <f t="shared" si="199"/>
        <v>8.979000000000001</v>
      </c>
      <c r="Y90" s="420">
        <f t="shared" si="199"/>
        <v>8.1029999999999998</v>
      </c>
      <c r="Z90" s="420">
        <f t="shared" si="199"/>
        <v>7.8</v>
      </c>
      <c r="AA90" s="415">
        <f t="shared" si="199"/>
        <v>33.661000000000001</v>
      </c>
      <c r="AB90" s="420">
        <f>AB109</f>
        <v>8.1999999999999993</v>
      </c>
      <c r="AC90" s="420">
        <f t="shared" ref="AC90:AD90" si="200">AC109</f>
        <v>8.5870000000000015</v>
      </c>
      <c r="AD90" s="420">
        <f t="shared" si="200"/>
        <v>8.3470000000000013</v>
      </c>
      <c r="AE90" s="420">
        <f>AE109</f>
        <v>7</v>
      </c>
      <c r="AF90" s="415">
        <f>AE90+AD90+AC90+AB90</f>
        <v>32.134</v>
      </c>
      <c r="AG90" s="420">
        <f t="shared" ref="AG90:AJ90" si="201">AG109</f>
        <v>6.9</v>
      </c>
      <c r="AH90" s="420">
        <f t="shared" si="201"/>
        <v>7.0569999999999986</v>
      </c>
      <c r="AI90" s="420">
        <f t="shared" si="201"/>
        <v>6.9080000000000004</v>
      </c>
      <c r="AJ90" s="420">
        <f t="shared" si="201"/>
        <v>6.8419999999999996</v>
      </c>
      <c r="AK90" s="415">
        <f>AK109</f>
        <v>27.707000000000001</v>
      </c>
      <c r="AL90" s="420"/>
      <c r="AM90" s="420"/>
      <c r="AN90" s="420"/>
      <c r="AO90" s="420"/>
      <c r="AP90" s="415">
        <f>AP109</f>
        <v>30.148804999999989</v>
      </c>
      <c r="AQ90" s="420"/>
      <c r="AR90" s="420"/>
      <c r="AS90" s="420"/>
      <c r="AT90" s="420"/>
      <c r="AU90" s="415">
        <f>AU109</f>
        <v>15.377907949436004</v>
      </c>
      <c r="AV90" s="420"/>
      <c r="AW90" s="420"/>
      <c r="AX90" s="420"/>
      <c r="AY90" s="420"/>
      <c r="AZ90" s="415">
        <f>AZ109</f>
        <v>13.925599141768533</v>
      </c>
      <c r="BA90" s="420"/>
      <c r="BB90" s="420"/>
      <c r="BC90" s="420"/>
      <c r="BD90" s="420"/>
      <c r="BE90" s="415">
        <f>BE109</f>
        <v>-2.9194618560977328</v>
      </c>
      <c r="BF90" s="420"/>
      <c r="BG90" s="420"/>
      <c r="BH90" s="420"/>
      <c r="BI90" s="420"/>
      <c r="BJ90" s="415">
        <f>BJ109</f>
        <v>-4.5147070422104836</v>
      </c>
      <c r="BK90" s="420"/>
      <c r="BL90" s="420"/>
      <c r="BM90" s="420"/>
      <c r="BN90" s="420"/>
      <c r="BO90" s="415">
        <f>BO109</f>
        <v>-7.335058204339802</v>
      </c>
      <c r="BP90" s="420"/>
      <c r="BQ90" s="420"/>
      <c r="BR90" s="420"/>
      <c r="BS90" s="420"/>
      <c r="BT90" s="415">
        <f>BT109</f>
        <v>-13.191984062819401</v>
      </c>
      <c r="BU90" s="420"/>
      <c r="BV90" s="420"/>
      <c r="BW90" s="420"/>
      <c r="BX90" s="420"/>
      <c r="BY90" s="415">
        <f>BY109</f>
        <v>-18.117195511725949</v>
      </c>
      <c r="BZ90" s="420"/>
      <c r="CA90" s="420"/>
      <c r="CB90" s="420"/>
      <c r="CC90" s="420"/>
      <c r="CD90" s="415">
        <f>CD109</f>
        <v>-25.286816886817007</v>
      </c>
      <c r="CE90" s="420"/>
      <c r="CF90" s="420"/>
      <c r="CG90" s="420"/>
      <c r="CH90" s="420"/>
      <c r="CI90" s="415">
        <f>CI109</f>
        <v>-33.870118868800098</v>
      </c>
      <c r="CJ90" s="420"/>
      <c r="CK90" s="420"/>
      <c r="CL90" s="420"/>
      <c r="CM90" s="420"/>
      <c r="CN90" s="415">
        <f>CN109</f>
        <v>-43.715211666489658</v>
      </c>
      <c r="CO90" s="420"/>
      <c r="CP90" s="420"/>
      <c r="CQ90" s="420"/>
      <c r="CR90" s="420"/>
      <c r="CS90" s="415">
        <f>CS109</f>
        <v>-53.376756202176203</v>
      </c>
      <c r="CT90" s="420"/>
      <c r="CU90" s="420"/>
      <c r="CV90" s="420"/>
      <c r="CW90" s="420"/>
      <c r="CX90" s="415">
        <f>CX109</f>
        <v>-64.72920055431743</v>
      </c>
    </row>
    <row r="91" spans="2:110" hidden="1">
      <c r="B91" s="197" t="s">
        <v>47</v>
      </c>
      <c r="C91" s="420">
        <f t="shared" ref="C91:D91" si="202">C112</f>
        <v>4.8</v>
      </c>
      <c r="D91" s="420">
        <f t="shared" si="202"/>
        <v>3.9</v>
      </c>
      <c r="E91" s="420">
        <f t="shared" ref="E91:F91" si="203">E112</f>
        <v>-2.1</v>
      </c>
      <c r="F91" s="420">
        <f t="shared" si="203"/>
        <v>3.6190000000000002</v>
      </c>
      <c r="G91" s="415">
        <f t="shared" ref="G91:H91" si="204">G112</f>
        <v>10.218999999999999</v>
      </c>
      <c r="H91" s="420">
        <f t="shared" si="204"/>
        <v>0</v>
      </c>
      <c r="I91" s="420">
        <f t="shared" ref="I91:J91" si="205">I112</f>
        <v>-0.4</v>
      </c>
      <c r="J91" s="420">
        <f t="shared" si="205"/>
        <v>-6.4</v>
      </c>
      <c r="K91" s="420">
        <f t="shared" ref="K91" si="206">K112</f>
        <v>2.9</v>
      </c>
      <c r="L91" s="415">
        <f t="shared" ref="L91" si="207">L112</f>
        <v>-3.9000000000000008</v>
      </c>
      <c r="M91" s="420">
        <f t="shared" ref="M91:N91" si="208">M112</f>
        <v>-4.7110000000000003</v>
      </c>
      <c r="N91" s="420">
        <f t="shared" si="208"/>
        <v>1.2</v>
      </c>
      <c r="O91" s="420">
        <f t="shared" ref="O91:P91" si="209">O112</f>
        <v>0.7</v>
      </c>
      <c r="P91" s="420">
        <f t="shared" si="209"/>
        <v>2.6</v>
      </c>
      <c r="Q91" s="415">
        <f t="shared" ref="Q91" si="210">Q112</f>
        <v>-0.21099999999999985</v>
      </c>
      <c r="R91" s="420">
        <f t="shared" ref="R91:S91" si="211">R112</f>
        <v>3.5</v>
      </c>
      <c r="S91" s="420">
        <f t="shared" si="211"/>
        <v>5.8</v>
      </c>
      <c r="T91" s="420">
        <f t="shared" ref="T91:U91" si="212">T112</f>
        <v>-4.2</v>
      </c>
      <c r="U91" s="420">
        <f t="shared" si="212"/>
        <v>4.0999999999999996</v>
      </c>
      <c r="V91" s="415">
        <f t="shared" ref="V91" si="213">V112</f>
        <v>9.1999999999999993</v>
      </c>
      <c r="W91" s="420">
        <f t="shared" ref="W91:AA91" si="214">W112</f>
        <v>-7.2</v>
      </c>
      <c r="X91" s="420">
        <f t="shared" si="214"/>
        <v>-0.6</v>
      </c>
      <c r="Y91" s="420">
        <f t="shared" si="214"/>
        <v>0.5</v>
      </c>
      <c r="Z91" s="420">
        <f t="shared" si="214"/>
        <v>24.3</v>
      </c>
      <c r="AA91" s="415">
        <f t="shared" si="214"/>
        <v>17</v>
      </c>
      <c r="AB91" s="420">
        <f>AB112</f>
        <v>-4</v>
      </c>
      <c r="AC91" s="420">
        <f t="shared" ref="AC91" si="215">AC112</f>
        <v>-159.4</v>
      </c>
      <c r="AD91" s="420">
        <f>AD112</f>
        <v>-24</v>
      </c>
      <c r="AE91" s="420">
        <f>AE112</f>
        <v>-1</v>
      </c>
      <c r="AF91" s="415">
        <f>AE91+AD91+AC91+AB91</f>
        <v>-188.4</v>
      </c>
      <c r="AG91" s="420">
        <f t="shared" ref="AG91:AJ91" si="216">AG112</f>
        <v>-8.016</v>
      </c>
      <c r="AH91" s="420">
        <f t="shared" si="216"/>
        <v>-8.7129999999999992</v>
      </c>
      <c r="AI91" s="420">
        <f t="shared" si="216"/>
        <v>-8.0939999999999994</v>
      </c>
      <c r="AJ91" s="420">
        <f t="shared" si="216"/>
        <v>105.99</v>
      </c>
      <c r="AK91" s="415">
        <f>AK112</f>
        <v>81.167000000000002</v>
      </c>
      <c r="AL91" s="420"/>
      <c r="AM91" s="420"/>
      <c r="AN91" s="420"/>
      <c r="AO91" s="420"/>
      <c r="AP91" s="415">
        <f>AP112</f>
        <v>0</v>
      </c>
      <c r="AQ91" s="420"/>
      <c r="AR91" s="420"/>
      <c r="AS91" s="420"/>
      <c r="AT91" s="420"/>
      <c r="AU91" s="415">
        <f>AU112</f>
        <v>0</v>
      </c>
      <c r="AV91" s="420"/>
      <c r="AW91" s="420"/>
      <c r="AX91" s="420"/>
      <c r="AY91" s="420"/>
      <c r="AZ91" s="415">
        <f>AZ112</f>
        <v>0</v>
      </c>
      <c r="BA91" s="420"/>
      <c r="BB91" s="420"/>
      <c r="BC91" s="420"/>
      <c r="BD91" s="420"/>
      <c r="BE91" s="415">
        <f>BE112</f>
        <v>0</v>
      </c>
      <c r="BF91" s="420"/>
      <c r="BG91" s="420"/>
      <c r="BH91" s="420"/>
      <c r="BI91" s="420"/>
      <c r="BJ91" s="415">
        <f>BJ112</f>
        <v>0</v>
      </c>
      <c r="BK91" s="420"/>
      <c r="BL91" s="420"/>
      <c r="BM91" s="420"/>
      <c r="BN91" s="420"/>
      <c r="BO91" s="415">
        <f>BO112</f>
        <v>0</v>
      </c>
      <c r="BP91" s="420"/>
      <c r="BQ91" s="420"/>
      <c r="BR91" s="420"/>
      <c r="BS91" s="420"/>
      <c r="BT91" s="415">
        <f>BT112</f>
        <v>0</v>
      </c>
      <c r="BU91" s="420"/>
      <c r="BV91" s="420"/>
      <c r="BW91" s="420"/>
      <c r="BX91" s="420"/>
      <c r="BY91" s="415">
        <f>BY112</f>
        <v>0</v>
      </c>
      <c r="BZ91" s="420"/>
      <c r="CA91" s="420"/>
      <c r="CB91" s="420"/>
      <c r="CC91" s="420"/>
      <c r="CD91" s="415">
        <f>CD112</f>
        <v>0</v>
      </c>
      <c r="CE91" s="420"/>
      <c r="CF91" s="420"/>
      <c r="CG91" s="420"/>
      <c r="CH91" s="420"/>
      <c r="CI91" s="415">
        <f>CI112</f>
        <v>0</v>
      </c>
      <c r="CJ91" s="420"/>
      <c r="CK91" s="420"/>
      <c r="CL91" s="420"/>
      <c r="CM91" s="420"/>
      <c r="CN91" s="415">
        <f>CN112</f>
        <v>0</v>
      </c>
      <c r="CO91" s="420"/>
      <c r="CP91" s="420"/>
      <c r="CQ91" s="420"/>
      <c r="CR91" s="420"/>
      <c r="CS91" s="415">
        <f>CS112</f>
        <v>0</v>
      </c>
      <c r="CT91" s="420"/>
      <c r="CU91" s="420"/>
      <c r="CV91" s="420"/>
      <c r="CW91" s="420"/>
      <c r="CX91" s="415">
        <f>CX112</f>
        <v>0</v>
      </c>
    </row>
    <row r="92" spans="2:110" hidden="1">
      <c r="B92" s="197" t="s">
        <v>45</v>
      </c>
      <c r="C92" s="420">
        <f t="shared" ref="C92:D92" si="217">C114</f>
        <v>4.7</v>
      </c>
      <c r="D92" s="420">
        <f t="shared" si="217"/>
        <v>6.3</v>
      </c>
      <c r="E92" s="420">
        <f t="shared" ref="E92:F92" si="218">E114</f>
        <v>6</v>
      </c>
      <c r="F92" s="420">
        <f t="shared" si="218"/>
        <v>5.7</v>
      </c>
      <c r="G92" s="415">
        <f t="shared" ref="G92:H92" si="219">G114</f>
        <v>22.7</v>
      </c>
      <c r="H92" s="420">
        <f t="shared" si="219"/>
        <v>7.3</v>
      </c>
      <c r="I92" s="420">
        <f t="shared" ref="I92:J92" si="220">I114</f>
        <v>7.2</v>
      </c>
      <c r="J92" s="420">
        <f t="shared" si="220"/>
        <v>6.4</v>
      </c>
      <c r="K92" s="420">
        <f t="shared" ref="K92" si="221">K114</f>
        <v>6.6</v>
      </c>
      <c r="L92" s="415">
        <f t="shared" ref="L92" si="222">L114</f>
        <v>27.5</v>
      </c>
      <c r="M92" s="420">
        <f t="shared" ref="M92:N92" si="223">M114</f>
        <v>6.1</v>
      </c>
      <c r="N92" s="420">
        <f t="shared" si="223"/>
        <v>6.6</v>
      </c>
      <c r="O92" s="420">
        <f t="shared" ref="O92:P92" si="224">O114</f>
        <v>6.3</v>
      </c>
      <c r="P92" s="420">
        <f t="shared" si="224"/>
        <v>6.4</v>
      </c>
      <c r="Q92" s="415">
        <f t="shared" ref="Q92" si="225">Q114</f>
        <v>25.4</v>
      </c>
      <c r="R92" s="420">
        <f t="shared" ref="R92:S92" si="226">R114</f>
        <v>6.7</v>
      </c>
      <c r="S92" s="420">
        <f t="shared" si="226"/>
        <v>7.9</v>
      </c>
      <c r="T92" s="420">
        <f t="shared" ref="T92:U92" si="227">T114</f>
        <v>8.6</v>
      </c>
      <c r="U92" s="420">
        <f t="shared" si="227"/>
        <v>10</v>
      </c>
      <c r="V92" s="415">
        <f>V114</f>
        <v>33.200000000000003</v>
      </c>
      <c r="W92" s="420">
        <f t="shared" ref="W92:AA92" si="228">W114</f>
        <v>7.9</v>
      </c>
      <c r="X92" s="420">
        <f t="shared" si="228"/>
        <v>8.5</v>
      </c>
      <c r="Y92" s="420">
        <f t="shared" si="228"/>
        <v>9.1</v>
      </c>
      <c r="Z92" s="420">
        <f t="shared" si="228"/>
        <v>10.1</v>
      </c>
      <c r="AA92" s="415">
        <f t="shared" si="228"/>
        <v>35.6</v>
      </c>
      <c r="AB92" s="420">
        <f>AB114</f>
        <v>13.1</v>
      </c>
      <c r="AC92" s="420">
        <f t="shared" ref="AC92:AD92" si="229">AC114</f>
        <v>11.9</v>
      </c>
      <c r="AD92" s="420">
        <f t="shared" si="229"/>
        <v>18.8</v>
      </c>
      <c r="AE92" s="420">
        <f>AE114</f>
        <v>14</v>
      </c>
      <c r="AF92" s="415">
        <f>AE92+AD92+AC92+AB92</f>
        <v>57.8</v>
      </c>
      <c r="AG92" s="420">
        <f t="shared" ref="AG92:AJ92" si="230">AG114</f>
        <v>12</v>
      </c>
      <c r="AH92" s="420">
        <f t="shared" si="230"/>
        <v>11.7</v>
      </c>
      <c r="AI92" s="420">
        <f t="shared" si="230"/>
        <v>13.3</v>
      </c>
      <c r="AJ92" s="420">
        <f t="shared" si="230"/>
        <v>14.8</v>
      </c>
      <c r="AK92" s="415">
        <f>AK114</f>
        <v>51.8</v>
      </c>
      <c r="AL92" s="420"/>
      <c r="AM92" s="420"/>
      <c r="AN92" s="420"/>
      <c r="AO92" s="420"/>
      <c r="AP92" s="415">
        <f>AP114</f>
        <v>47.81805605218694</v>
      </c>
      <c r="AQ92" s="420"/>
      <c r="AR92" s="420"/>
      <c r="AS92" s="420"/>
      <c r="AT92" s="420"/>
      <c r="AU92" s="415">
        <f>AU114</f>
        <v>52.853284190477915</v>
      </c>
      <c r="AV92" s="420"/>
      <c r="AW92" s="420"/>
      <c r="AX92" s="420"/>
      <c r="AY92" s="420"/>
      <c r="AZ92" s="415">
        <f>AZ114</f>
        <v>57.641685045340715</v>
      </c>
      <c r="BA92" s="420"/>
      <c r="BB92" s="420"/>
      <c r="BC92" s="420"/>
      <c r="BD92" s="420"/>
      <c r="BE92" s="415">
        <f>BE114</f>
        <v>62.212225109192403</v>
      </c>
      <c r="BF92" s="420"/>
      <c r="BG92" s="420"/>
      <c r="BH92" s="420"/>
      <c r="BI92" s="420"/>
      <c r="BJ92" s="415">
        <f>BJ114</f>
        <v>66.609227653936571</v>
      </c>
      <c r="BK92" s="420"/>
      <c r="BL92" s="420"/>
      <c r="BM92" s="420"/>
      <c r="BN92" s="420"/>
      <c r="BO92" s="415">
        <f>BO114</f>
        <v>76.557588133858047</v>
      </c>
      <c r="BP92" s="420"/>
      <c r="BQ92" s="420"/>
      <c r="BR92" s="420"/>
      <c r="BS92" s="420"/>
      <c r="BT92" s="415">
        <f>BT114</f>
        <v>67.414518892061054</v>
      </c>
      <c r="BU92" s="420"/>
      <c r="BV92" s="420"/>
      <c r="BW92" s="420"/>
      <c r="BX92" s="420"/>
      <c r="BY92" s="415">
        <f>BY114</f>
        <v>80.325307815340338</v>
      </c>
      <c r="BZ92" s="420"/>
      <c r="CA92" s="420"/>
      <c r="CB92" s="420"/>
      <c r="CC92" s="420"/>
      <c r="CD92" s="415">
        <f>CD114</f>
        <v>84.854459552075085</v>
      </c>
      <c r="CE92" s="420"/>
      <c r="CF92" s="420"/>
      <c r="CG92" s="420"/>
      <c r="CH92" s="420"/>
      <c r="CI92" s="415">
        <f>CI114</f>
        <v>89.170864681390483</v>
      </c>
      <c r="CJ92" s="420"/>
      <c r="CK92" s="420"/>
      <c r="CL92" s="420"/>
      <c r="CM92" s="420"/>
      <c r="CN92" s="415">
        <f>CN114</f>
        <v>93.485265188419561</v>
      </c>
      <c r="CO92" s="420"/>
      <c r="CP92" s="420"/>
      <c r="CQ92" s="420"/>
      <c r="CR92" s="420"/>
      <c r="CS92" s="415">
        <f>CS114</f>
        <v>98.12737722308367</v>
      </c>
      <c r="CT92" s="420"/>
      <c r="CU92" s="420"/>
      <c r="CV92" s="420"/>
      <c r="CW92" s="420"/>
      <c r="CX92" s="415">
        <f>CX114</f>
        <v>103.10448849096954</v>
      </c>
    </row>
    <row r="93" spans="2:110" hidden="1">
      <c r="B93" s="197" t="s">
        <v>36</v>
      </c>
      <c r="C93" s="420">
        <f t="shared" ref="C93:D93" si="231">C117</f>
        <v>0.9</v>
      </c>
      <c r="D93" s="420">
        <f t="shared" si="231"/>
        <v>1</v>
      </c>
      <c r="E93" s="420">
        <f t="shared" ref="E93:F93" si="232">E117</f>
        <v>1</v>
      </c>
      <c r="F93" s="420">
        <f t="shared" si="232"/>
        <v>1.5</v>
      </c>
      <c r="G93" s="415">
        <f t="shared" ref="G93:H93" si="233">G117</f>
        <v>4.4000000000000004</v>
      </c>
      <c r="H93" s="420">
        <f t="shared" si="233"/>
        <v>9.3000000000000007</v>
      </c>
      <c r="I93" s="420">
        <f t="shared" ref="I93:J93" si="234">I117</f>
        <v>2.7</v>
      </c>
      <c r="J93" s="420">
        <f t="shared" si="234"/>
        <v>2.7</v>
      </c>
      <c r="K93" s="420">
        <f t="shared" ref="K93" si="235">K117</f>
        <v>2.6</v>
      </c>
      <c r="L93" s="415">
        <f t="shared" ref="L93" si="236">L117</f>
        <v>17.3</v>
      </c>
      <c r="M93" s="420">
        <f t="shared" ref="M93:N93" si="237">M117</f>
        <v>2.6</v>
      </c>
      <c r="N93" s="420">
        <f t="shared" si="237"/>
        <v>3.6</v>
      </c>
      <c r="O93" s="420">
        <f t="shared" ref="O93:P93" si="238">O117</f>
        <v>2.6</v>
      </c>
      <c r="P93" s="420">
        <f t="shared" si="238"/>
        <v>2.6</v>
      </c>
      <c r="Q93" s="415">
        <f t="shared" ref="Q93" si="239">Q117</f>
        <v>11.4</v>
      </c>
      <c r="R93" s="420">
        <f t="shared" ref="R93:S93" si="240">R117</f>
        <v>2.6</v>
      </c>
      <c r="S93" s="420">
        <f t="shared" si="240"/>
        <v>2.9</v>
      </c>
      <c r="T93" s="420">
        <f t="shared" ref="T93:U93" si="241">T117</f>
        <v>2.7</v>
      </c>
      <c r="U93" s="420">
        <f t="shared" si="241"/>
        <v>2.7</v>
      </c>
      <c r="V93" s="415">
        <f>V117</f>
        <v>10.899999999999999</v>
      </c>
      <c r="W93" s="420">
        <f t="shared" ref="W93:AA93" si="242">W117</f>
        <v>2.6</v>
      </c>
      <c r="X93" s="420">
        <f t="shared" si="242"/>
        <v>2.6</v>
      </c>
      <c r="Y93" s="420">
        <f t="shared" si="242"/>
        <v>2.6</v>
      </c>
      <c r="Z93" s="420">
        <f t="shared" si="242"/>
        <v>2.9</v>
      </c>
      <c r="AA93" s="415">
        <f t="shared" si="242"/>
        <v>10.700000000000001</v>
      </c>
      <c r="AB93" s="420">
        <f>AB117</f>
        <v>7.5</v>
      </c>
      <c r="AC93" s="420">
        <f t="shared" ref="AC93:AD93" si="243">AC117</f>
        <v>7.6</v>
      </c>
      <c r="AD93" s="420">
        <f t="shared" si="243"/>
        <v>7.5</v>
      </c>
      <c r="AE93" s="420">
        <f>AE117</f>
        <v>7</v>
      </c>
      <c r="AF93" s="415">
        <f>AE93+AD93+AC93+AB93</f>
        <v>29.6</v>
      </c>
      <c r="AG93" s="420">
        <f t="shared" ref="AG93:AJ93" si="244">AG117</f>
        <v>8</v>
      </c>
      <c r="AH93" s="420">
        <f t="shared" si="244"/>
        <v>7.6</v>
      </c>
      <c r="AI93" s="420">
        <f t="shared" si="244"/>
        <v>0</v>
      </c>
      <c r="AJ93" s="420">
        <f t="shared" si="244"/>
        <v>13.4</v>
      </c>
      <c r="AK93" s="415">
        <f>AK117</f>
        <v>29</v>
      </c>
      <c r="AL93" s="420"/>
      <c r="AM93" s="420"/>
      <c r="AN93" s="420"/>
      <c r="AO93" s="420"/>
      <c r="AP93" s="415">
        <f>AP117</f>
        <v>26.770726361262952</v>
      </c>
      <c r="AQ93" s="420"/>
      <c r="AR93" s="420"/>
      <c r="AS93" s="420"/>
      <c r="AT93" s="420"/>
      <c r="AU93" s="415">
        <f>AU117</f>
        <v>29.589676477294582</v>
      </c>
      <c r="AV93" s="420"/>
      <c r="AW93" s="420"/>
      <c r="AX93" s="420"/>
      <c r="AY93" s="420"/>
      <c r="AZ93" s="415">
        <f>AZ117</f>
        <v>32.270441434650202</v>
      </c>
      <c r="BA93" s="420"/>
      <c r="BB93" s="420"/>
      <c r="BC93" s="420"/>
      <c r="BD93" s="420"/>
      <c r="BE93" s="415">
        <f>BE117</f>
        <v>34.829237995493813</v>
      </c>
      <c r="BF93" s="420"/>
      <c r="BG93" s="420"/>
      <c r="BH93" s="420"/>
      <c r="BI93" s="420"/>
      <c r="BJ93" s="415">
        <f>BJ117</f>
        <v>37.29088034679846</v>
      </c>
      <c r="BK93" s="420"/>
      <c r="BL93" s="420"/>
      <c r="BM93" s="420"/>
      <c r="BN93" s="420"/>
      <c r="BO93" s="415">
        <f>BO117</f>
        <v>42.860425789225545</v>
      </c>
      <c r="BP93" s="420"/>
      <c r="BQ93" s="420"/>
      <c r="BR93" s="420"/>
      <c r="BS93" s="420"/>
      <c r="BT93" s="415">
        <f>BT117</f>
        <v>37.741719070844994</v>
      </c>
      <c r="BU93" s="420"/>
      <c r="BV93" s="420"/>
      <c r="BW93" s="420"/>
      <c r="BX93" s="420"/>
      <c r="BY93" s="415">
        <f>BY117</f>
        <v>44.969766923646134</v>
      </c>
      <c r="BZ93" s="420"/>
      <c r="CA93" s="420"/>
      <c r="CB93" s="420"/>
      <c r="CC93" s="420"/>
      <c r="CD93" s="415">
        <f>CD117</f>
        <v>47.505392413323889</v>
      </c>
      <c r="CE93" s="420"/>
      <c r="CF93" s="420"/>
      <c r="CG93" s="420"/>
      <c r="CH93" s="420"/>
      <c r="CI93" s="415">
        <f>CI117</f>
        <v>49.921912659465718</v>
      </c>
      <c r="CJ93" s="420"/>
      <c r="CK93" s="420"/>
      <c r="CL93" s="420"/>
      <c r="CM93" s="420"/>
      <c r="CN93" s="415">
        <f>CN117</f>
        <v>52.337310626721376</v>
      </c>
      <c r="CO93" s="420"/>
      <c r="CP93" s="420"/>
      <c r="CQ93" s="420"/>
      <c r="CR93" s="420"/>
      <c r="CS93" s="415">
        <f>CS117</f>
        <v>54.936176437633719</v>
      </c>
      <c r="CT93" s="420"/>
      <c r="CU93" s="420"/>
      <c r="CV93" s="420"/>
      <c r="CW93" s="420"/>
      <c r="CX93" s="415">
        <f>CX117</f>
        <v>57.722590081816918</v>
      </c>
    </row>
    <row r="94" spans="2:110" hidden="1">
      <c r="B94" s="198" t="s">
        <v>46</v>
      </c>
      <c r="C94" s="425">
        <f t="shared" ref="C94:AF94" si="245">SUM(C89:C93)</f>
        <v>7.351999999999979</v>
      </c>
      <c r="D94" s="425">
        <f t="shared" si="245"/>
        <v>7.4010000000000122</v>
      </c>
      <c r="E94" s="425">
        <f t="shared" si="245"/>
        <v>-11.284999999999997</v>
      </c>
      <c r="F94" s="425">
        <f t="shared" si="245"/>
        <v>-14.670000000000012</v>
      </c>
      <c r="G94" s="199">
        <f t="shared" si="245"/>
        <v>-11.202000000000014</v>
      </c>
      <c r="H94" s="425">
        <f t="shared" si="245"/>
        <v>-6.0000000000000071</v>
      </c>
      <c r="I94" s="425">
        <f t="shared" si="245"/>
        <v>-21.127999999999986</v>
      </c>
      <c r="J94" s="425">
        <f t="shared" si="245"/>
        <v>-1.6020000000000172</v>
      </c>
      <c r="K94" s="425">
        <f t="shared" si="245"/>
        <v>-39.728999999999992</v>
      </c>
      <c r="L94" s="199">
        <f t="shared" si="245"/>
        <v>-68.459000000000017</v>
      </c>
      <c r="M94" s="425">
        <f t="shared" si="245"/>
        <v>-34.793999999999997</v>
      </c>
      <c r="N94" s="425">
        <f t="shared" si="245"/>
        <v>-10.137999999999995</v>
      </c>
      <c r="O94" s="425">
        <f t="shared" si="245"/>
        <v>-43.431999999999995</v>
      </c>
      <c r="P94" s="425">
        <f t="shared" si="245"/>
        <v>-43.865999999999971</v>
      </c>
      <c r="Q94" s="199">
        <f t="shared" si="245"/>
        <v>-132.22999999999993</v>
      </c>
      <c r="R94" s="425">
        <f t="shared" si="245"/>
        <v>-17.34099999999999</v>
      </c>
      <c r="S94" s="425">
        <f t="shared" si="245"/>
        <v>-9.0739999999999839</v>
      </c>
      <c r="T94" s="425">
        <f t="shared" si="245"/>
        <v>21.839999999999986</v>
      </c>
      <c r="U94" s="425">
        <f t="shared" si="245"/>
        <v>-45.511999999999972</v>
      </c>
      <c r="V94" s="199">
        <f t="shared" si="245"/>
        <v>-50.086999999999954</v>
      </c>
      <c r="W94" s="425">
        <f t="shared" si="245"/>
        <v>-62.377999999999965</v>
      </c>
      <c r="X94" s="425">
        <f t="shared" si="245"/>
        <v>-52.448999999999998</v>
      </c>
      <c r="Y94" s="425">
        <f t="shared" si="245"/>
        <v>-60.883000000000038</v>
      </c>
      <c r="Z94" s="425">
        <f t="shared" si="245"/>
        <v>120.61999999999998</v>
      </c>
      <c r="AA94" s="199">
        <f t="shared" si="245"/>
        <v>-55.090000000000018</v>
      </c>
      <c r="AB94" s="425">
        <f t="shared" si="245"/>
        <v>-60.261000000000053</v>
      </c>
      <c r="AC94" s="425">
        <f t="shared" si="245"/>
        <v>-543.33799999999997</v>
      </c>
      <c r="AD94" s="425">
        <f t="shared" si="245"/>
        <v>-8.2229999999999883</v>
      </c>
      <c r="AE94" s="425">
        <f t="shared" si="245"/>
        <v>-63.995000000000033</v>
      </c>
      <c r="AF94" s="199">
        <f t="shared" si="245"/>
        <v>-675.81700000000001</v>
      </c>
      <c r="AG94" s="425">
        <f t="shared" ref="AG94:AJ94" si="246">SUM(AG89:AG93)</f>
        <v>12.592000000000013</v>
      </c>
      <c r="AH94" s="425">
        <f t="shared" si="246"/>
        <v>-19.221999999999987</v>
      </c>
      <c r="AI94" s="425">
        <f t="shared" si="246"/>
        <v>-0.36100000000002552</v>
      </c>
      <c r="AJ94" s="425">
        <f t="shared" si="246"/>
        <v>89.548000000000073</v>
      </c>
      <c r="AK94" s="199">
        <f>SUM(AK89:AK93)</f>
        <v>82.530999999999935</v>
      </c>
      <c r="AL94" s="425"/>
      <c r="AM94" s="425"/>
      <c r="AN94" s="425"/>
      <c r="AO94" s="425"/>
      <c r="AP94" s="199">
        <f>SUM(AP89:AP93)</f>
        <v>-73.637797479738509</v>
      </c>
      <c r="AQ94" s="425"/>
      <c r="AR94" s="425"/>
      <c r="AS94" s="425"/>
      <c r="AT94" s="425"/>
      <c r="AU94" s="199">
        <f>SUM(AU89:AU93)</f>
        <v>-34.234217087883195</v>
      </c>
      <c r="AV94" s="425"/>
      <c r="AW94" s="425"/>
      <c r="AX94" s="425"/>
      <c r="AY94" s="425"/>
      <c r="AZ94" s="199">
        <f>SUM(AZ89:AZ93)</f>
        <v>119.34525887288746</v>
      </c>
      <c r="BA94" s="425"/>
      <c r="BB94" s="425"/>
      <c r="BC94" s="425"/>
      <c r="BD94" s="425"/>
      <c r="BE94" s="199">
        <f>SUM(BE89:BE93)</f>
        <v>314.04942982690505</v>
      </c>
      <c r="BF94" s="425"/>
      <c r="BG94" s="425"/>
      <c r="BH94" s="425"/>
      <c r="BI94" s="425"/>
      <c r="BJ94" s="199">
        <f>SUM(BJ89:BJ93)</f>
        <v>526.79538324736734</v>
      </c>
      <c r="BK94" s="425"/>
      <c r="BL94" s="425"/>
      <c r="BM94" s="425"/>
      <c r="BN94" s="425"/>
      <c r="BO94" s="199">
        <f>SUM(BO89:BO93)</f>
        <v>759.71184046336487</v>
      </c>
      <c r="BP94" s="425"/>
      <c r="BQ94" s="425"/>
      <c r="BR94" s="425"/>
      <c r="BS94" s="425"/>
      <c r="BT94" s="199">
        <f>SUM(BT89:BT93)</f>
        <v>1043.8917566135915</v>
      </c>
      <c r="BU94" s="425"/>
      <c r="BV94" s="425"/>
      <c r="BW94" s="425"/>
      <c r="BX94" s="425"/>
      <c r="BY94" s="199">
        <f>SUM(BY89:BY93)</f>
        <v>1346.2456004110602</v>
      </c>
      <c r="BZ94" s="425"/>
      <c r="CA94" s="425"/>
      <c r="CB94" s="425"/>
      <c r="CC94" s="425"/>
      <c r="CD94" s="199">
        <f>SUM(CD89:CD93)</f>
        <v>1610.9916343825794</v>
      </c>
      <c r="CE94" s="425"/>
      <c r="CF94" s="425"/>
      <c r="CG94" s="425"/>
      <c r="CH94" s="425"/>
      <c r="CI94" s="199">
        <f>SUM(CI89:CI93)</f>
        <v>1831.3158834556384</v>
      </c>
      <c r="CJ94" s="425"/>
      <c r="CK94" s="425"/>
      <c r="CL94" s="425"/>
      <c r="CM94" s="425"/>
      <c r="CN94" s="199">
        <f>SUM(CN89:CN93)</f>
        <v>1975.9249820513037</v>
      </c>
      <c r="CO94" s="425"/>
      <c r="CP94" s="425"/>
      <c r="CQ94" s="425"/>
      <c r="CR94" s="425"/>
      <c r="CS94" s="199">
        <f>SUM(CS89:CS93)</f>
        <v>2135.3243327063669</v>
      </c>
      <c r="CT94" s="425"/>
      <c r="CU94" s="425"/>
      <c r="CV94" s="425"/>
      <c r="CW94" s="425"/>
      <c r="CX94" s="199">
        <f>SUM(CX89:CX93)</f>
        <v>2287.9024525217842</v>
      </c>
    </row>
    <row r="95" spans="2:110" hidden="1">
      <c r="B95" s="197" t="s">
        <v>48</v>
      </c>
      <c r="C95" s="420">
        <f t="shared" ref="C95:D95" si="247">C118</f>
        <v>10.379999999999999</v>
      </c>
      <c r="D95" s="420">
        <f t="shared" si="247"/>
        <v>10.606999999999999</v>
      </c>
      <c r="E95" s="420">
        <f t="shared" ref="E95:F95" si="248">E118</f>
        <v>11.617999999999999</v>
      </c>
      <c r="F95" s="420">
        <f t="shared" si="248"/>
        <v>11.212</v>
      </c>
      <c r="G95" s="415">
        <f t="shared" ref="G95:H95" si="249">G118</f>
        <v>43.817000000000007</v>
      </c>
      <c r="H95" s="420">
        <f t="shared" si="249"/>
        <v>11.134</v>
      </c>
      <c r="I95" s="420">
        <f t="shared" ref="I95:J95" si="250">I118</f>
        <v>12.637</v>
      </c>
      <c r="J95" s="420">
        <f t="shared" si="250"/>
        <v>12.138999999999999</v>
      </c>
      <c r="K95" s="420">
        <f t="shared" ref="K95" si="251">K118</f>
        <v>12.065000000000001</v>
      </c>
      <c r="L95" s="415">
        <f t="shared" ref="L95" si="252">L118</f>
        <v>47.974999999999994</v>
      </c>
      <c r="M95" s="420">
        <f t="shared" ref="M95:N95" si="253">M118</f>
        <v>11.565000000000001</v>
      </c>
      <c r="N95" s="420">
        <f t="shared" si="253"/>
        <v>13.929</v>
      </c>
      <c r="O95" s="420">
        <f t="shared" ref="O95:P95" si="254">O118</f>
        <v>16.204999999999998</v>
      </c>
      <c r="P95" s="420">
        <f t="shared" si="254"/>
        <v>22.677999999999997</v>
      </c>
      <c r="Q95" s="415">
        <f t="shared" ref="Q95" si="255">Q118</f>
        <v>64.376999999999995</v>
      </c>
      <c r="R95" s="420">
        <f t="shared" ref="R95" si="256">R118</f>
        <v>16.304000000000002</v>
      </c>
      <c r="S95" s="420">
        <f t="shared" ref="S95:T95" si="257">S118</f>
        <v>17.25</v>
      </c>
      <c r="T95" s="420">
        <f t="shared" si="257"/>
        <v>20.003999999999998</v>
      </c>
      <c r="U95" s="420">
        <f>U118</f>
        <v>32.799999999999997</v>
      </c>
      <c r="V95" s="415">
        <f t="shared" ref="V95" si="258">V118</f>
        <v>86.358000000000004</v>
      </c>
      <c r="W95" s="420">
        <f t="shared" ref="W95:AA95" si="259">W118</f>
        <v>22.700000000000003</v>
      </c>
      <c r="X95" s="420">
        <f t="shared" si="259"/>
        <v>29.509</v>
      </c>
      <c r="Y95" s="420">
        <f t="shared" si="259"/>
        <v>28.757999999999999</v>
      </c>
      <c r="Z95" s="420">
        <f t="shared" si="259"/>
        <v>30.7</v>
      </c>
      <c r="AA95" s="415">
        <f t="shared" si="259"/>
        <v>111.667</v>
      </c>
      <c r="AB95" s="420">
        <f>AB118</f>
        <v>30.177</v>
      </c>
      <c r="AC95" s="420">
        <f t="shared" ref="AC95:AD95" si="260">AC118</f>
        <v>33.898000000000003</v>
      </c>
      <c r="AD95" s="420">
        <f t="shared" si="260"/>
        <v>32.902000000000001</v>
      </c>
      <c r="AE95" s="420">
        <f>AE107</f>
        <v>37</v>
      </c>
      <c r="AF95" s="415">
        <f>AF107</f>
        <v>133.977</v>
      </c>
      <c r="AG95" s="420">
        <f t="shared" ref="AG95:AJ95" si="261">AG107</f>
        <v>30.673999999999999</v>
      </c>
      <c r="AH95" s="420">
        <f t="shared" si="261"/>
        <v>40</v>
      </c>
      <c r="AI95" s="420">
        <f t="shared" si="261"/>
        <v>35.900000000000006</v>
      </c>
      <c r="AJ95" s="420">
        <f t="shared" si="261"/>
        <v>33.6</v>
      </c>
      <c r="AK95" s="415">
        <f>AK107</f>
        <v>140.17400000000001</v>
      </c>
      <c r="AL95" s="420"/>
      <c r="AM95" s="420"/>
      <c r="AN95" s="420"/>
      <c r="AO95" s="420"/>
      <c r="AP95" s="415">
        <f>AP107</f>
        <v>153.66210000000001</v>
      </c>
      <c r="AQ95" s="420"/>
      <c r="AR95" s="420"/>
      <c r="AS95" s="420"/>
      <c r="AT95" s="420"/>
      <c r="AU95" s="415">
        <f>AU107</f>
        <v>168.47254500000003</v>
      </c>
      <c r="AV95" s="420"/>
      <c r="AW95" s="420"/>
      <c r="AX95" s="420"/>
      <c r="AY95" s="420"/>
      <c r="AZ95" s="415">
        <f>AZ107</f>
        <v>180.81620925000004</v>
      </c>
      <c r="BA95" s="420"/>
      <c r="BB95" s="420"/>
      <c r="BC95" s="420"/>
      <c r="BD95" s="420"/>
      <c r="BE95" s="415">
        <f>BE107</f>
        <v>194.07105948750001</v>
      </c>
      <c r="BF95" s="420"/>
      <c r="BG95" s="420"/>
      <c r="BH95" s="420"/>
      <c r="BI95" s="420"/>
      <c r="BJ95" s="415">
        <f>BJ107</f>
        <v>208.30470522000002</v>
      </c>
      <c r="BK95" s="420"/>
      <c r="BL95" s="420"/>
      <c r="BM95" s="420"/>
      <c r="BN95" s="420"/>
      <c r="BO95" s="415">
        <f>BO107</f>
        <v>223.58979019598439</v>
      </c>
      <c r="BP95" s="420"/>
      <c r="BQ95" s="420"/>
      <c r="BR95" s="420"/>
      <c r="BS95" s="420"/>
      <c r="BT95" s="415">
        <f>BT107</f>
        <v>240.00436814939178</v>
      </c>
      <c r="BU95" s="420"/>
      <c r="BV95" s="420"/>
      <c r="BW95" s="420"/>
      <c r="BX95" s="420"/>
      <c r="BY95" s="415">
        <f>BY107</f>
        <v>257.6323066337402</v>
      </c>
      <c r="BZ95" s="420"/>
      <c r="CA95" s="420"/>
      <c r="CB95" s="420"/>
      <c r="CC95" s="420"/>
      <c r="CD95" s="415">
        <f>CD107</f>
        <v>276.5637210480719</v>
      </c>
      <c r="CE95" s="420"/>
      <c r="CF95" s="420"/>
      <c r="CG95" s="420"/>
      <c r="CH95" s="420"/>
      <c r="CI95" s="415">
        <f>CI107</f>
        <v>296.8954411143186</v>
      </c>
      <c r="CJ95" s="420"/>
      <c r="CK95" s="420"/>
      <c r="CL95" s="420"/>
      <c r="CM95" s="420"/>
      <c r="CN95" s="415">
        <f>CN107</f>
        <v>318.73151223491584</v>
      </c>
      <c r="CO95" s="420"/>
      <c r="CP95" s="420"/>
      <c r="CQ95" s="420"/>
      <c r="CR95" s="420"/>
      <c r="CS95" s="415">
        <f>CS107</f>
        <v>342.18373434140904</v>
      </c>
      <c r="CT95" s="420"/>
      <c r="CU95" s="420"/>
      <c r="CV95" s="420"/>
      <c r="CW95" s="420"/>
      <c r="CX95" s="415">
        <f>CX107</f>
        <v>367.37224104033294</v>
      </c>
    </row>
    <row r="96" spans="2:110" hidden="1">
      <c r="B96" s="197" t="s">
        <v>49</v>
      </c>
      <c r="C96" s="420">
        <f t="shared" ref="C96:D96" si="262">C119</f>
        <v>-0.5</v>
      </c>
      <c r="D96" s="420">
        <f t="shared" si="262"/>
        <v>-4.0999999999999996</v>
      </c>
      <c r="E96" s="420">
        <f t="shared" ref="E96:F96" si="263">E119</f>
        <v>2.2000000000000002</v>
      </c>
      <c r="F96" s="420">
        <f t="shared" si="263"/>
        <v>0.6</v>
      </c>
      <c r="G96" s="415">
        <f t="shared" ref="G96:H96" si="264">G119</f>
        <v>-1.7999999999999994</v>
      </c>
      <c r="H96" s="420">
        <f t="shared" si="264"/>
        <v>-5.2</v>
      </c>
      <c r="I96" s="420">
        <f t="shared" ref="I96:J96" si="265">I119</f>
        <v>1.2</v>
      </c>
      <c r="J96" s="420">
        <f t="shared" si="265"/>
        <v>0.6</v>
      </c>
      <c r="K96" s="420">
        <f t="shared" ref="K96" si="266">K119</f>
        <v>12.1</v>
      </c>
      <c r="L96" s="415">
        <f t="shared" ref="L96" si="267">L119</f>
        <v>8.6999999999999993</v>
      </c>
      <c r="M96" s="420">
        <f t="shared" ref="M96:N96" si="268">M119</f>
        <v>4.8</v>
      </c>
      <c r="N96" s="420">
        <f t="shared" si="268"/>
        <v>-3.8</v>
      </c>
      <c r="O96" s="420">
        <f t="shared" ref="O96:P96" si="269">O119</f>
        <v>8.8000000000000007</v>
      </c>
      <c r="P96" s="420">
        <f t="shared" si="269"/>
        <v>4.5999999999999996</v>
      </c>
      <c r="Q96" s="415">
        <f t="shared" ref="Q96" si="270">Q119</f>
        <v>14.4</v>
      </c>
      <c r="R96" s="420">
        <f t="shared" ref="R96:S96" si="271">R119</f>
        <v>8.1</v>
      </c>
      <c r="S96" s="420">
        <f t="shared" si="271"/>
        <v>2.7</v>
      </c>
      <c r="T96" s="420">
        <f t="shared" ref="T96" si="272">T119</f>
        <v>1.8</v>
      </c>
      <c r="U96" s="420">
        <f>U119</f>
        <v>0.4</v>
      </c>
      <c r="V96" s="415">
        <f t="shared" ref="V96" si="273">V119</f>
        <v>13.000000000000002</v>
      </c>
      <c r="W96" s="420">
        <f t="shared" ref="W96:AA96" si="274">W119</f>
        <v>0.3</v>
      </c>
      <c r="X96" s="420">
        <f t="shared" si="274"/>
        <v>14.3</v>
      </c>
      <c r="Y96" s="420">
        <f t="shared" si="274"/>
        <v>0.5</v>
      </c>
      <c r="Z96" s="420">
        <f t="shared" si="274"/>
        <v>-43.6</v>
      </c>
      <c r="AA96" s="415">
        <f t="shared" si="274"/>
        <v>-28.5</v>
      </c>
      <c r="AB96" s="420">
        <f>AB119</f>
        <v>2.9</v>
      </c>
      <c r="AC96" s="420">
        <f t="shared" ref="AC96:AD96" si="275">AC119</f>
        <v>-62</v>
      </c>
      <c r="AD96" s="420">
        <f t="shared" si="275"/>
        <v>2.2000000000000002</v>
      </c>
      <c r="AE96" s="420">
        <f>AE119</f>
        <v>0</v>
      </c>
      <c r="AF96" s="415">
        <f>AE96+AD96+AC96+AB96</f>
        <v>-56.9</v>
      </c>
      <c r="AG96" s="420">
        <f t="shared" ref="AG96:AJ96" si="276">AG119</f>
        <v>0</v>
      </c>
      <c r="AH96" s="420">
        <f t="shared" si="276"/>
        <v>0</v>
      </c>
      <c r="AI96" s="420">
        <f t="shared" si="276"/>
        <v>3.76</v>
      </c>
      <c r="AJ96" s="420">
        <f t="shared" si="276"/>
        <v>7</v>
      </c>
      <c r="AK96" s="415">
        <f>AK119</f>
        <v>10.76</v>
      </c>
      <c r="AL96" s="420"/>
      <c r="AM96" s="420"/>
      <c r="AN96" s="420"/>
      <c r="AO96" s="420"/>
      <c r="AP96" s="415">
        <f>AP119</f>
        <v>0</v>
      </c>
      <c r="AQ96" s="420"/>
      <c r="AR96" s="420"/>
      <c r="AS96" s="420"/>
      <c r="AT96" s="420"/>
      <c r="AU96" s="415">
        <f>AU119</f>
        <v>0</v>
      </c>
      <c r="AV96" s="420"/>
      <c r="AW96" s="420"/>
      <c r="AX96" s="420"/>
      <c r="AY96" s="420"/>
      <c r="AZ96" s="415">
        <f>AZ119</f>
        <v>0</v>
      </c>
      <c r="BA96" s="420"/>
      <c r="BB96" s="420"/>
      <c r="BC96" s="420"/>
      <c r="BD96" s="420"/>
      <c r="BE96" s="415">
        <f>BE119</f>
        <v>0</v>
      </c>
      <c r="BF96" s="420"/>
      <c r="BG96" s="420"/>
      <c r="BH96" s="420"/>
      <c r="BI96" s="420"/>
      <c r="BJ96" s="415">
        <f>BJ119</f>
        <v>0</v>
      </c>
      <c r="BK96" s="420"/>
      <c r="BL96" s="420"/>
      <c r="BM96" s="420"/>
      <c r="BN96" s="420"/>
      <c r="BO96" s="415">
        <f>BO119</f>
        <v>0</v>
      </c>
      <c r="BP96" s="420"/>
      <c r="BQ96" s="420"/>
      <c r="BR96" s="420"/>
      <c r="BS96" s="420"/>
      <c r="BT96" s="415">
        <f>BT119</f>
        <v>0</v>
      </c>
      <c r="BU96" s="420"/>
      <c r="BV96" s="420"/>
      <c r="BW96" s="420"/>
      <c r="BX96" s="420"/>
      <c r="BY96" s="415">
        <f>BY119</f>
        <v>0</v>
      </c>
      <c r="BZ96" s="420"/>
      <c r="CA96" s="420"/>
      <c r="CB96" s="420"/>
      <c r="CC96" s="420"/>
      <c r="CD96" s="415">
        <f>CD119</f>
        <v>0</v>
      </c>
      <c r="CE96" s="420"/>
      <c r="CF96" s="420"/>
      <c r="CG96" s="420"/>
      <c r="CH96" s="420"/>
      <c r="CI96" s="415">
        <f>CI119</f>
        <v>0</v>
      </c>
      <c r="CJ96" s="420"/>
      <c r="CK96" s="420"/>
      <c r="CL96" s="420"/>
      <c r="CM96" s="420"/>
      <c r="CN96" s="415">
        <f>CN119</f>
        <v>0</v>
      </c>
      <c r="CO96" s="420"/>
      <c r="CP96" s="420"/>
      <c r="CQ96" s="420"/>
      <c r="CR96" s="420"/>
      <c r="CS96" s="415">
        <f>CS119</f>
        <v>0</v>
      </c>
      <c r="CT96" s="420"/>
      <c r="CU96" s="420"/>
      <c r="CV96" s="420"/>
      <c r="CW96" s="420"/>
      <c r="CX96" s="415">
        <f>CX119</f>
        <v>0</v>
      </c>
    </row>
    <row r="97" spans="1:110" hidden="1">
      <c r="B97" s="414" t="s">
        <v>397</v>
      </c>
      <c r="C97" s="420">
        <f t="shared" ref="C97:D97" si="277">C120</f>
        <v>0</v>
      </c>
      <c r="D97" s="420">
        <f t="shared" si="277"/>
        <v>0</v>
      </c>
      <c r="E97" s="420">
        <f t="shared" ref="E97:F97" si="278">E120</f>
        <v>0</v>
      </c>
      <c r="F97" s="420">
        <f t="shared" si="278"/>
        <v>0</v>
      </c>
      <c r="G97" s="415">
        <f t="shared" ref="G97:H99" si="279">G120</f>
        <v>0</v>
      </c>
      <c r="H97" s="420">
        <f t="shared" si="279"/>
        <v>0</v>
      </c>
      <c r="I97" s="420">
        <f t="shared" ref="I97:J97" si="280">I120</f>
        <v>0</v>
      </c>
      <c r="J97" s="420">
        <f t="shared" si="280"/>
        <v>0</v>
      </c>
      <c r="K97" s="420">
        <f t="shared" ref="K97" si="281">K120</f>
        <v>0</v>
      </c>
      <c r="L97" s="415">
        <f>L120</f>
        <v>0</v>
      </c>
      <c r="M97" s="420">
        <f t="shared" ref="M97:N97" si="282">M120</f>
        <v>0</v>
      </c>
      <c r="N97" s="420">
        <f t="shared" si="282"/>
        <v>0</v>
      </c>
      <c r="O97" s="420">
        <f t="shared" ref="O97:P97" si="283">O120</f>
        <v>0</v>
      </c>
      <c r="P97" s="420">
        <f t="shared" si="283"/>
        <v>0</v>
      </c>
      <c r="Q97" s="415">
        <f t="shared" ref="Q97" si="284">Q120</f>
        <v>0</v>
      </c>
      <c r="R97" s="420">
        <f t="shared" ref="R97:S97" si="285">R120</f>
        <v>0</v>
      </c>
      <c r="S97" s="420">
        <f t="shared" si="285"/>
        <v>0</v>
      </c>
      <c r="T97" s="420">
        <f t="shared" ref="T97:U97" si="286">T120</f>
        <v>0</v>
      </c>
      <c r="U97" s="420">
        <f t="shared" si="286"/>
        <v>0</v>
      </c>
      <c r="V97" s="415">
        <f>V120</f>
        <v>0</v>
      </c>
      <c r="W97" s="420">
        <f t="shared" ref="W97:Z97" si="287">W120</f>
        <v>0</v>
      </c>
      <c r="X97" s="420">
        <f t="shared" si="287"/>
        <v>12.8</v>
      </c>
      <c r="Y97" s="420">
        <f t="shared" si="287"/>
        <v>0</v>
      </c>
      <c r="Z97" s="420">
        <f t="shared" si="287"/>
        <v>198.7</v>
      </c>
      <c r="AA97" s="415">
        <f>AA120</f>
        <v>211.5</v>
      </c>
      <c r="AB97" s="420">
        <f t="shared" ref="AB97:AD97" si="288">AB120</f>
        <v>0</v>
      </c>
      <c r="AC97" s="420">
        <f t="shared" si="288"/>
        <v>599.1</v>
      </c>
      <c r="AD97" s="420">
        <f t="shared" si="288"/>
        <v>0</v>
      </c>
      <c r="AE97" s="420">
        <f>AE120</f>
        <v>0</v>
      </c>
      <c r="AF97" s="415">
        <f>AE97+AD97+AC97+AB97</f>
        <v>599.1</v>
      </c>
      <c r="AG97" s="420">
        <f t="shared" ref="AG97:AJ97" si="289">AG120</f>
        <v>0</v>
      </c>
      <c r="AH97" s="420">
        <f t="shared" si="289"/>
        <v>0</v>
      </c>
      <c r="AI97" s="420">
        <f t="shared" si="289"/>
        <v>0</v>
      </c>
      <c r="AJ97" s="420">
        <f t="shared" si="289"/>
        <v>0</v>
      </c>
      <c r="AK97" s="415">
        <f>AK120</f>
        <v>0</v>
      </c>
      <c r="AL97" s="420"/>
      <c r="AM97" s="420"/>
      <c r="AN97" s="420"/>
      <c r="AO97" s="420"/>
      <c r="AP97" s="415">
        <f>AP120</f>
        <v>0</v>
      </c>
      <c r="AQ97" s="420"/>
      <c r="AR97" s="420"/>
      <c r="AS97" s="420"/>
      <c r="AT97" s="420"/>
      <c r="AU97" s="415">
        <f>AU120</f>
        <v>0</v>
      </c>
      <c r="AV97" s="420"/>
      <c r="AW97" s="420"/>
      <c r="AX97" s="420"/>
      <c r="AY97" s="420"/>
      <c r="AZ97" s="415">
        <f>AZ120</f>
        <v>0</v>
      </c>
      <c r="BA97" s="420"/>
      <c r="BB97" s="420"/>
      <c r="BC97" s="420"/>
      <c r="BD97" s="420"/>
      <c r="BE97" s="415">
        <f>BE120</f>
        <v>0</v>
      </c>
      <c r="BF97" s="420"/>
      <c r="BG97" s="420"/>
      <c r="BH97" s="420"/>
      <c r="BI97" s="420"/>
      <c r="BJ97" s="415">
        <f>BJ120</f>
        <v>0</v>
      </c>
      <c r="BK97" s="420"/>
      <c r="BL97" s="420"/>
      <c r="BM97" s="420"/>
      <c r="BN97" s="420"/>
      <c r="BO97" s="415">
        <f>BO120</f>
        <v>0</v>
      </c>
      <c r="BP97" s="420"/>
      <c r="BQ97" s="420"/>
      <c r="BR97" s="420"/>
      <c r="BS97" s="420"/>
      <c r="BT97" s="415">
        <f>BT120</f>
        <v>0</v>
      </c>
      <c r="BU97" s="420"/>
      <c r="BV97" s="420"/>
      <c r="BW97" s="420"/>
      <c r="BX97" s="420"/>
      <c r="BY97" s="415">
        <f>BY120</f>
        <v>0</v>
      </c>
      <c r="BZ97" s="420"/>
      <c r="CA97" s="420"/>
      <c r="CB97" s="420"/>
      <c r="CC97" s="420"/>
      <c r="CD97" s="415">
        <f>CD120</f>
        <v>0</v>
      </c>
      <c r="CE97" s="420"/>
      <c r="CF97" s="420"/>
      <c r="CG97" s="420"/>
      <c r="CH97" s="420"/>
      <c r="CI97" s="415">
        <f>CI120</f>
        <v>0</v>
      </c>
      <c r="CJ97" s="420"/>
      <c r="CK97" s="420"/>
      <c r="CL97" s="420"/>
      <c r="CM97" s="420"/>
      <c r="CN97" s="415">
        <f>CN120</f>
        <v>0</v>
      </c>
      <c r="CO97" s="420"/>
      <c r="CP97" s="420"/>
      <c r="CQ97" s="420"/>
      <c r="CR97" s="420"/>
      <c r="CS97" s="415">
        <f>CS120</f>
        <v>0</v>
      </c>
      <c r="CT97" s="420"/>
      <c r="CU97" s="420"/>
      <c r="CV97" s="420"/>
      <c r="CW97" s="420"/>
      <c r="CX97" s="415">
        <f>CX120</f>
        <v>0</v>
      </c>
    </row>
    <row r="98" spans="1:110" hidden="1">
      <c r="B98" s="414" t="s">
        <v>398</v>
      </c>
      <c r="C98" s="420">
        <f t="shared" ref="C98:D98" si="290">C121</f>
        <v>0</v>
      </c>
      <c r="D98" s="420">
        <f t="shared" si="290"/>
        <v>0</v>
      </c>
      <c r="E98" s="420">
        <f t="shared" ref="E98:F98" si="291">E121</f>
        <v>0</v>
      </c>
      <c r="F98" s="420">
        <f t="shared" si="291"/>
        <v>0</v>
      </c>
      <c r="G98" s="415">
        <f t="shared" si="279"/>
        <v>0</v>
      </c>
      <c r="H98" s="420">
        <f t="shared" si="279"/>
        <v>0</v>
      </c>
      <c r="I98" s="420">
        <f t="shared" ref="I98:J98" si="292">I121</f>
        <v>0</v>
      </c>
      <c r="J98" s="420">
        <f t="shared" si="292"/>
        <v>0</v>
      </c>
      <c r="K98" s="420">
        <f t="shared" ref="K98" si="293">K121</f>
        <v>0</v>
      </c>
      <c r="L98" s="415">
        <f>L121</f>
        <v>0</v>
      </c>
      <c r="M98" s="420">
        <f t="shared" ref="M98:N98" si="294">M121</f>
        <v>0</v>
      </c>
      <c r="N98" s="420">
        <f t="shared" si="294"/>
        <v>0</v>
      </c>
      <c r="O98" s="420">
        <f t="shared" ref="O98:P98" si="295">O121</f>
        <v>0</v>
      </c>
      <c r="P98" s="420">
        <f t="shared" si="295"/>
        <v>0</v>
      </c>
      <c r="Q98" s="415">
        <f t="shared" ref="Q98" si="296">Q121</f>
        <v>0</v>
      </c>
      <c r="R98" s="420">
        <f t="shared" ref="R98:S98" si="297">R121</f>
        <v>-8.8000000000000007</v>
      </c>
      <c r="S98" s="420">
        <f t="shared" si="297"/>
        <v>-0.4</v>
      </c>
      <c r="T98" s="420">
        <f t="shared" ref="T98:U98" si="298">T121</f>
        <v>0.4</v>
      </c>
      <c r="U98" s="420">
        <f t="shared" si="298"/>
        <v>-1.2</v>
      </c>
      <c r="V98" s="415">
        <f>V121</f>
        <v>-10</v>
      </c>
      <c r="W98" s="420">
        <f t="shared" ref="W98:Z98" si="299">W121</f>
        <v>0</v>
      </c>
      <c r="X98" s="420">
        <f t="shared" si="299"/>
        <v>0</v>
      </c>
      <c r="Y98" s="420">
        <f t="shared" si="299"/>
        <v>0</v>
      </c>
      <c r="Z98" s="420">
        <f t="shared" si="299"/>
        <v>0</v>
      </c>
      <c r="AA98" s="415">
        <f>AA121</f>
        <v>0</v>
      </c>
      <c r="AB98" s="420">
        <f t="shared" ref="AB98:AD98" si="300">AB121</f>
        <v>0</v>
      </c>
      <c r="AC98" s="420">
        <f t="shared" si="300"/>
        <v>0</v>
      </c>
      <c r="AD98" s="420">
        <f t="shared" si="300"/>
        <v>0</v>
      </c>
      <c r="AE98" s="420">
        <f>AE121</f>
        <v>0</v>
      </c>
      <c r="AF98" s="415">
        <f t="shared" ref="AF98:AF99" si="301">AE98+AD98+AC98+AB98</f>
        <v>0</v>
      </c>
      <c r="AG98" s="420">
        <f t="shared" ref="AG98:AJ98" si="302">AG121</f>
        <v>0</v>
      </c>
      <c r="AH98" s="420">
        <f t="shared" si="302"/>
        <v>0</v>
      </c>
      <c r="AI98" s="420">
        <f t="shared" si="302"/>
        <v>0</v>
      </c>
      <c r="AJ98" s="420">
        <f t="shared" si="302"/>
        <v>0</v>
      </c>
      <c r="AK98" s="415">
        <f>AK121</f>
        <v>0</v>
      </c>
      <c r="AL98" s="420"/>
      <c r="AM98" s="420"/>
      <c r="AN98" s="420"/>
      <c r="AO98" s="420"/>
      <c r="AP98" s="415">
        <f>AP121</f>
        <v>0</v>
      </c>
      <c r="AQ98" s="420"/>
      <c r="AR98" s="420"/>
      <c r="AS98" s="420"/>
      <c r="AT98" s="420"/>
      <c r="AU98" s="415">
        <f>AU121</f>
        <v>0</v>
      </c>
      <c r="AV98" s="420"/>
      <c r="AW98" s="420"/>
      <c r="AX98" s="420"/>
      <c r="AY98" s="420"/>
      <c r="AZ98" s="415">
        <f>AZ121</f>
        <v>0</v>
      </c>
      <c r="BA98" s="420"/>
      <c r="BB98" s="420"/>
      <c r="BC98" s="420"/>
      <c r="BD98" s="420"/>
      <c r="BE98" s="415">
        <f>BE121</f>
        <v>0</v>
      </c>
      <c r="BF98" s="420"/>
      <c r="BG98" s="420"/>
      <c r="BH98" s="420"/>
      <c r="BI98" s="420"/>
      <c r="BJ98" s="415">
        <f>BJ121</f>
        <v>0</v>
      </c>
      <c r="BK98" s="420"/>
      <c r="BL98" s="420"/>
      <c r="BM98" s="420"/>
      <c r="BN98" s="420"/>
      <c r="BO98" s="415">
        <f>BO121</f>
        <v>0</v>
      </c>
      <c r="BP98" s="420"/>
      <c r="BQ98" s="420"/>
      <c r="BR98" s="420"/>
      <c r="BS98" s="420"/>
      <c r="BT98" s="415">
        <f>BT121</f>
        <v>0</v>
      </c>
      <c r="BU98" s="420"/>
      <c r="BV98" s="420"/>
      <c r="BW98" s="420"/>
      <c r="BX98" s="420"/>
      <c r="BY98" s="415">
        <f>BY121</f>
        <v>0</v>
      </c>
      <c r="BZ98" s="420"/>
      <c r="CA98" s="420"/>
      <c r="CB98" s="420"/>
      <c r="CC98" s="420"/>
      <c r="CD98" s="415">
        <f>CD121</f>
        <v>0</v>
      </c>
      <c r="CE98" s="420"/>
      <c r="CF98" s="420"/>
      <c r="CG98" s="420"/>
      <c r="CH98" s="420"/>
      <c r="CI98" s="415">
        <f>CI121</f>
        <v>0</v>
      </c>
      <c r="CJ98" s="420"/>
      <c r="CK98" s="420"/>
      <c r="CL98" s="420"/>
      <c r="CM98" s="420"/>
      <c r="CN98" s="415">
        <f>CN121</f>
        <v>0</v>
      </c>
      <c r="CO98" s="420"/>
      <c r="CP98" s="420"/>
      <c r="CQ98" s="420"/>
      <c r="CR98" s="420"/>
      <c r="CS98" s="415">
        <f>CS121</f>
        <v>0</v>
      </c>
      <c r="CT98" s="420"/>
      <c r="CU98" s="420"/>
      <c r="CV98" s="420"/>
      <c r="CW98" s="420"/>
      <c r="CX98" s="415">
        <f>CX121</f>
        <v>0</v>
      </c>
    </row>
    <row r="99" spans="1:110" hidden="1">
      <c r="B99" s="414" t="s">
        <v>351</v>
      </c>
      <c r="C99" s="420">
        <f t="shared" ref="C99:D99" si="303">C122</f>
        <v>0</v>
      </c>
      <c r="D99" s="420">
        <f t="shared" si="303"/>
        <v>0</v>
      </c>
      <c r="E99" s="420">
        <f>E122</f>
        <v>1.8959999999999999</v>
      </c>
      <c r="F99" s="420">
        <f t="shared" ref="F99" si="304">F122</f>
        <v>0</v>
      </c>
      <c r="G99" s="415">
        <f t="shared" si="279"/>
        <v>1.8959999999999999</v>
      </c>
      <c r="H99" s="420">
        <f t="shared" si="279"/>
        <v>0</v>
      </c>
      <c r="I99" s="420">
        <f t="shared" ref="I99:J99" si="305">I122</f>
        <v>0</v>
      </c>
      <c r="J99" s="420">
        <f t="shared" si="305"/>
        <v>0</v>
      </c>
      <c r="K99" s="420">
        <f t="shared" ref="K99" si="306">K122</f>
        <v>0</v>
      </c>
      <c r="L99" s="415">
        <f>L122</f>
        <v>0</v>
      </c>
      <c r="M99" s="420">
        <f t="shared" ref="M99:N99" si="307">M122</f>
        <v>10.4</v>
      </c>
      <c r="N99" s="420">
        <f t="shared" si="307"/>
        <v>0</v>
      </c>
      <c r="O99" s="420">
        <f t="shared" ref="O99:P99" si="308">O122</f>
        <v>1.7</v>
      </c>
      <c r="P99" s="420">
        <f t="shared" si="308"/>
        <v>0.8</v>
      </c>
      <c r="Q99" s="415">
        <f t="shared" ref="Q99" si="309">Q122</f>
        <v>12.9</v>
      </c>
      <c r="R99" s="420">
        <f t="shared" ref="R99:S99" si="310">R122</f>
        <v>0</v>
      </c>
      <c r="S99" s="420">
        <f t="shared" si="310"/>
        <v>0</v>
      </c>
      <c r="T99" s="420">
        <f t="shared" ref="T99:U99" si="311">T122</f>
        <v>-67.5</v>
      </c>
      <c r="U99" s="420">
        <f t="shared" si="311"/>
        <v>2.7</v>
      </c>
      <c r="V99" s="415">
        <f>V122</f>
        <v>-64.8</v>
      </c>
      <c r="W99" s="420">
        <f t="shared" ref="W99:Z99" si="312">W122</f>
        <v>7</v>
      </c>
      <c r="X99" s="420">
        <f t="shared" si="312"/>
        <v>0</v>
      </c>
      <c r="Y99" s="420">
        <f t="shared" si="312"/>
        <v>0</v>
      </c>
      <c r="Z99" s="420">
        <f t="shared" si="312"/>
        <v>-369.5</v>
      </c>
      <c r="AA99" s="415">
        <f>AA122</f>
        <v>-362.5</v>
      </c>
      <c r="AB99" s="420">
        <f t="shared" ref="AB99:AD99" si="313">AB122</f>
        <v>0</v>
      </c>
      <c r="AC99" s="420">
        <f t="shared" si="313"/>
        <v>0</v>
      </c>
      <c r="AD99" s="420">
        <f t="shared" si="313"/>
        <v>0</v>
      </c>
      <c r="AE99" s="420">
        <f>AE122</f>
        <v>0</v>
      </c>
      <c r="AF99" s="415">
        <f t="shared" si="301"/>
        <v>0</v>
      </c>
      <c r="AG99" s="420">
        <f t="shared" ref="AG99:AJ99" si="314">AG122</f>
        <v>-8.6</v>
      </c>
      <c r="AH99" s="420">
        <f t="shared" si="314"/>
        <v>5.8</v>
      </c>
      <c r="AI99" s="420">
        <f t="shared" si="314"/>
        <v>-31.5</v>
      </c>
      <c r="AJ99" s="420">
        <f t="shared" si="314"/>
        <v>-125</v>
      </c>
      <c r="AK99" s="415">
        <f>AK122</f>
        <v>-159.29999999999998</v>
      </c>
      <c r="AL99" s="420"/>
      <c r="AM99" s="420"/>
      <c r="AN99" s="420"/>
      <c r="AO99" s="420"/>
      <c r="AP99" s="415">
        <f>AP122</f>
        <v>0</v>
      </c>
      <c r="AQ99" s="420"/>
      <c r="AR99" s="420"/>
      <c r="AS99" s="420"/>
      <c r="AT99" s="420"/>
      <c r="AU99" s="415">
        <f>AU122</f>
        <v>0</v>
      </c>
      <c r="AV99" s="420"/>
      <c r="AW99" s="420"/>
      <c r="AX99" s="420"/>
      <c r="AY99" s="420"/>
      <c r="AZ99" s="415">
        <f>AZ122</f>
        <v>0</v>
      </c>
      <c r="BA99" s="420"/>
      <c r="BB99" s="420"/>
      <c r="BC99" s="420"/>
      <c r="BD99" s="420"/>
      <c r="BE99" s="415">
        <f>BE122</f>
        <v>0</v>
      </c>
      <c r="BF99" s="420"/>
      <c r="BG99" s="420"/>
      <c r="BH99" s="420"/>
      <c r="BI99" s="420"/>
      <c r="BJ99" s="415">
        <f>BJ122</f>
        <v>0</v>
      </c>
      <c r="BK99" s="420"/>
      <c r="BL99" s="420"/>
      <c r="BM99" s="420"/>
      <c r="BN99" s="420"/>
      <c r="BO99" s="415">
        <f>BO122</f>
        <v>0</v>
      </c>
      <c r="BP99" s="420"/>
      <c r="BQ99" s="420"/>
      <c r="BR99" s="420"/>
      <c r="BS99" s="420"/>
      <c r="BT99" s="415">
        <f>BT122</f>
        <v>0</v>
      </c>
      <c r="BU99" s="420"/>
      <c r="BV99" s="420"/>
      <c r="BW99" s="420"/>
      <c r="BX99" s="420"/>
      <c r="BY99" s="415">
        <f>BY122</f>
        <v>0</v>
      </c>
      <c r="BZ99" s="420"/>
      <c r="CA99" s="420"/>
      <c r="CB99" s="420"/>
      <c r="CC99" s="420"/>
      <c r="CD99" s="415">
        <f>CD122</f>
        <v>0</v>
      </c>
      <c r="CE99" s="420"/>
      <c r="CF99" s="420"/>
      <c r="CG99" s="420"/>
      <c r="CH99" s="420"/>
      <c r="CI99" s="415">
        <f>CI122</f>
        <v>0</v>
      </c>
      <c r="CJ99" s="420"/>
      <c r="CK99" s="420"/>
      <c r="CL99" s="420"/>
      <c r="CM99" s="420"/>
      <c r="CN99" s="415">
        <f>CN122</f>
        <v>0</v>
      </c>
      <c r="CO99" s="420"/>
      <c r="CP99" s="420"/>
      <c r="CQ99" s="420"/>
      <c r="CR99" s="420"/>
      <c r="CS99" s="415">
        <f>CS122</f>
        <v>0</v>
      </c>
      <c r="CT99" s="420"/>
      <c r="CU99" s="420"/>
      <c r="CV99" s="420"/>
      <c r="CW99" s="420"/>
      <c r="CX99" s="415">
        <f>CX122</f>
        <v>0</v>
      </c>
    </row>
    <row r="100" spans="1:110" hidden="1">
      <c r="B100" s="200" t="s">
        <v>160</v>
      </c>
      <c r="C100" s="426">
        <f t="shared" ref="C100:AF100" si="315">SUM(C94:C99)</f>
        <v>17.231999999999978</v>
      </c>
      <c r="D100" s="426">
        <f t="shared" si="315"/>
        <v>13.90800000000001</v>
      </c>
      <c r="E100" s="426">
        <f t="shared" si="315"/>
        <v>4.429000000000002</v>
      </c>
      <c r="F100" s="426">
        <f t="shared" si="315"/>
        <v>-2.8580000000000125</v>
      </c>
      <c r="G100" s="201">
        <f t="shared" si="315"/>
        <v>32.710999999999991</v>
      </c>
      <c r="H100" s="426">
        <f t="shared" si="315"/>
        <v>-6.6000000000006942E-2</v>
      </c>
      <c r="I100" s="426">
        <f t="shared" si="315"/>
        <v>-7.2909999999999853</v>
      </c>
      <c r="J100" s="426">
        <f t="shared" si="315"/>
        <v>11.136999999999981</v>
      </c>
      <c r="K100" s="426">
        <f t="shared" si="315"/>
        <v>-15.563999999999991</v>
      </c>
      <c r="L100" s="201">
        <f t="shared" si="315"/>
        <v>-11.784000000000024</v>
      </c>
      <c r="M100" s="426">
        <f t="shared" si="315"/>
        <v>-8.0289999999999946</v>
      </c>
      <c r="N100" s="426">
        <f t="shared" si="315"/>
        <v>-8.9999999999941238E-3</v>
      </c>
      <c r="O100" s="426">
        <f t="shared" si="315"/>
        <v>-16.726999999999997</v>
      </c>
      <c r="P100" s="426">
        <f t="shared" si="315"/>
        <v>-15.787999999999972</v>
      </c>
      <c r="Q100" s="201">
        <f t="shared" si="315"/>
        <v>-40.55299999999994</v>
      </c>
      <c r="R100" s="426">
        <f t="shared" si="315"/>
        <v>-1.7369999999999894</v>
      </c>
      <c r="S100" s="426">
        <f t="shared" si="315"/>
        <v>10.476000000000015</v>
      </c>
      <c r="T100" s="426">
        <f t="shared" si="315"/>
        <v>-23.456000000000024</v>
      </c>
      <c r="U100" s="426">
        <f t="shared" si="315"/>
        <v>-10.811999999999973</v>
      </c>
      <c r="V100" s="201">
        <f t="shared" si="315"/>
        <v>-25.528999999999947</v>
      </c>
      <c r="W100" s="426">
        <f t="shared" si="315"/>
        <v>-32.377999999999965</v>
      </c>
      <c r="X100" s="426">
        <f t="shared" si="315"/>
        <v>4.1600000000000037</v>
      </c>
      <c r="Y100" s="426">
        <f t="shared" si="315"/>
        <v>-31.625000000000043</v>
      </c>
      <c r="Z100" s="426">
        <f t="shared" si="315"/>
        <v>-63.080000000000041</v>
      </c>
      <c r="AA100" s="201">
        <f t="shared" si="315"/>
        <v>-122.923</v>
      </c>
      <c r="AB100" s="426">
        <f t="shared" si="315"/>
        <v>-27.184000000000054</v>
      </c>
      <c r="AC100" s="426">
        <f t="shared" si="315"/>
        <v>27.660000000000082</v>
      </c>
      <c r="AD100" s="426">
        <f t="shared" si="315"/>
        <v>26.879000000000012</v>
      </c>
      <c r="AE100" s="426">
        <f t="shared" si="315"/>
        <v>-26.995000000000033</v>
      </c>
      <c r="AF100" s="201">
        <f t="shared" si="315"/>
        <v>0.36000000000001364</v>
      </c>
      <c r="AG100" s="426">
        <f t="shared" ref="AG100:AJ100" si="316">SUM(AG94:AG99)</f>
        <v>34.666000000000011</v>
      </c>
      <c r="AH100" s="426">
        <f t="shared" si="316"/>
        <v>26.578000000000014</v>
      </c>
      <c r="AI100" s="426">
        <f t="shared" si="316"/>
        <v>7.7989999999999782</v>
      </c>
      <c r="AJ100" s="426">
        <f t="shared" si="316"/>
        <v>5.1480000000000814</v>
      </c>
      <c r="AK100" s="201">
        <f t="shared" ref="AK100" si="317">SUM(AK94:AK99)</f>
        <v>74.164999999999935</v>
      </c>
      <c r="AL100" s="426"/>
      <c r="AM100" s="426"/>
      <c r="AN100" s="426"/>
      <c r="AO100" s="426"/>
      <c r="AP100" s="201">
        <f t="shared" ref="AP100" si="318">SUM(AP94:AP99)</f>
        <v>80.0243025202615</v>
      </c>
      <c r="AQ100" s="426"/>
      <c r="AR100" s="426"/>
      <c r="AS100" s="426"/>
      <c r="AT100" s="426"/>
      <c r="AU100" s="201">
        <f t="shared" ref="AU100" si="319">SUM(AU94:AU99)</f>
        <v>134.23832791211683</v>
      </c>
      <c r="AV100" s="426"/>
      <c r="AW100" s="426"/>
      <c r="AX100" s="426"/>
      <c r="AY100" s="426"/>
      <c r="AZ100" s="201">
        <f t="shared" ref="AZ100" si="320">SUM(AZ94:AZ99)</f>
        <v>300.16146812288753</v>
      </c>
      <c r="BA100" s="426"/>
      <c r="BB100" s="426"/>
      <c r="BC100" s="426"/>
      <c r="BD100" s="426"/>
      <c r="BE100" s="201">
        <f t="shared" ref="BE100" si="321">SUM(BE94:BE99)</f>
        <v>508.12048931440506</v>
      </c>
      <c r="BF100" s="426"/>
      <c r="BG100" s="426"/>
      <c r="BH100" s="426"/>
      <c r="BI100" s="426"/>
      <c r="BJ100" s="201">
        <f t="shared" ref="BJ100" si="322">SUM(BJ94:BJ99)</f>
        <v>735.10008846736741</v>
      </c>
      <c r="BK100" s="426"/>
      <c r="BL100" s="426"/>
      <c r="BM100" s="426"/>
      <c r="BN100" s="426"/>
      <c r="BO100" s="201">
        <f t="shared" ref="BO100" si="323">SUM(BO94:BO99)</f>
        <v>983.30163065934926</v>
      </c>
      <c r="BP100" s="426"/>
      <c r="BQ100" s="426"/>
      <c r="BR100" s="426"/>
      <c r="BS100" s="426"/>
      <c r="BT100" s="201">
        <f t="shared" ref="BT100" si="324">SUM(BT94:BT99)</f>
        <v>1283.8961247629832</v>
      </c>
      <c r="BU100" s="426"/>
      <c r="BV100" s="426"/>
      <c r="BW100" s="426"/>
      <c r="BX100" s="426"/>
      <c r="BY100" s="201">
        <f t="shared" ref="BY100" si="325">SUM(BY94:BY99)</f>
        <v>1603.8779070448004</v>
      </c>
      <c r="BZ100" s="426"/>
      <c r="CA100" s="426"/>
      <c r="CB100" s="426"/>
      <c r="CC100" s="426"/>
      <c r="CD100" s="201">
        <f t="shared" ref="CD100" si="326">SUM(CD94:CD99)</f>
        <v>1887.5553554306512</v>
      </c>
      <c r="CE100" s="426"/>
      <c r="CF100" s="426"/>
      <c r="CG100" s="426"/>
      <c r="CH100" s="426"/>
      <c r="CI100" s="201">
        <f t="shared" ref="CI100" si="327">SUM(CI94:CI99)</f>
        <v>2128.211324569957</v>
      </c>
      <c r="CJ100" s="426"/>
      <c r="CK100" s="426"/>
      <c r="CL100" s="426"/>
      <c r="CM100" s="426"/>
      <c r="CN100" s="201">
        <f t="shared" ref="CN100" si="328">SUM(CN94:CN99)</f>
        <v>2294.6564942862196</v>
      </c>
      <c r="CO100" s="426"/>
      <c r="CP100" s="426"/>
      <c r="CQ100" s="426"/>
      <c r="CR100" s="426"/>
      <c r="CS100" s="201">
        <f t="shared" ref="CS100" si="329">SUM(CS94:CS99)</f>
        <v>2477.508067047776</v>
      </c>
      <c r="CT100" s="426"/>
      <c r="CU100" s="426"/>
      <c r="CV100" s="426"/>
      <c r="CW100" s="426"/>
      <c r="CX100" s="201">
        <f t="shared" ref="CX100" si="330">SUM(CX94:CX99)</f>
        <v>2655.2746935621171</v>
      </c>
    </row>
    <row r="101" spans="1:110" hidden="1">
      <c r="C101" s="410"/>
      <c r="D101" s="410"/>
      <c r="E101" s="410"/>
      <c r="F101" s="410"/>
      <c r="G101" s="410"/>
      <c r="H101" s="410"/>
      <c r="I101" s="410"/>
      <c r="J101" s="410"/>
      <c r="K101" s="410"/>
      <c r="L101" s="410"/>
      <c r="M101" s="410"/>
      <c r="N101" s="410"/>
      <c r="O101" s="410"/>
      <c r="P101" s="410"/>
      <c r="Q101" s="410"/>
      <c r="R101" s="410"/>
      <c r="S101" s="410"/>
      <c r="T101" s="410"/>
      <c r="U101" s="410"/>
      <c r="V101" s="410"/>
      <c r="W101" s="410"/>
      <c r="X101" s="410"/>
      <c r="Y101" s="410"/>
      <c r="Z101" s="410"/>
      <c r="AA101" s="410"/>
      <c r="AB101" s="410"/>
      <c r="AC101" s="410"/>
      <c r="AD101" s="410"/>
    </row>
    <row r="102" spans="1:110" ht="14.25" thickBot="1">
      <c r="B102" s="193" t="s">
        <v>388</v>
      </c>
      <c r="C102" s="194"/>
      <c r="D102" s="194"/>
      <c r="E102" s="194"/>
      <c r="F102" s="194"/>
      <c r="G102" s="195"/>
      <c r="H102" s="194"/>
      <c r="I102" s="194"/>
      <c r="J102" s="194"/>
      <c r="K102" s="194"/>
      <c r="L102" s="195"/>
      <c r="M102" s="194"/>
      <c r="N102" s="194"/>
      <c r="O102" s="194"/>
      <c r="P102" s="194"/>
      <c r="Q102" s="195"/>
      <c r="R102" s="194"/>
      <c r="S102" s="194"/>
      <c r="T102" s="194"/>
      <c r="U102" s="194"/>
      <c r="V102" s="195"/>
      <c r="W102" s="194"/>
      <c r="X102" s="194"/>
      <c r="Y102" s="194"/>
      <c r="Z102" s="194"/>
      <c r="AA102" s="195"/>
      <c r="AB102" s="194"/>
      <c r="AC102" s="194"/>
      <c r="AD102" s="194"/>
      <c r="AE102" s="194"/>
      <c r="AF102" s="195"/>
      <c r="AG102" s="194"/>
      <c r="AH102" s="194"/>
      <c r="AI102" s="194"/>
      <c r="AJ102" s="194"/>
      <c r="AK102" s="195"/>
      <c r="AL102" s="194"/>
      <c r="AM102" s="194"/>
      <c r="AN102" s="194"/>
      <c r="AO102" s="194"/>
      <c r="AP102" s="195"/>
      <c r="AQ102" s="194"/>
      <c r="AR102" s="194"/>
      <c r="AS102" s="194"/>
      <c r="AT102" s="194"/>
      <c r="AU102" s="195"/>
      <c r="AV102" s="194"/>
      <c r="AW102" s="194"/>
      <c r="AX102" s="194"/>
      <c r="AY102" s="194"/>
      <c r="AZ102" s="195"/>
      <c r="BA102" s="194"/>
      <c r="BB102" s="194"/>
      <c r="BC102" s="194"/>
      <c r="BD102" s="194"/>
      <c r="BE102" s="195"/>
      <c r="BF102" s="194"/>
      <c r="BG102" s="194"/>
      <c r="BH102" s="194"/>
      <c r="BI102" s="194"/>
      <c r="BJ102" s="195"/>
      <c r="BK102" s="194"/>
      <c r="BL102" s="194"/>
      <c r="BM102" s="194"/>
      <c r="BN102" s="194"/>
      <c r="BO102" s="195"/>
      <c r="BP102" s="194"/>
      <c r="BQ102" s="194"/>
      <c r="BR102" s="194"/>
      <c r="BS102" s="194"/>
      <c r="BT102" s="195"/>
      <c r="BU102" s="194"/>
      <c r="BV102" s="194"/>
      <c r="BW102" s="194"/>
      <c r="BX102" s="194"/>
      <c r="BY102" s="195"/>
      <c r="BZ102" s="194"/>
      <c r="CA102" s="194"/>
      <c r="CB102" s="194"/>
      <c r="CC102" s="194"/>
      <c r="CD102" s="195"/>
      <c r="CE102" s="194"/>
      <c r="CF102" s="194"/>
      <c r="CG102" s="194"/>
      <c r="CH102" s="194"/>
      <c r="CI102" s="195"/>
      <c r="CJ102" s="194"/>
      <c r="CK102" s="194"/>
      <c r="CL102" s="194"/>
      <c r="CM102" s="194"/>
      <c r="CN102" s="195"/>
      <c r="CO102" s="194"/>
      <c r="CP102" s="194"/>
      <c r="CQ102" s="194"/>
      <c r="CR102" s="194"/>
      <c r="CS102" s="195"/>
      <c r="CT102" s="194"/>
      <c r="CU102" s="194"/>
      <c r="CV102" s="194"/>
      <c r="CW102" s="194"/>
      <c r="CX102" s="195"/>
    </row>
    <row r="103" spans="1:110">
      <c r="C103" s="420"/>
      <c r="D103" s="420"/>
      <c r="E103" s="420"/>
      <c r="F103" s="420"/>
      <c r="G103" s="415"/>
      <c r="H103" s="420"/>
      <c r="I103" s="420"/>
      <c r="J103" s="420"/>
      <c r="K103" s="420"/>
      <c r="L103" s="415"/>
      <c r="M103" s="420"/>
      <c r="N103" s="420"/>
      <c r="O103" s="420"/>
      <c r="P103" s="420"/>
      <c r="Q103" s="415"/>
      <c r="R103" s="420"/>
      <c r="S103" s="420"/>
      <c r="T103" s="420"/>
      <c r="U103" s="420"/>
      <c r="V103" s="415"/>
      <c r="W103" s="420"/>
      <c r="X103" s="420"/>
      <c r="Y103" s="420"/>
      <c r="Z103" s="420"/>
      <c r="AA103" s="415"/>
      <c r="AB103" s="420"/>
      <c r="AC103" s="420"/>
      <c r="AD103" s="420"/>
      <c r="AE103" s="420"/>
      <c r="AF103" s="415"/>
      <c r="AG103" s="420"/>
      <c r="AH103" s="420"/>
      <c r="AI103" s="420"/>
      <c r="AJ103" s="420"/>
      <c r="AK103" s="415"/>
      <c r="AL103" s="420"/>
      <c r="AM103" s="420"/>
      <c r="AN103" s="420"/>
      <c r="AO103" s="420"/>
      <c r="AP103" s="415"/>
      <c r="AQ103" s="420"/>
      <c r="AR103" s="420"/>
      <c r="AS103" s="420"/>
      <c r="AT103" s="420"/>
      <c r="AU103" s="415"/>
      <c r="AV103" s="420"/>
      <c r="AW103" s="420"/>
      <c r="AX103" s="420"/>
      <c r="AY103" s="420"/>
      <c r="AZ103" s="415"/>
      <c r="BA103" s="420"/>
      <c r="BB103" s="420"/>
      <c r="BC103" s="420"/>
      <c r="BD103" s="420"/>
      <c r="BE103" s="415"/>
      <c r="BF103" s="420"/>
      <c r="BG103" s="420"/>
      <c r="BH103" s="420"/>
      <c r="BI103" s="420"/>
      <c r="BJ103" s="415"/>
      <c r="BK103" s="420"/>
      <c r="BL103" s="420"/>
      <c r="BM103" s="420"/>
      <c r="BN103" s="420"/>
      <c r="BO103" s="415"/>
      <c r="BP103" s="420"/>
      <c r="BQ103" s="420"/>
      <c r="BR103" s="420"/>
      <c r="BS103" s="420"/>
      <c r="BT103" s="415"/>
      <c r="BU103" s="420"/>
      <c r="BV103" s="420"/>
      <c r="BW103" s="420"/>
      <c r="BX103" s="420"/>
      <c r="BY103" s="415"/>
      <c r="BZ103" s="420"/>
      <c r="CA103" s="420"/>
      <c r="CB103" s="420"/>
      <c r="CC103" s="420"/>
      <c r="CD103" s="415"/>
      <c r="CE103" s="420"/>
      <c r="CF103" s="420"/>
      <c r="CG103" s="420"/>
      <c r="CH103" s="420"/>
      <c r="CI103" s="415"/>
      <c r="CJ103" s="420"/>
      <c r="CK103" s="420"/>
      <c r="CL103" s="420"/>
      <c r="CM103" s="420"/>
      <c r="CN103" s="415"/>
      <c r="CO103" s="420"/>
      <c r="CP103" s="420"/>
      <c r="CQ103" s="420"/>
      <c r="CR103" s="420"/>
      <c r="CS103" s="415"/>
      <c r="CT103" s="420"/>
      <c r="CU103" s="420"/>
      <c r="CV103" s="420"/>
      <c r="CW103" s="420"/>
      <c r="CX103" s="415"/>
    </row>
    <row r="104" spans="1:110">
      <c r="A104" s="427"/>
      <c r="B104" s="428" t="s">
        <v>389</v>
      </c>
      <c r="C104" s="420">
        <v>1.4019999999999999</v>
      </c>
      <c r="D104" s="420">
        <v>1.127</v>
      </c>
      <c r="E104" s="420">
        <v>1.3340000000000001</v>
      </c>
      <c r="F104" s="420">
        <v>1.3069999999999999</v>
      </c>
      <c r="G104" s="415">
        <f t="shared" ref="G104:G106" si="331">SUM(C104:F104)</f>
        <v>5.17</v>
      </c>
      <c r="H104" s="420">
        <v>0.873</v>
      </c>
      <c r="I104" s="420">
        <v>1.335</v>
      </c>
      <c r="J104" s="420">
        <v>1.327</v>
      </c>
      <c r="K104" s="420">
        <v>1.355</v>
      </c>
      <c r="L104" s="415">
        <f t="shared" ref="L104:L106" si="332">SUM(H104:K104)</f>
        <v>4.8900000000000006</v>
      </c>
      <c r="M104" s="420">
        <v>1.044</v>
      </c>
      <c r="N104" s="420">
        <v>1.1299999999999999</v>
      </c>
      <c r="O104" s="420">
        <v>1.4890000000000001</v>
      </c>
      <c r="P104" s="420">
        <v>1.1970000000000001</v>
      </c>
      <c r="Q104" s="415">
        <f t="shared" ref="Q104:Q106" si="333">SUM(M104:P104)</f>
        <v>4.8600000000000003</v>
      </c>
      <c r="R104" s="420">
        <v>1.0860000000000001</v>
      </c>
      <c r="S104" s="420">
        <v>1.64</v>
      </c>
      <c r="T104" s="420">
        <v>1.18</v>
      </c>
      <c r="U104" s="420">
        <v>2.2000000000000002</v>
      </c>
      <c r="V104" s="415">
        <f t="shared" ref="V104:V106" si="334">SUM(R104:U104)</f>
        <v>6.1059999999999999</v>
      </c>
      <c r="W104" s="420">
        <v>1.3</v>
      </c>
      <c r="X104" s="420">
        <v>1.75</v>
      </c>
      <c r="Y104" s="420">
        <v>1.3859999999999999</v>
      </c>
      <c r="Z104" s="420">
        <v>2.5</v>
      </c>
      <c r="AA104" s="415">
        <f t="shared" ref="AA104:AA106" si="335">SUM(W104:Z104)</f>
        <v>6.9359999999999999</v>
      </c>
      <c r="AB104" s="420">
        <v>1.5620000000000001</v>
      </c>
      <c r="AC104" s="420">
        <v>2.2890000000000001</v>
      </c>
      <c r="AD104" s="420">
        <v>2.0920000000000001</v>
      </c>
      <c r="AE104" s="420">
        <v>3</v>
      </c>
      <c r="AF104" s="415">
        <f>AE104+AD104+AC104+AB104</f>
        <v>8.9429999999999996</v>
      </c>
      <c r="AG104" s="420">
        <v>2.286</v>
      </c>
      <c r="AH104" s="420">
        <v>2.5</v>
      </c>
      <c r="AI104" s="420">
        <v>3</v>
      </c>
      <c r="AJ104" s="420">
        <v>2.8</v>
      </c>
      <c r="AK104" s="415">
        <f>AJ104+AI104+AH104+AG104</f>
        <v>10.586</v>
      </c>
      <c r="AL104" s="420">
        <v>2.75</v>
      </c>
      <c r="AM104" s="420">
        <f>AL104*1.025</f>
        <v>2.8187499999999996</v>
      </c>
      <c r="AN104" s="420">
        <f>AM104*1.025</f>
        <v>2.8892187499999995</v>
      </c>
      <c r="AO104" s="420">
        <f>AP104-SUM(AL104:AN104)</f>
        <v>2.6573312500000021</v>
      </c>
      <c r="AP104" s="415">
        <f>AK104*1.05</f>
        <v>11.115300000000001</v>
      </c>
      <c r="AQ104" s="420"/>
      <c r="AR104" s="420"/>
      <c r="AS104" s="420"/>
      <c r="AT104" s="420"/>
      <c r="AU104" s="415">
        <f>AP104*1.05</f>
        <v>11.671065000000002</v>
      </c>
      <c r="AV104" s="420"/>
      <c r="AW104" s="420"/>
      <c r="AX104" s="420"/>
      <c r="AY104" s="420"/>
      <c r="AZ104" s="415">
        <f>AU104*1.05</f>
        <v>12.254618250000004</v>
      </c>
      <c r="BA104" s="420"/>
      <c r="BB104" s="420"/>
      <c r="BC104" s="420"/>
      <c r="BD104" s="420"/>
      <c r="BE104" s="415">
        <f>AZ104*1.05</f>
        <v>12.867349162500004</v>
      </c>
      <c r="BF104" s="420"/>
      <c r="BG104" s="420"/>
      <c r="BH104" s="420"/>
      <c r="BI104" s="420"/>
      <c r="BJ104" s="415">
        <f>BE104*1.05</f>
        <v>13.510716620625004</v>
      </c>
      <c r="BK104" s="420"/>
      <c r="BL104" s="420"/>
      <c r="BM104" s="420"/>
      <c r="BN104" s="420"/>
      <c r="BO104" s="415">
        <f>BJ104*1.05</f>
        <v>14.186252451656255</v>
      </c>
      <c r="BP104" s="420"/>
      <c r="BQ104" s="420"/>
      <c r="BR104" s="420"/>
      <c r="BS104" s="420"/>
      <c r="BT104" s="415">
        <f>BO104*1.05</f>
        <v>14.895565074239068</v>
      </c>
      <c r="BU104" s="420"/>
      <c r="BV104" s="420"/>
      <c r="BW104" s="420"/>
      <c r="BX104" s="420"/>
      <c r="BY104" s="415">
        <f>BT104*1.05</f>
        <v>15.640343327951022</v>
      </c>
      <c r="BZ104" s="420"/>
      <c r="CA104" s="420"/>
      <c r="CB104" s="420"/>
      <c r="CC104" s="420"/>
      <c r="CD104" s="415">
        <f>BY104*1.05</f>
        <v>16.422360494348574</v>
      </c>
      <c r="CE104" s="420"/>
      <c r="CF104" s="420"/>
      <c r="CG104" s="420"/>
      <c r="CH104" s="420"/>
      <c r="CI104" s="415">
        <f>CD104*1.05</f>
        <v>17.243478519066002</v>
      </c>
      <c r="CJ104" s="420"/>
      <c r="CK104" s="420"/>
      <c r="CL104" s="420"/>
      <c r="CM104" s="420"/>
      <c r="CN104" s="415">
        <f>CI104*1.05</f>
        <v>18.105652445019302</v>
      </c>
      <c r="CO104" s="420"/>
      <c r="CP104" s="420"/>
      <c r="CQ104" s="420"/>
      <c r="CR104" s="420"/>
      <c r="CS104" s="415">
        <f>CN104*1.05</f>
        <v>19.010935067270267</v>
      </c>
      <c r="CT104" s="420"/>
      <c r="CU104" s="420"/>
      <c r="CV104" s="420"/>
      <c r="CW104" s="420"/>
      <c r="CX104" s="415">
        <f>CS104*1.05</f>
        <v>19.961481820633782</v>
      </c>
    </row>
    <row r="105" spans="1:110">
      <c r="A105" s="427"/>
      <c r="B105" s="429" t="s">
        <v>34</v>
      </c>
      <c r="C105" s="420">
        <v>3.6739999999999999</v>
      </c>
      <c r="D105" s="420">
        <v>4.024</v>
      </c>
      <c r="E105" s="420">
        <v>4.3719999999999999</v>
      </c>
      <c r="F105" s="420">
        <v>4.2949999999999999</v>
      </c>
      <c r="G105" s="415">
        <f t="shared" si="331"/>
        <v>16.365000000000002</v>
      </c>
      <c r="H105" s="420">
        <v>4.6950000000000003</v>
      </c>
      <c r="I105" s="420">
        <v>5.468</v>
      </c>
      <c r="J105" s="420">
        <v>5.0599999999999996</v>
      </c>
      <c r="K105" s="420">
        <v>5.3849999999999998</v>
      </c>
      <c r="L105" s="415">
        <f t="shared" si="332"/>
        <v>20.607999999999997</v>
      </c>
      <c r="M105" s="420">
        <v>5.3239999999999998</v>
      </c>
      <c r="N105" s="420">
        <v>6.3810000000000002</v>
      </c>
      <c r="O105" s="420">
        <v>7.1159999999999997</v>
      </c>
      <c r="P105" s="420">
        <v>8.9420000000000002</v>
      </c>
      <c r="Q105" s="415">
        <f t="shared" si="333"/>
        <v>27.762999999999998</v>
      </c>
      <c r="R105" s="420">
        <v>7.1150000000000002</v>
      </c>
      <c r="S105" s="420">
        <v>6.8940000000000001</v>
      </c>
      <c r="T105" s="420">
        <v>8.2789999999999999</v>
      </c>
      <c r="U105" s="420">
        <v>11.5</v>
      </c>
      <c r="V105" s="415">
        <f t="shared" si="334"/>
        <v>33.787999999999997</v>
      </c>
      <c r="W105" s="420">
        <v>10</v>
      </c>
      <c r="X105" s="420">
        <v>12.464</v>
      </c>
      <c r="Y105" s="420">
        <v>12.577999999999999</v>
      </c>
      <c r="Z105" s="420">
        <v>14.4</v>
      </c>
      <c r="AA105" s="415">
        <f t="shared" si="335"/>
        <v>49.442</v>
      </c>
      <c r="AB105" s="420">
        <v>13.707000000000001</v>
      </c>
      <c r="AC105" s="420">
        <v>14.814</v>
      </c>
      <c r="AD105" s="420">
        <v>14.164999999999999</v>
      </c>
      <c r="AE105" s="420">
        <v>15</v>
      </c>
      <c r="AF105" s="415">
        <f>AE105+AD105+AC105+AB105</f>
        <v>57.686</v>
      </c>
      <c r="AG105" s="420">
        <v>11.494</v>
      </c>
      <c r="AH105" s="420">
        <v>14.6</v>
      </c>
      <c r="AI105" s="420">
        <v>13.8</v>
      </c>
      <c r="AJ105" s="420">
        <v>13.2</v>
      </c>
      <c r="AK105" s="415">
        <f t="shared" ref="AK105:AK106" si="336">AJ105+AI105+AH105+AG105</f>
        <v>53.094000000000001</v>
      </c>
      <c r="AL105" s="420">
        <v>13.5</v>
      </c>
      <c r="AM105" s="420">
        <f>AL105*1.05</f>
        <v>14.175000000000001</v>
      </c>
      <c r="AN105" s="420">
        <f>AM105*1.05</f>
        <v>14.883750000000001</v>
      </c>
      <c r="AO105" s="420">
        <f t="shared" ref="AO105:AO106" si="337">AP105-SUM(AL105:AN105)</f>
        <v>15.844650000000001</v>
      </c>
      <c r="AP105" s="415">
        <f>AK105*1.1</f>
        <v>58.403400000000005</v>
      </c>
      <c r="AQ105" s="420"/>
      <c r="AR105" s="420"/>
      <c r="AS105" s="420"/>
      <c r="AT105" s="420"/>
      <c r="AU105" s="415">
        <f>AP105*1.1</f>
        <v>64.243740000000017</v>
      </c>
      <c r="AV105" s="420"/>
      <c r="AW105" s="420"/>
      <c r="AX105" s="420"/>
      <c r="AY105" s="420"/>
      <c r="AZ105" s="415">
        <f>AU105*1.075</f>
        <v>69.062020500000017</v>
      </c>
      <c r="BA105" s="420"/>
      <c r="BB105" s="420"/>
      <c r="BC105" s="420"/>
      <c r="BD105" s="420"/>
      <c r="BE105" s="415">
        <f>AZ105*1.075</f>
        <v>74.24167203750001</v>
      </c>
      <c r="BF105" s="420"/>
      <c r="BG105" s="420"/>
      <c r="BH105" s="420"/>
      <c r="BI105" s="420"/>
      <c r="BJ105" s="415">
        <f>BE105*1.075</f>
        <v>79.809797440312508</v>
      </c>
      <c r="BK105" s="420"/>
      <c r="BL105" s="420"/>
      <c r="BM105" s="420"/>
      <c r="BN105" s="420"/>
      <c r="BO105" s="415">
        <f>BJ105*1.075</f>
        <v>85.795532248335945</v>
      </c>
      <c r="BP105" s="420"/>
      <c r="BQ105" s="420"/>
      <c r="BR105" s="420"/>
      <c r="BS105" s="420"/>
      <c r="BT105" s="415">
        <f>BO105*1.075</f>
        <v>92.230197166961133</v>
      </c>
      <c r="BU105" s="420"/>
      <c r="BV105" s="420"/>
      <c r="BW105" s="420"/>
      <c r="BX105" s="420"/>
      <c r="BY105" s="415">
        <f>BT105*1.075</f>
        <v>99.147461954483219</v>
      </c>
      <c r="BZ105" s="420"/>
      <c r="CA105" s="420"/>
      <c r="CB105" s="420"/>
      <c r="CC105" s="420"/>
      <c r="CD105" s="415">
        <f>BY105*1.075</f>
        <v>106.58352160106945</v>
      </c>
      <c r="CE105" s="420"/>
      <c r="CF105" s="420"/>
      <c r="CG105" s="420"/>
      <c r="CH105" s="420"/>
      <c r="CI105" s="415">
        <f>CD105*1.075</f>
        <v>114.57728572114965</v>
      </c>
      <c r="CJ105" s="420"/>
      <c r="CK105" s="420"/>
      <c r="CL105" s="420"/>
      <c r="CM105" s="420"/>
      <c r="CN105" s="415">
        <f>CI105*1.075</f>
        <v>123.17058215023587</v>
      </c>
      <c r="CO105" s="420"/>
      <c r="CP105" s="420"/>
      <c r="CQ105" s="420"/>
      <c r="CR105" s="420"/>
      <c r="CS105" s="415">
        <f>CN105*1.075</f>
        <v>132.40837581150356</v>
      </c>
      <c r="CT105" s="420"/>
      <c r="CU105" s="420"/>
      <c r="CV105" s="420"/>
      <c r="CW105" s="420"/>
      <c r="CX105" s="415">
        <f>CS105*1.075</f>
        <v>142.33900399736632</v>
      </c>
    </row>
    <row r="106" spans="1:110">
      <c r="A106" s="427"/>
      <c r="B106" s="429" t="s">
        <v>35</v>
      </c>
      <c r="C106" s="420">
        <v>5.3040000000000003</v>
      </c>
      <c r="D106" s="420">
        <v>5.4560000000000004</v>
      </c>
      <c r="E106" s="420">
        <v>5.9119999999999999</v>
      </c>
      <c r="F106" s="420">
        <v>5.61</v>
      </c>
      <c r="G106" s="415">
        <f t="shared" si="331"/>
        <v>22.282</v>
      </c>
      <c r="H106" s="420">
        <v>5.5659999999999998</v>
      </c>
      <c r="I106" s="420">
        <v>5.8339999999999996</v>
      </c>
      <c r="J106" s="420">
        <v>5.7519999999999998</v>
      </c>
      <c r="K106" s="420">
        <v>5.3250000000000002</v>
      </c>
      <c r="L106" s="415">
        <f t="shared" si="332"/>
        <v>22.476999999999997</v>
      </c>
      <c r="M106" s="420">
        <v>5.1970000000000001</v>
      </c>
      <c r="N106" s="420">
        <v>6.4180000000000001</v>
      </c>
      <c r="O106" s="420">
        <v>7.6</v>
      </c>
      <c r="P106" s="420">
        <v>12.539</v>
      </c>
      <c r="Q106" s="415">
        <f t="shared" si="333"/>
        <v>31.753999999999998</v>
      </c>
      <c r="R106" s="420">
        <v>8.1029999999999998</v>
      </c>
      <c r="S106" s="420">
        <v>8.7159999999999993</v>
      </c>
      <c r="T106" s="420">
        <v>10.545</v>
      </c>
      <c r="U106" s="420">
        <v>19.100000000000001</v>
      </c>
      <c r="V106" s="415">
        <f t="shared" si="334"/>
        <v>46.463999999999999</v>
      </c>
      <c r="W106" s="420">
        <v>11.4</v>
      </c>
      <c r="X106" s="420">
        <v>15.295</v>
      </c>
      <c r="Y106" s="420">
        <v>14.794</v>
      </c>
      <c r="Z106" s="420">
        <v>13.8</v>
      </c>
      <c r="AA106" s="415">
        <f t="shared" si="335"/>
        <v>55.289000000000001</v>
      </c>
      <c r="AB106" s="420">
        <v>14.907999999999999</v>
      </c>
      <c r="AC106" s="420">
        <v>16.795000000000002</v>
      </c>
      <c r="AD106" s="420">
        <v>16.645</v>
      </c>
      <c r="AE106" s="420">
        <v>19</v>
      </c>
      <c r="AF106" s="415">
        <f>AE106+AD106+AC106+AB106</f>
        <v>67.347999999999999</v>
      </c>
      <c r="AG106" s="420">
        <v>16.893999999999998</v>
      </c>
      <c r="AH106" s="420">
        <v>22.9</v>
      </c>
      <c r="AI106" s="420">
        <v>19.100000000000001</v>
      </c>
      <c r="AJ106" s="420">
        <v>17.600000000000001</v>
      </c>
      <c r="AK106" s="415">
        <f t="shared" si="336"/>
        <v>76.494</v>
      </c>
      <c r="AL106" s="420">
        <v>20</v>
      </c>
      <c r="AM106" s="420">
        <f>AL106*1.05</f>
        <v>21</v>
      </c>
      <c r="AN106" s="420">
        <f>AM106*1.05</f>
        <v>22.05</v>
      </c>
      <c r="AO106" s="420">
        <f t="shared" si="337"/>
        <v>21.093400000000003</v>
      </c>
      <c r="AP106" s="415">
        <f>AK106*1.1</f>
        <v>84.1434</v>
      </c>
      <c r="AQ106" s="420"/>
      <c r="AR106" s="420"/>
      <c r="AS106" s="420"/>
      <c r="AT106" s="420"/>
      <c r="AU106" s="415">
        <f>AP106*1.1</f>
        <v>92.55774000000001</v>
      </c>
      <c r="AV106" s="420"/>
      <c r="AW106" s="420"/>
      <c r="AX106" s="420"/>
      <c r="AY106" s="420"/>
      <c r="AZ106" s="415">
        <f>AU106*1.075</f>
        <v>99.499570500000004</v>
      </c>
      <c r="BA106" s="420"/>
      <c r="BB106" s="420"/>
      <c r="BC106" s="420"/>
      <c r="BD106" s="420"/>
      <c r="BE106" s="415">
        <f>AZ106*1.075</f>
        <v>106.96203828749999</v>
      </c>
      <c r="BF106" s="420"/>
      <c r="BG106" s="420"/>
      <c r="BH106" s="420"/>
      <c r="BI106" s="420"/>
      <c r="BJ106" s="415">
        <f>BE106*1.075</f>
        <v>114.98419115906249</v>
      </c>
      <c r="BK106" s="420"/>
      <c r="BL106" s="420"/>
      <c r="BM106" s="420"/>
      <c r="BN106" s="420"/>
      <c r="BO106" s="415">
        <f>BJ106*1.075</f>
        <v>123.60800549599217</v>
      </c>
      <c r="BP106" s="420"/>
      <c r="BQ106" s="420"/>
      <c r="BR106" s="420"/>
      <c r="BS106" s="420"/>
      <c r="BT106" s="415">
        <f>BO106*1.075</f>
        <v>132.87860590819159</v>
      </c>
      <c r="BU106" s="420"/>
      <c r="BV106" s="420"/>
      <c r="BW106" s="420"/>
      <c r="BX106" s="420"/>
      <c r="BY106" s="415">
        <f>BT106*1.075</f>
        <v>142.84450135130595</v>
      </c>
      <c r="BZ106" s="420"/>
      <c r="CA106" s="420"/>
      <c r="CB106" s="420"/>
      <c r="CC106" s="420"/>
      <c r="CD106" s="415">
        <f>BY106*1.075</f>
        <v>153.5578389526539</v>
      </c>
      <c r="CE106" s="420"/>
      <c r="CF106" s="420"/>
      <c r="CG106" s="420"/>
      <c r="CH106" s="420"/>
      <c r="CI106" s="415">
        <f>CD106*1.075</f>
        <v>165.07467687410292</v>
      </c>
      <c r="CJ106" s="420"/>
      <c r="CK106" s="420"/>
      <c r="CL106" s="420"/>
      <c r="CM106" s="420"/>
      <c r="CN106" s="415">
        <f>CI106*1.075</f>
        <v>177.45527763966064</v>
      </c>
      <c r="CO106" s="420"/>
      <c r="CP106" s="420"/>
      <c r="CQ106" s="420"/>
      <c r="CR106" s="420"/>
      <c r="CS106" s="415">
        <f>CN106*1.075</f>
        <v>190.76442346263516</v>
      </c>
      <c r="CT106" s="420"/>
      <c r="CU106" s="420"/>
      <c r="CV106" s="420"/>
      <c r="CW106" s="420"/>
      <c r="CX106" s="415">
        <f>CS106*1.075</f>
        <v>205.0717552223328</v>
      </c>
    </row>
    <row r="107" spans="1:110" s="172" customFormat="1">
      <c r="A107" s="430"/>
      <c r="B107" s="431" t="s">
        <v>390</v>
      </c>
      <c r="C107" s="426">
        <f>SUM(C104:C106)</f>
        <v>10.379999999999999</v>
      </c>
      <c r="D107" s="426">
        <f>SUM(D104:D106)</f>
        <v>10.606999999999999</v>
      </c>
      <c r="E107" s="426">
        <f>SUM(E104:E106)</f>
        <v>11.617999999999999</v>
      </c>
      <c r="F107" s="426">
        <f t="shared" ref="F107" si="338">SUM(F104:F106)</f>
        <v>11.212</v>
      </c>
      <c r="G107" s="201">
        <f t="shared" ref="G107" si="339">SUM(G104:G106)</f>
        <v>43.817000000000007</v>
      </c>
      <c r="H107" s="426">
        <f>SUM(H104:H106)</f>
        <v>11.134</v>
      </c>
      <c r="I107" s="426">
        <f>SUM(I104:I106)</f>
        <v>12.637</v>
      </c>
      <c r="J107" s="426">
        <f>SUM(J104:J106)</f>
        <v>12.138999999999999</v>
      </c>
      <c r="K107" s="426">
        <f>SUM(K104:K106)</f>
        <v>12.065000000000001</v>
      </c>
      <c r="L107" s="201">
        <f t="shared" ref="L107" si="340">SUM(L104:L106)</f>
        <v>47.974999999999994</v>
      </c>
      <c r="M107" s="426">
        <f t="shared" ref="M107:Q107" si="341">SUM(M104:M106)</f>
        <v>11.565000000000001</v>
      </c>
      <c r="N107" s="426">
        <f t="shared" si="341"/>
        <v>13.929</v>
      </c>
      <c r="O107" s="426">
        <f t="shared" si="341"/>
        <v>16.204999999999998</v>
      </c>
      <c r="P107" s="426">
        <f t="shared" si="341"/>
        <v>22.677999999999997</v>
      </c>
      <c r="Q107" s="201">
        <f t="shared" si="341"/>
        <v>64.376999999999995</v>
      </c>
      <c r="R107" s="426">
        <f t="shared" ref="R107:Z107" si="342">SUM(R104:R106)</f>
        <v>16.304000000000002</v>
      </c>
      <c r="S107" s="426">
        <f t="shared" si="342"/>
        <v>17.25</v>
      </c>
      <c r="T107" s="426">
        <f t="shared" si="342"/>
        <v>20.003999999999998</v>
      </c>
      <c r="U107" s="426">
        <f t="shared" si="342"/>
        <v>32.799999999999997</v>
      </c>
      <c r="V107" s="201">
        <f t="shared" si="342"/>
        <v>86.358000000000004</v>
      </c>
      <c r="W107" s="426">
        <f t="shared" si="342"/>
        <v>22.700000000000003</v>
      </c>
      <c r="X107" s="426">
        <f t="shared" si="342"/>
        <v>29.509</v>
      </c>
      <c r="Y107" s="426">
        <f t="shared" si="342"/>
        <v>28.757999999999999</v>
      </c>
      <c r="Z107" s="426">
        <f t="shared" si="342"/>
        <v>30.7</v>
      </c>
      <c r="AA107" s="201">
        <f t="shared" ref="AA107" si="343">SUM(AA104:AA106)</f>
        <v>111.667</v>
      </c>
      <c r="AB107" s="426">
        <f>SUM(AB104:AB106)</f>
        <v>30.177</v>
      </c>
      <c r="AC107" s="426">
        <f t="shared" ref="AC107:AO107" si="344">SUM(AC104:AC106)</f>
        <v>33.898000000000003</v>
      </c>
      <c r="AD107" s="426">
        <f t="shared" si="344"/>
        <v>32.902000000000001</v>
      </c>
      <c r="AE107" s="426">
        <f t="shared" si="344"/>
        <v>37</v>
      </c>
      <c r="AF107" s="201">
        <f t="shared" si="344"/>
        <v>133.977</v>
      </c>
      <c r="AG107" s="426">
        <f t="shared" si="344"/>
        <v>30.673999999999999</v>
      </c>
      <c r="AH107" s="426">
        <f t="shared" si="344"/>
        <v>40</v>
      </c>
      <c r="AI107" s="426">
        <f t="shared" si="344"/>
        <v>35.900000000000006</v>
      </c>
      <c r="AJ107" s="426">
        <f t="shared" si="344"/>
        <v>33.6</v>
      </c>
      <c r="AK107" s="201">
        <f t="shared" ref="AK107" si="345">SUM(AK104:AK106)</f>
        <v>140.17400000000001</v>
      </c>
      <c r="AL107" s="426">
        <f t="shared" si="344"/>
        <v>36.25</v>
      </c>
      <c r="AM107" s="426">
        <f t="shared" si="344"/>
        <v>37.993749999999999</v>
      </c>
      <c r="AN107" s="426">
        <f t="shared" si="344"/>
        <v>39.822968750000001</v>
      </c>
      <c r="AO107" s="426">
        <f t="shared" si="344"/>
        <v>39.595381250000003</v>
      </c>
      <c r="AP107" s="201">
        <f t="shared" ref="AP107" si="346">SUM(AP104:AP106)</f>
        <v>153.66210000000001</v>
      </c>
      <c r="AQ107" s="426"/>
      <c r="AR107" s="426"/>
      <c r="AS107" s="426"/>
      <c r="AT107" s="426"/>
      <c r="AU107" s="201">
        <f t="shared" ref="AU107" si="347">SUM(AU104:AU106)</f>
        <v>168.47254500000003</v>
      </c>
      <c r="AV107" s="426"/>
      <c r="AW107" s="426"/>
      <c r="AX107" s="426"/>
      <c r="AY107" s="426"/>
      <c r="AZ107" s="201">
        <f t="shared" ref="AZ107" si="348">SUM(AZ104:AZ106)</f>
        <v>180.81620925000004</v>
      </c>
      <c r="BA107" s="426"/>
      <c r="BB107" s="426"/>
      <c r="BC107" s="426"/>
      <c r="BD107" s="426"/>
      <c r="BE107" s="201">
        <f t="shared" ref="BE107" si="349">SUM(BE104:BE106)</f>
        <v>194.07105948750001</v>
      </c>
      <c r="BF107" s="426"/>
      <c r="BG107" s="426"/>
      <c r="BH107" s="426"/>
      <c r="BI107" s="426"/>
      <c r="BJ107" s="201">
        <f t="shared" ref="BJ107" si="350">SUM(BJ104:BJ106)</f>
        <v>208.30470522000002</v>
      </c>
      <c r="BK107" s="426"/>
      <c r="BL107" s="426"/>
      <c r="BM107" s="426"/>
      <c r="BN107" s="426"/>
      <c r="BO107" s="201">
        <f t="shared" ref="BO107" si="351">SUM(BO104:BO106)</f>
        <v>223.58979019598439</v>
      </c>
      <c r="BP107" s="426"/>
      <c r="BQ107" s="426"/>
      <c r="BR107" s="426"/>
      <c r="BS107" s="426"/>
      <c r="BT107" s="201">
        <f t="shared" ref="BT107" si="352">SUM(BT104:BT106)</f>
        <v>240.00436814939178</v>
      </c>
      <c r="BU107" s="426"/>
      <c r="BV107" s="426"/>
      <c r="BW107" s="426"/>
      <c r="BX107" s="426"/>
      <c r="BY107" s="201">
        <f t="shared" ref="BY107" si="353">SUM(BY104:BY106)</f>
        <v>257.6323066337402</v>
      </c>
      <c r="BZ107" s="426"/>
      <c r="CA107" s="426"/>
      <c r="CB107" s="426"/>
      <c r="CC107" s="426"/>
      <c r="CD107" s="201">
        <f t="shared" ref="CD107" si="354">SUM(CD104:CD106)</f>
        <v>276.5637210480719</v>
      </c>
      <c r="CE107" s="426"/>
      <c r="CF107" s="426"/>
      <c r="CG107" s="426"/>
      <c r="CH107" s="426"/>
      <c r="CI107" s="201">
        <f t="shared" ref="CI107" si="355">SUM(CI104:CI106)</f>
        <v>296.8954411143186</v>
      </c>
      <c r="CJ107" s="426"/>
      <c r="CK107" s="426"/>
      <c r="CL107" s="426"/>
      <c r="CM107" s="426"/>
      <c r="CN107" s="201">
        <f t="shared" ref="CN107" si="356">SUM(CN104:CN106)</f>
        <v>318.73151223491584</v>
      </c>
      <c r="CO107" s="426"/>
      <c r="CP107" s="426"/>
      <c r="CQ107" s="426"/>
      <c r="CR107" s="426"/>
      <c r="CS107" s="201">
        <f t="shared" ref="CS107" si="357">SUM(CS104:CS106)</f>
        <v>342.18373434140904</v>
      </c>
      <c r="CT107" s="426"/>
      <c r="CU107" s="426"/>
      <c r="CV107" s="426"/>
      <c r="CW107" s="426"/>
      <c r="CX107" s="201">
        <f t="shared" ref="CX107" si="358">SUM(CX104:CX106)</f>
        <v>367.37224104033294</v>
      </c>
      <c r="DA107"/>
      <c r="DB107"/>
      <c r="DC107"/>
      <c r="DD107"/>
      <c r="DE107"/>
      <c r="DF107"/>
    </row>
    <row r="108" spans="1:110">
      <c r="B108" s="197"/>
      <c r="C108" s="420"/>
      <c r="D108" s="420"/>
      <c r="E108" s="420"/>
      <c r="F108" s="420"/>
      <c r="G108" s="415"/>
      <c r="H108" s="420"/>
      <c r="I108" s="420"/>
      <c r="J108" s="420"/>
      <c r="K108" s="420"/>
      <c r="L108" s="415"/>
      <c r="M108" s="420"/>
      <c r="N108" s="420"/>
      <c r="O108" s="420"/>
      <c r="P108" s="420"/>
      <c r="Q108" s="415"/>
      <c r="R108" s="420"/>
      <c r="S108" s="420"/>
      <c r="T108" s="420"/>
      <c r="U108" s="420"/>
      <c r="V108" s="415"/>
      <c r="W108" s="420"/>
      <c r="X108" s="420"/>
      <c r="Y108" s="420"/>
      <c r="Z108" s="420"/>
      <c r="AA108" s="415"/>
      <c r="AB108" s="420"/>
      <c r="AC108" s="420"/>
      <c r="AD108" s="420"/>
      <c r="AE108" s="420"/>
      <c r="AF108" s="415"/>
      <c r="AG108" s="420"/>
      <c r="AH108" s="420"/>
      <c r="AI108" s="420"/>
      <c r="AJ108" s="420"/>
      <c r="AK108" s="415"/>
      <c r="AL108" s="420"/>
      <c r="AM108" s="420"/>
      <c r="AN108" s="420"/>
      <c r="AO108" s="420"/>
      <c r="AP108" s="415"/>
      <c r="AQ108" s="420"/>
      <c r="AR108" s="420"/>
      <c r="AS108" s="420"/>
      <c r="AT108" s="420"/>
      <c r="AU108" s="415"/>
      <c r="AV108" s="420"/>
      <c r="AW108" s="420"/>
      <c r="AX108" s="420"/>
      <c r="AY108" s="420"/>
      <c r="AZ108" s="415"/>
      <c r="BA108" s="420"/>
      <c r="BB108" s="420"/>
      <c r="BC108" s="420"/>
      <c r="BD108" s="420"/>
      <c r="BE108" s="415"/>
      <c r="BF108" s="420"/>
      <c r="BG108" s="420"/>
      <c r="BH108" s="420"/>
      <c r="BI108" s="420"/>
      <c r="BJ108" s="415"/>
      <c r="BK108" s="420"/>
      <c r="BL108" s="420"/>
      <c r="BM108" s="420"/>
      <c r="BN108" s="420"/>
      <c r="BO108" s="415"/>
      <c r="BP108" s="420"/>
      <c r="BQ108" s="420"/>
      <c r="BR108" s="420"/>
      <c r="BS108" s="420"/>
      <c r="BT108" s="415"/>
      <c r="BU108" s="420"/>
      <c r="BV108" s="420"/>
      <c r="BW108" s="420"/>
      <c r="BX108" s="420"/>
      <c r="BY108" s="415"/>
      <c r="BZ108" s="420"/>
      <c r="CA108" s="420"/>
      <c r="CB108" s="420"/>
      <c r="CC108" s="420"/>
      <c r="CD108" s="415"/>
      <c r="CE108" s="420"/>
      <c r="CF108" s="420"/>
      <c r="CG108" s="420"/>
      <c r="CH108" s="420"/>
      <c r="CI108" s="415"/>
      <c r="CJ108" s="420"/>
      <c r="CK108" s="420"/>
      <c r="CL108" s="420"/>
      <c r="CM108" s="420"/>
      <c r="CN108" s="415"/>
      <c r="CO108" s="420"/>
      <c r="CP108" s="420"/>
      <c r="CQ108" s="420"/>
      <c r="CR108" s="420"/>
      <c r="CS108" s="415"/>
      <c r="CT108" s="420"/>
      <c r="CU108" s="420"/>
      <c r="CV108" s="420"/>
      <c r="CW108" s="420"/>
      <c r="CX108" s="415"/>
    </row>
    <row r="109" spans="1:110">
      <c r="B109" s="414" t="s">
        <v>428</v>
      </c>
      <c r="C109" s="420">
        <v>1.4</v>
      </c>
      <c r="D109" s="420">
        <v>1.3</v>
      </c>
      <c r="E109" s="420">
        <v>1.4</v>
      </c>
      <c r="F109" s="420">
        <v>1.1000000000000001</v>
      </c>
      <c r="G109" s="415">
        <f t="shared" ref="G109:G117" si="359">SUM(C109:F109)</f>
        <v>5.1999999999999993</v>
      </c>
      <c r="H109" s="420">
        <v>1.4</v>
      </c>
      <c r="I109" s="420">
        <v>1.4</v>
      </c>
      <c r="J109" s="420">
        <v>1.1000000000000001</v>
      </c>
      <c r="K109" s="420">
        <v>1.2</v>
      </c>
      <c r="L109" s="415">
        <f t="shared" ref="L109:L117" si="360">SUM(H109:K109)</f>
        <v>5.0999999999999996</v>
      </c>
      <c r="M109" s="420">
        <f>1.725-0.718</f>
        <v>1.0070000000000001</v>
      </c>
      <c r="N109" s="420">
        <v>0</v>
      </c>
      <c r="O109" s="420">
        <v>0</v>
      </c>
      <c r="P109" s="420">
        <v>6.5</v>
      </c>
      <c r="Q109" s="415">
        <f t="shared" ref="Q109:Q117" si="361">SUM(M109:P109)</f>
        <v>7.5069999999999997</v>
      </c>
      <c r="R109" s="420">
        <v>8</v>
      </c>
      <c r="S109" s="420">
        <v>7.5</v>
      </c>
      <c r="T109" s="420">
        <v>7.7</v>
      </c>
      <c r="U109" s="420">
        <v>7.6</v>
      </c>
      <c r="V109" s="415">
        <f t="shared" ref="V109:V117" si="362">SUM(R109:U109)</f>
        <v>30.799999999999997</v>
      </c>
      <c r="W109" s="420">
        <f>W110+W111</f>
        <v>8.7789999999999999</v>
      </c>
      <c r="X109" s="420">
        <f>X110+X111</f>
        <v>8.979000000000001</v>
      </c>
      <c r="Y109" s="420">
        <f>Y110+Y111</f>
        <v>8.1029999999999998</v>
      </c>
      <c r="Z109" s="420">
        <v>7.8</v>
      </c>
      <c r="AA109" s="415">
        <f t="shared" ref="AA109:AA117" si="363">SUM(W109:Z109)</f>
        <v>33.661000000000001</v>
      </c>
      <c r="AB109" s="420">
        <v>8.1999999999999993</v>
      </c>
      <c r="AC109" s="420">
        <f>AC110+AC111</f>
        <v>8.5870000000000015</v>
      </c>
      <c r="AD109" s="420">
        <f>AD110+AD111</f>
        <v>8.3470000000000013</v>
      </c>
      <c r="AE109" s="420">
        <v>7</v>
      </c>
      <c r="AF109" s="415">
        <f>AE109+AD109+AC109+AB109</f>
        <v>32.134</v>
      </c>
      <c r="AG109" s="420">
        <v>6.9</v>
      </c>
      <c r="AH109" s="420">
        <f>SUM(AH110:AH111)</f>
        <v>7.0569999999999986</v>
      </c>
      <c r="AI109" s="420">
        <f>SUM(AI110:AI111)</f>
        <v>6.9080000000000004</v>
      </c>
      <c r="AJ109" s="420">
        <f>SUM(AJ110:AJ111)</f>
        <v>6.8419999999999996</v>
      </c>
      <c r="AK109" s="415">
        <f>AJ109+AI109+AH109+AG109</f>
        <v>27.707000000000001</v>
      </c>
      <c r="AL109" s="420">
        <f t="shared" ref="AL109:AO109" si="364">SUM(AL110:AL111)</f>
        <v>7.5372012499999972</v>
      </c>
      <c r="AM109" s="420">
        <f t="shared" si="364"/>
        <v>7.5372012499999972</v>
      </c>
      <c r="AN109" s="420">
        <f t="shared" si="364"/>
        <v>7.5372012499999972</v>
      </c>
      <c r="AO109" s="420">
        <f t="shared" si="364"/>
        <v>7.537201249999999</v>
      </c>
      <c r="AP109" s="487">
        <f>AP110+AP111</f>
        <v>30.148804999999989</v>
      </c>
      <c r="AQ109" s="420"/>
      <c r="AR109" s="420"/>
      <c r="AS109" s="420"/>
      <c r="AT109" s="420"/>
      <c r="AU109" s="487">
        <f>AU110+AU111</f>
        <v>15.377907949436004</v>
      </c>
      <c r="AV109" s="420"/>
      <c r="AW109" s="420"/>
      <c r="AX109" s="420"/>
      <c r="AY109" s="420"/>
      <c r="AZ109" s="487">
        <f>AZ110+AZ111</f>
        <v>13.925599141768533</v>
      </c>
      <c r="BA109" s="420"/>
      <c r="BB109" s="420"/>
      <c r="BC109" s="420"/>
      <c r="BD109" s="420"/>
      <c r="BE109" s="487">
        <f>BE110+BE111</f>
        <v>-2.9194618560977328</v>
      </c>
      <c r="BF109" s="420"/>
      <c r="BG109" s="420"/>
      <c r="BH109" s="420"/>
      <c r="BI109" s="420"/>
      <c r="BJ109" s="487">
        <f>BJ110+BJ111</f>
        <v>-4.5147070422104836</v>
      </c>
      <c r="BK109" s="420"/>
      <c r="BL109" s="420"/>
      <c r="BM109" s="420"/>
      <c r="BN109" s="420"/>
      <c r="BO109" s="487">
        <f>BO110+BO111</f>
        <v>-7.335058204339802</v>
      </c>
      <c r="BP109" s="420"/>
      <c r="BQ109" s="420"/>
      <c r="BR109" s="420"/>
      <c r="BS109" s="420"/>
      <c r="BT109" s="487">
        <f>BT110+BT111</f>
        <v>-13.191984062819401</v>
      </c>
      <c r="BU109" s="420"/>
      <c r="BV109" s="420"/>
      <c r="BW109" s="420"/>
      <c r="BX109" s="420"/>
      <c r="BY109" s="487">
        <f>BY110+BY111</f>
        <v>-18.117195511725949</v>
      </c>
      <c r="BZ109" s="420"/>
      <c r="CA109" s="420"/>
      <c r="CB109" s="420"/>
      <c r="CC109" s="420"/>
      <c r="CD109" s="487">
        <f>CD110+CD111</f>
        <v>-25.286816886817007</v>
      </c>
      <c r="CE109" s="420"/>
      <c r="CF109" s="420"/>
      <c r="CG109" s="420"/>
      <c r="CH109" s="420"/>
      <c r="CI109" s="487">
        <f>CI110+CI111</f>
        <v>-33.870118868800098</v>
      </c>
      <c r="CJ109" s="420"/>
      <c r="CK109" s="420"/>
      <c r="CL109" s="420"/>
      <c r="CM109" s="420"/>
      <c r="CN109" s="487">
        <f>CN110+CN111</f>
        <v>-43.715211666489658</v>
      </c>
      <c r="CO109" s="420"/>
      <c r="CP109" s="420"/>
      <c r="CQ109" s="420"/>
      <c r="CR109" s="420"/>
      <c r="CS109" s="487">
        <f>CS110+CS111</f>
        <v>-53.376756202176203</v>
      </c>
      <c r="CT109" s="420"/>
      <c r="CU109" s="420"/>
      <c r="CV109" s="420"/>
      <c r="CW109" s="420"/>
      <c r="CX109" s="487">
        <f>CX110+CX111</f>
        <v>-64.72920055431743</v>
      </c>
    </row>
    <row r="110" spans="1:110" hidden="1" outlineLevel="1">
      <c r="B110" s="196" t="s">
        <v>418</v>
      </c>
      <c r="C110" s="420"/>
      <c r="D110" s="420"/>
      <c r="E110" s="420"/>
      <c r="F110" s="420"/>
      <c r="G110" s="415"/>
      <c r="H110" s="420"/>
      <c r="I110" s="420"/>
      <c r="J110" s="420"/>
      <c r="K110" s="420"/>
      <c r="L110" s="415"/>
      <c r="M110" s="420"/>
      <c r="N110" s="420"/>
      <c r="O110" s="420"/>
      <c r="P110" s="420"/>
      <c r="Q110" s="415"/>
      <c r="R110" s="420"/>
      <c r="S110" s="420"/>
      <c r="T110" s="420"/>
      <c r="U110" s="420"/>
      <c r="V110" s="415"/>
      <c r="W110" s="420">
        <v>-0.68300000000000005</v>
      </c>
      <c r="X110" s="420">
        <v>-1.0229999999999999</v>
      </c>
      <c r="Y110" s="420">
        <v>-1.3440000000000001</v>
      </c>
      <c r="Z110" s="420">
        <v>-1.4510000000000001</v>
      </c>
      <c r="AA110" s="415">
        <f>Z110+Y110+X110+W110</f>
        <v>-4.5009999999999994</v>
      </c>
      <c r="AB110" s="420">
        <v>-1.571</v>
      </c>
      <c r="AC110" s="420">
        <v>-1.357</v>
      </c>
      <c r="AD110" s="420">
        <v>-1.633</v>
      </c>
      <c r="AE110" s="420"/>
      <c r="AF110" s="415">
        <f>-AF156</f>
        <v>-6.1096259999999996</v>
      </c>
      <c r="AG110" s="420">
        <v>-3.0720000000000001</v>
      </c>
      <c r="AH110" s="420">
        <v>-2.9830000000000001</v>
      </c>
      <c r="AI110" s="420">
        <v>-3.976</v>
      </c>
      <c r="AJ110" s="420">
        <v>-4.8220000000000001</v>
      </c>
      <c r="AK110" s="415">
        <f t="shared" ref="AK110:AK114" si="365">AJ110+AI110+AH110+AG110</f>
        <v>-14.853000000000002</v>
      </c>
      <c r="AL110" s="420">
        <f>AP110/4</f>
        <v>-2.2271912500000002</v>
      </c>
      <c r="AM110" s="420">
        <f>AP110/4</f>
        <v>-2.2271912500000002</v>
      </c>
      <c r="AN110" s="420">
        <f>AP110/4</f>
        <v>-2.2271912500000002</v>
      </c>
      <c r="AO110" s="420">
        <f>AP110-SUM(AL110:AN110)</f>
        <v>-2.2271912500000006</v>
      </c>
      <c r="AP110" s="415">
        <f>-AP156</f>
        <v>-8.9087650000000007</v>
      </c>
      <c r="AQ110" s="420"/>
      <c r="AR110" s="420"/>
      <c r="AS110" s="420"/>
      <c r="AT110" s="420"/>
      <c r="AU110" s="415">
        <f>-AU156</f>
        <v>-8.2424870505639944</v>
      </c>
      <c r="AV110" s="420"/>
      <c r="AW110" s="420"/>
      <c r="AX110" s="420"/>
      <c r="AY110" s="420"/>
      <c r="AZ110" s="415">
        <f>-AZ156</f>
        <v>-7.9513483582314644</v>
      </c>
      <c r="BA110" s="420"/>
      <c r="BB110" s="420"/>
      <c r="BC110" s="420"/>
      <c r="BD110" s="420"/>
      <c r="BE110" s="415">
        <f>-BE156</f>
        <v>-6.6319618560977327</v>
      </c>
      <c r="BF110" s="420"/>
      <c r="BG110" s="420"/>
      <c r="BH110" s="420"/>
      <c r="BI110" s="420"/>
      <c r="BJ110" s="415">
        <f>-BJ156</f>
        <v>-8.2272070422104839</v>
      </c>
      <c r="BK110" s="420"/>
      <c r="BL110" s="420"/>
      <c r="BM110" s="420"/>
      <c r="BN110" s="420"/>
      <c r="BO110" s="415">
        <f>-BO156</f>
        <v>-11.047558204339802</v>
      </c>
      <c r="BP110" s="420"/>
      <c r="BQ110" s="420"/>
      <c r="BR110" s="420"/>
      <c r="BS110" s="420"/>
      <c r="BT110" s="415">
        <f>-BT156</f>
        <v>-15.0482340628194</v>
      </c>
      <c r="BU110" s="420"/>
      <c r="BV110" s="420"/>
      <c r="BW110" s="420"/>
      <c r="BX110" s="420"/>
      <c r="BY110" s="415">
        <f>-BY156</f>
        <v>-18.117195511725949</v>
      </c>
      <c r="BZ110" s="420"/>
      <c r="CA110" s="420"/>
      <c r="CB110" s="420"/>
      <c r="CC110" s="420"/>
      <c r="CD110" s="415">
        <f>-CD156</f>
        <v>-25.286816886817007</v>
      </c>
      <c r="CE110" s="420"/>
      <c r="CF110" s="420"/>
      <c r="CG110" s="420"/>
      <c r="CH110" s="420"/>
      <c r="CI110" s="415">
        <f>-CI156</f>
        <v>-33.870118868800098</v>
      </c>
      <c r="CJ110" s="420"/>
      <c r="CK110" s="420"/>
      <c r="CL110" s="420"/>
      <c r="CM110" s="420"/>
      <c r="CN110" s="415">
        <f>-CN156</f>
        <v>-43.715211666489658</v>
      </c>
      <c r="CO110" s="420"/>
      <c r="CP110" s="420"/>
      <c r="CQ110" s="420"/>
      <c r="CR110" s="420"/>
      <c r="CS110" s="415">
        <f>-CS156</f>
        <v>-53.376756202176203</v>
      </c>
      <c r="CT110" s="420"/>
      <c r="CU110" s="420"/>
      <c r="CV110" s="420"/>
      <c r="CW110" s="420"/>
      <c r="CX110" s="415">
        <f>-CX156</f>
        <v>-64.72920055431743</v>
      </c>
    </row>
    <row r="111" spans="1:110" hidden="1" outlineLevel="1">
      <c r="B111" s="196" t="s">
        <v>43</v>
      </c>
      <c r="C111" s="420"/>
      <c r="D111" s="420"/>
      <c r="E111" s="420"/>
      <c r="F111" s="420"/>
      <c r="G111" s="415"/>
      <c r="H111" s="420"/>
      <c r="I111" s="420"/>
      <c r="J111" s="420"/>
      <c r="K111" s="420"/>
      <c r="L111" s="415"/>
      <c r="M111" s="420"/>
      <c r="N111" s="420"/>
      <c r="O111" s="420"/>
      <c r="P111" s="420"/>
      <c r="Q111" s="415"/>
      <c r="R111" s="420"/>
      <c r="S111" s="420"/>
      <c r="T111" s="420"/>
      <c r="U111" s="420"/>
      <c r="V111" s="415"/>
      <c r="W111" s="420">
        <v>9.4619999999999997</v>
      </c>
      <c r="X111" s="420">
        <v>10.002000000000001</v>
      </c>
      <c r="Y111" s="420">
        <v>9.4469999999999992</v>
      </c>
      <c r="Z111" s="420">
        <v>9.3330000000000002</v>
      </c>
      <c r="AA111" s="415">
        <f>Z111+Y111+X111+W111</f>
        <v>38.244</v>
      </c>
      <c r="AB111" s="420">
        <v>9.843</v>
      </c>
      <c r="AC111" s="420">
        <v>9.9440000000000008</v>
      </c>
      <c r="AD111" s="420">
        <v>9.98</v>
      </c>
      <c r="AE111" s="420"/>
      <c r="AF111" s="415">
        <f>AF226</f>
        <v>38.723620000000011</v>
      </c>
      <c r="AG111" s="420">
        <v>10.119</v>
      </c>
      <c r="AH111" s="420">
        <v>10.039999999999999</v>
      </c>
      <c r="AI111" s="420">
        <v>10.884</v>
      </c>
      <c r="AJ111" s="420">
        <v>11.664</v>
      </c>
      <c r="AK111" s="415">
        <f t="shared" si="365"/>
        <v>42.707000000000001</v>
      </c>
      <c r="AL111" s="420">
        <f>AP111/4</f>
        <v>9.7643924999999978</v>
      </c>
      <c r="AM111" s="420">
        <f>AP111/4</f>
        <v>9.7643924999999978</v>
      </c>
      <c r="AN111" s="420">
        <f>AP111/4</f>
        <v>9.7643924999999978</v>
      </c>
      <c r="AO111" s="420">
        <f>AP111-SUM(AL111:AN111)</f>
        <v>9.7643924999999996</v>
      </c>
      <c r="AP111" s="415">
        <f>AP226</f>
        <v>39.057569999999991</v>
      </c>
      <c r="AQ111" s="420"/>
      <c r="AR111" s="420"/>
      <c r="AS111" s="420"/>
      <c r="AT111" s="420"/>
      <c r="AU111" s="415">
        <f>AU226</f>
        <v>23.620394999999998</v>
      </c>
      <c r="AV111" s="420"/>
      <c r="AW111" s="420"/>
      <c r="AX111" s="420"/>
      <c r="AY111" s="420"/>
      <c r="AZ111" s="415">
        <f>AZ226</f>
        <v>21.876947499999996</v>
      </c>
      <c r="BA111" s="420"/>
      <c r="BB111" s="420"/>
      <c r="BC111" s="420"/>
      <c r="BD111" s="420"/>
      <c r="BE111" s="415">
        <f>BE226</f>
        <v>3.7124999999999999</v>
      </c>
      <c r="BF111" s="420"/>
      <c r="BG111" s="420"/>
      <c r="BH111" s="420"/>
      <c r="BI111" s="420"/>
      <c r="BJ111" s="415">
        <f>BJ226</f>
        <v>3.7124999999999999</v>
      </c>
      <c r="BK111" s="420"/>
      <c r="BL111" s="420"/>
      <c r="BM111" s="420"/>
      <c r="BN111" s="420"/>
      <c r="BO111" s="415">
        <f>BO226</f>
        <v>3.7124999999999999</v>
      </c>
      <c r="BP111" s="420"/>
      <c r="BQ111" s="420"/>
      <c r="BR111" s="420"/>
      <c r="BS111" s="420"/>
      <c r="BT111" s="415">
        <f>BT226</f>
        <v>1.85625</v>
      </c>
      <c r="BU111" s="420"/>
      <c r="BV111" s="420"/>
      <c r="BW111" s="420"/>
      <c r="BX111" s="420"/>
      <c r="BY111" s="415">
        <f>BY226</f>
        <v>0</v>
      </c>
      <c r="BZ111" s="420"/>
      <c r="CA111" s="420"/>
      <c r="CB111" s="420"/>
      <c r="CC111" s="420"/>
      <c r="CD111" s="415">
        <f>CD226</f>
        <v>0</v>
      </c>
      <c r="CE111" s="420"/>
      <c r="CF111" s="420"/>
      <c r="CG111" s="420"/>
      <c r="CH111" s="420"/>
      <c r="CI111" s="415">
        <f>CI226</f>
        <v>0</v>
      </c>
      <c r="CJ111" s="420"/>
      <c r="CK111" s="420"/>
      <c r="CL111" s="420"/>
      <c r="CM111" s="420"/>
      <c r="CN111" s="415">
        <f>CN226</f>
        <v>0</v>
      </c>
      <c r="CO111" s="420"/>
      <c r="CP111" s="420"/>
      <c r="CQ111" s="420"/>
      <c r="CR111" s="420"/>
      <c r="CS111" s="415">
        <f>CS226</f>
        <v>0</v>
      </c>
      <c r="CT111" s="420"/>
      <c r="CU111" s="420"/>
      <c r="CV111" s="420"/>
      <c r="CW111" s="420"/>
      <c r="CX111" s="415">
        <f>CX226</f>
        <v>0</v>
      </c>
    </row>
    <row r="112" spans="1:110" collapsed="1">
      <c r="B112" s="414" t="s">
        <v>394</v>
      </c>
      <c r="C112" s="420">
        <v>4.8</v>
      </c>
      <c r="D112" s="420">
        <v>3.9</v>
      </c>
      <c r="E112" s="420">
        <v>-2.1</v>
      </c>
      <c r="F112" s="420">
        <v>3.6190000000000002</v>
      </c>
      <c r="G112" s="415">
        <f t="shared" si="359"/>
        <v>10.218999999999999</v>
      </c>
      <c r="H112" s="420">
        <v>0</v>
      </c>
      <c r="I112" s="420">
        <v>-0.4</v>
      </c>
      <c r="J112" s="420">
        <v>-6.4</v>
      </c>
      <c r="K112" s="420">
        <v>2.9</v>
      </c>
      <c r="L112" s="415">
        <f t="shared" si="360"/>
        <v>-3.9000000000000008</v>
      </c>
      <c r="M112" s="420">
        <v>-4.7110000000000003</v>
      </c>
      <c r="N112" s="420">
        <v>1.2</v>
      </c>
      <c r="O112" s="420">
        <v>0.7</v>
      </c>
      <c r="P112" s="420">
        <v>2.6</v>
      </c>
      <c r="Q112" s="415">
        <f t="shared" si="361"/>
        <v>-0.21099999999999985</v>
      </c>
      <c r="R112" s="420">
        <v>3.5</v>
      </c>
      <c r="S112" s="420">
        <v>5.8</v>
      </c>
      <c r="T112" s="420">
        <v>-4.2</v>
      </c>
      <c r="U112" s="420">
        <v>4.0999999999999996</v>
      </c>
      <c r="V112" s="415">
        <f t="shared" si="362"/>
        <v>9.1999999999999993</v>
      </c>
      <c r="W112" s="420">
        <v>-7.2</v>
      </c>
      <c r="X112" s="420">
        <v>-0.6</v>
      </c>
      <c r="Y112" s="420">
        <v>0.5</v>
      </c>
      <c r="Z112" s="420">
        <v>24.3</v>
      </c>
      <c r="AA112" s="415">
        <f t="shared" si="363"/>
        <v>17</v>
      </c>
      <c r="AB112" s="420">
        <v>-4</v>
      </c>
      <c r="AC112" s="420">
        <v>-159.4</v>
      </c>
      <c r="AD112" s="420">
        <v>-24</v>
      </c>
      <c r="AE112" s="170">
        <v>-1</v>
      </c>
      <c r="AF112" s="415">
        <f>AE112+AD112+AC112+AB112</f>
        <v>-188.4</v>
      </c>
      <c r="AG112" s="170">
        <v>-8.016</v>
      </c>
      <c r="AH112" s="170">
        <v>-8.7129999999999992</v>
      </c>
      <c r="AI112" s="170">
        <v>-8.0939999999999994</v>
      </c>
      <c r="AJ112" s="170">
        <v>105.99</v>
      </c>
      <c r="AK112" s="415">
        <f t="shared" si="365"/>
        <v>81.167000000000002</v>
      </c>
      <c r="AL112" s="170">
        <v>0</v>
      </c>
      <c r="AM112" s="170">
        <v>0</v>
      </c>
      <c r="AN112" s="170">
        <v>0</v>
      </c>
      <c r="AO112" s="170">
        <v>0</v>
      </c>
      <c r="AP112" s="189">
        <v>0</v>
      </c>
      <c r="AQ112" s="170"/>
      <c r="AR112" s="170"/>
      <c r="AS112" s="170"/>
      <c r="AT112" s="170"/>
      <c r="AU112" s="189">
        <v>0</v>
      </c>
      <c r="AV112" s="170"/>
      <c r="AW112" s="170"/>
      <c r="AX112" s="170"/>
      <c r="AY112" s="170"/>
      <c r="AZ112" s="189">
        <v>0</v>
      </c>
      <c r="BA112" s="170"/>
      <c r="BB112" s="170"/>
      <c r="BC112" s="170"/>
      <c r="BD112" s="170"/>
      <c r="BE112" s="189">
        <v>0</v>
      </c>
      <c r="BF112" s="170"/>
      <c r="BG112" s="170"/>
      <c r="BH112" s="170"/>
      <c r="BI112" s="170"/>
      <c r="BJ112" s="189">
        <v>0</v>
      </c>
      <c r="BK112" s="170"/>
      <c r="BL112" s="170"/>
      <c r="BM112" s="170"/>
      <c r="BN112" s="170"/>
      <c r="BO112" s="189">
        <v>0</v>
      </c>
      <c r="BP112" s="170"/>
      <c r="BQ112" s="170"/>
      <c r="BR112" s="170"/>
      <c r="BS112" s="170"/>
      <c r="BT112" s="189">
        <v>0</v>
      </c>
      <c r="BU112" s="170"/>
      <c r="BV112" s="170"/>
      <c r="BW112" s="170"/>
      <c r="BX112" s="170"/>
      <c r="BY112" s="189">
        <v>0</v>
      </c>
      <c r="BZ112" s="170"/>
      <c r="CA112" s="170"/>
      <c r="CB112" s="170"/>
      <c r="CC112" s="170"/>
      <c r="CD112" s="189">
        <v>0</v>
      </c>
      <c r="CE112" s="170"/>
      <c r="CF112" s="170"/>
      <c r="CG112" s="170"/>
      <c r="CH112" s="170"/>
      <c r="CI112" s="189">
        <v>0</v>
      </c>
      <c r="CJ112" s="170"/>
      <c r="CK112" s="170"/>
      <c r="CL112" s="170"/>
      <c r="CM112" s="170"/>
      <c r="CN112" s="189">
        <v>0</v>
      </c>
      <c r="CO112" s="170"/>
      <c r="CP112" s="170"/>
      <c r="CQ112" s="170"/>
      <c r="CR112" s="170"/>
      <c r="CS112" s="189">
        <v>0</v>
      </c>
      <c r="CT112" s="170"/>
      <c r="CU112" s="170"/>
      <c r="CV112" s="170"/>
      <c r="CW112" s="170"/>
      <c r="CX112" s="189">
        <v>0</v>
      </c>
    </row>
    <row r="113" spans="2:110">
      <c r="B113" s="414" t="s">
        <v>429</v>
      </c>
      <c r="C113" s="420">
        <f t="shared" ref="C113:G113" si="366">C114+C117</f>
        <v>5.6000000000000005</v>
      </c>
      <c r="D113" s="420">
        <f t="shared" si="366"/>
        <v>7.3</v>
      </c>
      <c r="E113" s="420">
        <f t="shared" si="366"/>
        <v>7</v>
      </c>
      <c r="F113" s="420">
        <f t="shared" si="366"/>
        <v>7.2</v>
      </c>
      <c r="G113" s="415">
        <f t="shared" si="366"/>
        <v>27.1</v>
      </c>
      <c r="H113" s="420">
        <f t="shared" ref="H113:L113" si="367">H114+H117</f>
        <v>16.600000000000001</v>
      </c>
      <c r="I113" s="420">
        <f t="shared" si="367"/>
        <v>9.9</v>
      </c>
      <c r="J113" s="420">
        <f t="shared" si="367"/>
        <v>9.1000000000000014</v>
      </c>
      <c r="K113" s="420">
        <f t="shared" si="367"/>
        <v>9.1999999999999993</v>
      </c>
      <c r="L113" s="415">
        <f t="shared" si="367"/>
        <v>44.8</v>
      </c>
      <c r="M113" s="420">
        <f t="shared" ref="M113:Q113" si="368">M114+M117</f>
        <v>8.6999999999999993</v>
      </c>
      <c r="N113" s="420">
        <f t="shared" si="368"/>
        <v>10.199999999999999</v>
      </c>
      <c r="O113" s="420">
        <f t="shared" si="368"/>
        <v>8.9</v>
      </c>
      <c r="P113" s="420">
        <f t="shared" si="368"/>
        <v>9</v>
      </c>
      <c r="Q113" s="415">
        <f t="shared" si="368"/>
        <v>36.799999999999997</v>
      </c>
      <c r="R113" s="420">
        <f t="shared" ref="R113:AD113" si="369">R114+R117</f>
        <v>9.3000000000000007</v>
      </c>
      <c r="S113" s="420">
        <f t="shared" si="369"/>
        <v>10.8</v>
      </c>
      <c r="T113" s="420">
        <f t="shared" si="369"/>
        <v>11.3</v>
      </c>
      <c r="U113" s="420">
        <f t="shared" si="369"/>
        <v>12.7</v>
      </c>
      <c r="V113" s="415">
        <f t="shared" si="369"/>
        <v>44.1</v>
      </c>
      <c r="W113" s="420">
        <f t="shared" si="369"/>
        <v>10.5</v>
      </c>
      <c r="X113" s="420">
        <f t="shared" si="369"/>
        <v>11.1</v>
      </c>
      <c r="Y113" s="420">
        <f t="shared" si="369"/>
        <v>11.7</v>
      </c>
      <c r="Z113" s="420">
        <f t="shared" si="369"/>
        <v>13</v>
      </c>
      <c r="AA113" s="415">
        <f t="shared" si="369"/>
        <v>46.300000000000004</v>
      </c>
      <c r="AB113" s="420">
        <f t="shared" si="369"/>
        <v>20.6</v>
      </c>
      <c r="AC113" s="420">
        <f t="shared" si="369"/>
        <v>19.5</v>
      </c>
      <c r="AD113" s="420">
        <f t="shared" si="369"/>
        <v>26.3</v>
      </c>
      <c r="AE113" s="420">
        <f>AE114+AE117</f>
        <v>21</v>
      </c>
      <c r="AF113" s="415">
        <f>AE113+AD113+AC113+AB113</f>
        <v>87.4</v>
      </c>
      <c r="AG113" s="420">
        <f>AG114+AG117</f>
        <v>20</v>
      </c>
      <c r="AH113" s="420">
        <f>AH114+AH117</f>
        <v>19.299999999999997</v>
      </c>
      <c r="AI113" s="420">
        <f>AI114+AI117</f>
        <v>13.3</v>
      </c>
      <c r="AJ113" s="420">
        <f>AJ114+AJ117</f>
        <v>28.200000000000003</v>
      </c>
      <c r="AK113" s="415">
        <f t="shared" si="365"/>
        <v>80.8</v>
      </c>
      <c r="AL113" s="420">
        <f t="shared" ref="AL113:AO113" si="370">AL114+AL117</f>
        <v>22.5</v>
      </c>
      <c r="AM113" s="420">
        <f t="shared" si="370"/>
        <v>23.875</v>
      </c>
      <c r="AN113" s="420">
        <f t="shared" si="370"/>
        <v>25.387499999999999</v>
      </c>
      <c r="AO113" s="420">
        <f t="shared" si="370"/>
        <v>2.8262824134498885</v>
      </c>
      <c r="AP113" s="415">
        <f>-BS!K73</f>
        <v>74.588782413449891</v>
      </c>
      <c r="AQ113" s="420"/>
      <c r="AR113" s="420"/>
      <c r="AS113" s="420"/>
      <c r="AT113" s="420"/>
      <c r="AU113" s="415">
        <f>-BS!L73</f>
        <v>82.442960667772496</v>
      </c>
      <c r="AV113" s="420"/>
      <c r="AW113" s="420"/>
      <c r="AX113" s="420"/>
      <c r="AY113" s="420"/>
      <c r="AZ113" s="415">
        <f>-BS!M73</f>
        <v>89.912126479990917</v>
      </c>
      <c r="BA113" s="420"/>
      <c r="BB113" s="420"/>
      <c r="BC113" s="420"/>
      <c r="BD113" s="420"/>
      <c r="BE113" s="415">
        <f>-BS!N73</f>
        <v>97.041463104686216</v>
      </c>
      <c r="BF113" s="420"/>
      <c r="BG113" s="420"/>
      <c r="BH113" s="420"/>
      <c r="BI113" s="420"/>
      <c r="BJ113" s="415">
        <f>-BS!O73</f>
        <v>103.90010800073503</v>
      </c>
      <c r="BK113" s="420"/>
      <c r="BL113" s="420"/>
      <c r="BM113" s="420"/>
      <c r="BN113" s="420"/>
      <c r="BO113" s="415">
        <f>-BS!P73</f>
        <v>119.41801392308359</v>
      </c>
      <c r="BP113" s="420"/>
      <c r="BQ113" s="420"/>
      <c r="BR113" s="420"/>
      <c r="BS113" s="420"/>
      <c r="BT113" s="415">
        <f>-BS!Q73</f>
        <v>105.15623796290605</v>
      </c>
      <c r="BU113" s="420"/>
      <c r="BV113" s="420"/>
      <c r="BW113" s="420"/>
      <c r="BX113" s="420"/>
      <c r="BY113" s="415">
        <f>-BS!R73</f>
        <v>125.29507473898647</v>
      </c>
      <c r="BZ113" s="420"/>
      <c r="CA113" s="420"/>
      <c r="CB113" s="420"/>
      <c r="CC113" s="420"/>
      <c r="CD113" s="415">
        <f>-BS!S73</f>
        <v>132.35985196539897</v>
      </c>
      <c r="CE113" s="420"/>
      <c r="CF113" s="420"/>
      <c r="CG113" s="420"/>
      <c r="CH113" s="420"/>
      <c r="CI113" s="415">
        <f>-BS!T73</f>
        <v>139.0927773408562</v>
      </c>
      <c r="CJ113" s="420"/>
      <c r="CK113" s="420"/>
      <c r="CL113" s="420"/>
      <c r="CM113" s="420"/>
      <c r="CN113" s="415">
        <f>-BS!U73</f>
        <v>145.82257581514094</v>
      </c>
      <c r="CO113" s="420"/>
      <c r="CP113" s="420"/>
      <c r="CQ113" s="420"/>
      <c r="CR113" s="420"/>
      <c r="CS113" s="415">
        <f>-BS!V73</f>
        <v>153.06355366071739</v>
      </c>
      <c r="CT113" s="420"/>
      <c r="CU113" s="420"/>
      <c r="CV113" s="420"/>
      <c r="CW113" s="420"/>
      <c r="CX113" s="415">
        <f>-BS!W73</f>
        <v>160.82707857278646</v>
      </c>
    </row>
    <row r="114" spans="2:110" hidden="1" outlineLevel="1">
      <c r="B114" s="196" t="s">
        <v>391</v>
      </c>
      <c r="C114" s="420">
        <v>4.7</v>
      </c>
      <c r="D114" s="420">
        <v>6.3</v>
      </c>
      <c r="E114" s="420">
        <v>6</v>
      </c>
      <c r="F114" s="420">
        <v>5.7</v>
      </c>
      <c r="G114" s="415">
        <f t="shared" si="359"/>
        <v>22.7</v>
      </c>
      <c r="H114" s="420">
        <v>7.3</v>
      </c>
      <c r="I114" s="420">
        <v>7.2</v>
      </c>
      <c r="J114" s="420">
        <v>6.4</v>
      </c>
      <c r="K114" s="420">
        <v>6.6</v>
      </c>
      <c r="L114" s="415">
        <f t="shared" si="360"/>
        <v>27.5</v>
      </c>
      <c r="M114" s="420">
        <v>6.1</v>
      </c>
      <c r="N114" s="420">
        <v>6.6</v>
      </c>
      <c r="O114" s="420">
        <v>6.3</v>
      </c>
      <c r="P114" s="420">
        <v>6.4</v>
      </c>
      <c r="Q114" s="415">
        <f t="shared" si="361"/>
        <v>25.4</v>
      </c>
      <c r="R114" s="420">
        <v>6.7</v>
      </c>
      <c r="S114" s="420">
        <v>7.9</v>
      </c>
      <c r="T114" s="420">
        <v>8.6</v>
      </c>
      <c r="U114" s="420">
        <v>10</v>
      </c>
      <c r="V114" s="415">
        <f t="shared" si="362"/>
        <v>33.200000000000003</v>
      </c>
      <c r="W114" s="420">
        <v>7.9</v>
      </c>
      <c r="X114" s="420">
        <v>8.5</v>
      </c>
      <c r="Y114" s="420">
        <v>9.1</v>
      </c>
      <c r="Z114" s="420">
        <v>10.1</v>
      </c>
      <c r="AA114" s="415">
        <f t="shared" si="363"/>
        <v>35.6</v>
      </c>
      <c r="AB114" s="420">
        <v>13.1</v>
      </c>
      <c r="AC114" s="420">
        <v>11.9</v>
      </c>
      <c r="AD114" s="420">
        <v>18.8</v>
      </c>
      <c r="AE114" s="420">
        <v>14</v>
      </c>
      <c r="AF114" s="415">
        <f t="shared" ref="AF114:AF122" si="371">AE114+AD114+AC114+AB114</f>
        <v>57.8</v>
      </c>
      <c r="AG114" s="420">
        <f>AG115+AG116</f>
        <v>12</v>
      </c>
      <c r="AH114" s="420">
        <f>AH115+AH116</f>
        <v>11.7</v>
      </c>
      <c r="AI114" s="420">
        <f>AI115+AI116</f>
        <v>13.3</v>
      </c>
      <c r="AJ114" s="420">
        <v>14.8</v>
      </c>
      <c r="AK114" s="415">
        <f t="shared" si="365"/>
        <v>51.8</v>
      </c>
      <c r="AL114" s="420">
        <f t="shared" ref="AL114:AO114" si="372">AL115+AL116</f>
        <v>17.5</v>
      </c>
      <c r="AM114" s="420">
        <f t="shared" si="372"/>
        <v>18.125</v>
      </c>
      <c r="AN114" s="420">
        <f t="shared" si="372"/>
        <v>18.774999999999999</v>
      </c>
      <c r="AO114" s="420">
        <f t="shared" si="372"/>
        <v>-6.5819439478130626</v>
      </c>
      <c r="AP114" s="415">
        <f>AP113*((AK114)/(AK114+AK117))</f>
        <v>47.81805605218694</v>
      </c>
      <c r="AQ114" s="420"/>
      <c r="AR114" s="420"/>
      <c r="AS114" s="420"/>
      <c r="AT114" s="420"/>
      <c r="AU114" s="415">
        <f>AU113*((AP114)/(AP114+AP117))</f>
        <v>52.853284190477915</v>
      </c>
      <c r="AV114" s="420"/>
      <c r="AW114" s="420"/>
      <c r="AX114" s="420"/>
      <c r="AY114" s="420"/>
      <c r="AZ114" s="415">
        <f>AZ113*((AU114)/(AU114+AU117))</f>
        <v>57.641685045340715</v>
      </c>
      <c r="BA114" s="420"/>
      <c r="BB114" s="420"/>
      <c r="BC114" s="420"/>
      <c r="BD114" s="420"/>
      <c r="BE114" s="415">
        <f>BE113*((AZ114)/(AZ114+AZ117))</f>
        <v>62.212225109192403</v>
      </c>
      <c r="BF114" s="420"/>
      <c r="BG114" s="420"/>
      <c r="BH114" s="420"/>
      <c r="BI114" s="420"/>
      <c r="BJ114" s="415">
        <f>BJ113*((BE114)/(BE114+BE117))</f>
        <v>66.609227653936571</v>
      </c>
      <c r="BK114" s="420"/>
      <c r="BL114" s="420"/>
      <c r="BM114" s="420"/>
      <c r="BN114" s="420"/>
      <c r="BO114" s="415">
        <f>BO113*((BJ114)/(BJ114+BJ117))</f>
        <v>76.557588133858047</v>
      </c>
      <c r="BP114" s="420"/>
      <c r="BQ114" s="420"/>
      <c r="BR114" s="420"/>
      <c r="BS114" s="420"/>
      <c r="BT114" s="415">
        <f>BT113*((BO114)/(BO114+BO117))</f>
        <v>67.414518892061054</v>
      </c>
      <c r="BU114" s="420"/>
      <c r="BV114" s="420"/>
      <c r="BW114" s="420"/>
      <c r="BX114" s="420"/>
      <c r="BY114" s="415">
        <f>BY113*((BT114)/(BT114+BT117))</f>
        <v>80.325307815340338</v>
      </c>
      <c r="BZ114" s="420"/>
      <c r="CA114" s="420"/>
      <c r="CB114" s="420"/>
      <c r="CC114" s="420"/>
      <c r="CD114" s="415">
        <f>CD113*((BY114)/(BY114+BY117))</f>
        <v>84.854459552075085</v>
      </c>
      <c r="CE114" s="420"/>
      <c r="CF114" s="420"/>
      <c r="CG114" s="420"/>
      <c r="CH114" s="420"/>
      <c r="CI114" s="415">
        <f>CI113*((CD114)/(CD114+CD117))</f>
        <v>89.170864681390483</v>
      </c>
      <c r="CJ114" s="420"/>
      <c r="CK114" s="420"/>
      <c r="CL114" s="420"/>
      <c r="CM114" s="420"/>
      <c r="CN114" s="415">
        <f>CN113*((CI114)/(CI114+CI117))</f>
        <v>93.485265188419561</v>
      </c>
      <c r="CO114" s="420"/>
      <c r="CP114" s="420"/>
      <c r="CQ114" s="420"/>
      <c r="CR114" s="420"/>
      <c r="CS114" s="415">
        <f>CS113*((CN114)/(CN114+CN117))</f>
        <v>98.12737722308367</v>
      </c>
      <c r="CT114" s="420"/>
      <c r="CU114" s="420"/>
      <c r="CV114" s="420"/>
      <c r="CW114" s="420"/>
      <c r="CX114" s="415">
        <f>CX113*((CS114)/(CS114+CS117))</f>
        <v>103.10448849096954</v>
      </c>
    </row>
    <row r="115" spans="2:110" hidden="1" outlineLevel="2">
      <c r="B115" s="494" t="s">
        <v>430</v>
      </c>
      <c r="C115" s="420"/>
      <c r="D115" s="420"/>
      <c r="E115" s="420"/>
      <c r="F115" s="420"/>
      <c r="G115" s="415"/>
      <c r="H115" s="420"/>
      <c r="I115" s="420"/>
      <c r="J115" s="420"/>
      <c r="K115" s="420"/>
      <c r="L115" s="415"/>
      <c r="M115" s="420"/>
      <c r="N115" s="420"/>
      <c r="O115" s="420"/>
      <c r="P115" s="420"/>
      <c r="Q115" s="415"/>
      <c r="R115" s="420"/>
      <c r="S115" s="420"/>
      <c r="T115" s="420"/>
      <c r="U115" s="420"/>
      <c r="V115" s="415"/>
      <c r="W115" s="420">
        <v>3.6</v>
      </c>
      <c r="X115" s="420">
        <v>3.9</v>
      </c>
      <c r="Y115" s="420">
        <v>4.3</v>
      </c>
      <c r="Z115" s="420">
        <v>4.4000000000000004</v>
      </c>
      <c r="AA115" s="415">
        <f t="shared" ref="AA115:AA116" si="373">Z115+Y115+X115+W115</f>
        <v>16.2</v>
      </c>
      <c r="AB115" s="420">
        <v>7.4</v>
      </c>
      <c r="AC115" s="420">
        <v>6</v>
      </c>
      <c r="AD115" s="420">
        <v>11.1</v>
      </c>
      <c r="AE115" s="420">
        <v>8</v>
      </c>
      <c r="AF115" s="415">
        <f t="shared" si="371"/>
        <v>32.5</v>
      </c>
      <c r="AG115" s="420">
        <v>7</v>
      </c>
      <c r="AH115" s="420">
        <v>6.2</v>
      </c>
      <c r="AI115" s="420">
        <v>7.6</v>
      </c>
      <c r="AJ115" s="420">
        <f>(AI115/AI114)*AJ114</f>
        <v>8.4571428571428573</v>
      </c>
      <c r="AK115" s="415">
        <f t="shared" ref="AK115:AK122" si="374">AJ115+AI115+AH115+AG115</f>
        <v>29.257142857142856</v>
      </c>
      <c r="AL115" s="420">
        <v>10</v>
      </c>
      <c r="AM115" s="420">
        <f>AL115*1.025</f>
        <v>10.25</v>
      </c>
      <c r="AN115" s="420">
        <f>AM115*1.025</f>
        <v>10.50625</v>
      </c>
      <c r="AO115" s="420">
        <f>AP115-SUM(AL115:AN115)</f>
        <v>-3.7481477399672229</v>
      </c>
      <c r="AP115" s="415">
        <f>(AK115/AK114)*AP114</f>
        <v>27.008102260032778</v>
      </c>
      <c r="AQ115" s="420"/>
      <c r="AR115" s="420"/>
      <c r="AS115" s="420"/>
      <c r="AT115" s="420"/>
      <c r="AU115" s="415">
        <f>(AP115/AP114)*AU114</f>
        <v>29.852047992856807</v>
      </c>
      <c r="AV115" s="420"/>
      <c r="AW115" s="420"/>
      <c r="AX115" s="420"/>
      <c r="AY115" s="420"/>
      <c r="AZ115" s="415">
        <f>(AU115/AU114)*AZ114</f>
        <v>32.556583279883561</v>
      </c>
      <c r="BA115" s="420"/>
      <c r="BB115" s="420"/>
      <c r="BC115" s="420"/>
      <c r="BD115" s="420"/>
      <c r="BE115" s="415">
        <f>(AZ115/AZ114)*BE114</f>
        <v>35.13806867722726</v>
      </c>
      <c r="BF115" s="420"/>
      <c r="BG115" s="420"/>
      <c r="BH115" s="420"/>
      <c r="BI115" s="420"/>
      <c r="BJ115" s="415">
        <f>(BE115/BE114)*BJ114</f>
        <v>37.621538399134614</v>
      </c>
      <c r="BK115" s="420"/>
      <c r="BL115" s="420"/>
      <c r="BM115" s="420"/>
      <c r="BN115" s="420"/>
      <c r="BO115" s="415">
        <f>(BJ115/BJ114)*BO114</f>
        <v>43.240468973563509</v>
      </c>
      <c r="BP115" s="420"/>
      <c r="BQ115" s="420"/>
      <c r="BR115" s="420"/>
      <c r="BS115" s="420"/>
      <c r="BT115" s="415">
        <f>(BO115/BO114)*BT114</f>
        <v>38.076374707926377</v>
      </c>
      <c r="BU115" s="420"/>
      <c r="BV115" s="420"/>
      <c r="BW115" s="420"/>
      <c r="BX115" s="420"/>
      <c r="BY115" s="415">
        <f>(BT115/BT114)*BY114</f>
        <v>45.368513625432165</v>
      </c>
      <c r="BZ115" s="420"/>
      <c r="CA115" s="420"/>
      <c r="CB115" s="420"/>
      <c r="CC115" s="420"/>
      <c r="CD115" s="415">
        <f>(BY115/BY114)*CD114</f>
        <v>47.926622493836128</v>
      </c>
      <c r="CE115" s="420"/>
      <c r="CF115" s="420"/>
      <c r="CG115" s="420"/>
      <c r="CH115" s="420"/>
      <c r="CI115" s="415">
        <f>(CD115/CD114)*CI114</f>
        <v>50.364570013096447</v>
      </c>
      <c r="CJ115" s="420"/>
      <c r="CK115" s="420"/>
      <c r="CL115" s="420"/>
      <c r="CM115" s="420"/>
      <c r="CN115" s="415">
        <f>(CI115/CI114)*CN114</f>
        <v>52.801385302229257</v>
      </c>
      <c r="CO115" s="420"/>
      <c r="CP115" s="420"/>
      <c r="CQ115" s="420"/>
      <c r="CR115" s="420"/>
      <c r="CS115" s="415">
        <f>(CN115/CN114)*CS114</f>
        <v>55.42329524348466</v>
      </c>
      <c r="CT115" s="420"/>
      <c r="CU115" s="420"/>
      <c r="CV115" s="420"/>
      <c r="CW115" s="420"/>
      <c r="CX115" s="415">
        <f>(CS115/CS114)*CX114</f>
        <v>58.234416003724668</v>
      </c>
    </row>
    <row r="116" spans="2:110" hidden="1" outlineLevel="2">
      <c r="B116" s="494" t="s">
        <v>431</v>
      </c>
      <c r="C116" s="420"/>
      <c r="D116" s="420"/>
      <c r="E116" s="420"/>
      <c r="F116" s="420"/>
      <c r="G116" s="415"/>
      <c r="H116" s="420"/>
      <c r="I116" s="420"/>
      <c r="J116" s="420"/>
      <c r="K116" s="420"/>
      <c r="L116" s="415"/>
      <c r="M116" s="420"/>
      <c r="N116" s="420"/>
      <c r="O116" s="420"/>
      <c r="P116" s="420"/>
      <c r="Q116" s="415"/>
      <c r="R116" s="420"/>
      <c r="S116" s="420"/>
      <c r="T116" s="420"/>
      <c r="U116" s="420"/>
      <c r="V116" s="415"/>
      <c r="W116" s="420">
        <f>W114-W115</f>
        <v>4.3000000000000007</v>
      </c>
      <c r="X116" s="420">
        <f>X114-X115</f>
        <v>4.5999999999999996</v>
      </c>
      <c r="Y116" s="420">
        <f>Y114-Y115</f>
        <v>4.8</v>
      </c>
      <c r="Z116" s="420">
        <f>Z114-Z115</f>
        <v>5.6999999999999993</v>
      </c>
      <c r="AA116" s="415">
        <f t="shared" si="373"/>
        <v>19.399999999999999</v>
      </c>
      <c r="AB116" s="420">
        <f>AB114-AB115</f>
        <v>5.6999999999999993</v>
      </c>
      <c r="AC116" s="420">
        <f>AC114-AC115</f>
        <v>5.9</v>
      </c>
      <c r="AD116" s="420">
        <f>AD114-AD115</f>
        <v>7.7000000000000011</v>
      </c>
      <c r="AE116" s="420">
        <v>6</v>
      </c>
      <c r="AF116" s="415">
        <f t="shared" si="371"/>
        <v>25.3</v>
      </c>
      <c r="AG116" s="420">
        <v>5</v>
      </c>
      <c r="AH116" s="420">
        <v>5.5</v>
      </c>
      <c r="AI116" s="420">
        <v>5.7</v>
      </c>
      <c r="AJ116" s="420">
        <f>(AI116/AI114)*AJ114</f>
        <v>6.3428571428571425</v>
      </c>
      <c r="AK116" s="415">
        <f t="shared" si="374"/>
        <v>22.542857142857144</v>
      </c>
      <c r="AL116" s="420">
        <v>7.5</v>
      </c>
      <c r="AM116" s="420">
        <f>AL116*1.05</f>
        <v>7.875</v>
      </c>
      <c r="AN116" s="420">
        <f>AM116*1.05</f>
        <v>8.2687500000000007</v>
      </c>
      <c r="AO116" s="420">
        <f>AP116-SUM(AL116:AN116)</f>
        <v>-2.8337962078458396</v>
      </c>
      <c r="AP116" s="415">
        <f>AP114-AP115</f>
        <v>20.809953792154161</v>
      </c>
      <c r="AQ116" s="420"/>
      <c r="AR116" s="420"/>
      <c r="AS116" s="420"/>
      <c r="AT116" s="420"/>
      <c r="AU116" s="415">
        <f>AU114-AU115</f>
        <v>23.001236197621107</v>
      </c>
      <c r="AV116" s="420"/>
      <c r="AW116" s="420"/>
      <c r="AX116" s="420"/>
      <c r="AY116" s="420"/>
      <c r="AZ116" s="415">
        <f>AZ114-AZ115</f>
        <v>25.085101765457154</v>
      </c>
      <c r="BA116" s="420"/>
      <c r="BB116" s="420"/>
      <c r="BC116" s="420"/>
      <c r="BD116" s="420"/>
      <c r="BE116" s="415">
        <f>BE114-BE115</f>
        <v>27.074156431965143</v>
      </c>
      <c r="BF116" s="420"/>
      <c r="BG116" s="420"/>
      <c r="BH116" s="420"/>
      <c r="BI116" s="420"/>
      <c r="BJ116" s="415">
        <f>BJ114-BJ115</f>
        <v>28.987689254801957</v>
      </c>
      <c r="BK116" s="420"/>
      <c r="BL116" s="420"/>
      <c r="BM116" s="420"/>
      <c r="BN116" s="420"/>
      <c r="BO116" s="415">
        <f>BO114-BO115</f>
        <v>33.317119160294538</v>
      </c>
      <c r="BP116" s="420"/>
      <c r="BQ116" s="420"/>
      <c r="BR116" s="420"/>
      <c r="BS116" s="420"/>
      <c r="BT116" s="415">
        <f>BT114-BT115</f>
        <v>29.338144184134677</v>
      </c>
      <c r="BU116" s="420"/>
      <c r="BV116" s="420"/>
      <c r="BW116" s="420"/>
      <c r="BX116" s="420"/>
      <c r="BY116" s="415">
        <f>BY114-BY115</f>
        <v>34.956794189908173</v>
      </c>
      <c r="BZ116" s="420"/>
      <c r="CA116" s="420"/>
      <c r="CB116" s="420"/>
      <c r="CC116" s="420"/>
      <c r="CD116" s="415">
        <f>CD114-CD115</f>
        <v>36.927837058238957</v>
      </c>
      <c r="CE116" s="420"/>
      <c r="CF116" s="420"/>
      <c r="CG116" s="420"/>
      <c r="CH116" s="420"/>
      <c r="CI116" s="415">
        <f>CI114-CI115</f>
        <v>38.806294668294036</v>
      </c>
      <c r="CJ116" s="420"/>
      <c r="CK116" s="420"/>
      <c r="CL116" s="420"/>
      <c r="CM116" s="420"/>
      <c r="CN116" s="415">
        <f>CN114-CN115</f>
        <v>40.683879886190304</v>
      </c>
      <c r="CO116" s="420"/>
      <c r="CP116" s="420"/>
      <c r="CQ116" s="420"/>
      <c r="CR116" s="420"/>
      <c r="CS116" s="415">
        <f>CS114-CS115</f>
        <v>42.70408197959901</v>
      </c>
      <c r="CT116" s="420"/>
      <c r="CU116" s="420"/>
      <c r="CV116" s="420"/>
      <c r="CW116" s="420"/>
      <c r="CX116" s="415">
        <f>CX114-CX115</f>
        <v>44.870072487244876</v>
      </c>
    </row>
    <row r="117" spans="2:110" hidden="1" outlineLevel="1">
      <c r="B117" s="196" t="s">
        <v>392</v>
      </c>
      <c r="C117" s="420">
        <v>0.9</v>
      </c>
      <c r="D117" s="420">
        <v>1</v>
      </c>
      <c r="E117" s="420">
        <v>1</v>
      </c>
      <c r="F117" s="420">
        <v>1.5</v>
      </c>
      <c r="G117" s="415">
        <f t="shared" si="359"/>
        <v>4.4000000000000004</v>
      </c>
      <c r="H117" s="420">
        <v>9.3000000000000007</v>
      </c>
      <c r="I117" s="420">
        <v>2.7</v>
      </c>
      <c r="J117" s="420">
        <v>2.7</v>
      </c>
      <c r="K117" s="420">
        <v>2.6</v>
      </c>
      <c r="L117" s="415">
        <f t="shared" si="360"/>
        <v>17.3</v>
      </c>
      <c r="M117" s="420">
        <v>2.6</v>
      </c>
      <c r="N117" s="420">
        <v>3.6</v>
      </c>
      <c r="O117" s="420">
        <v>2.6</v>
      </c>
      <c r="P117" s="420">
        <v>2.6</v>
      </c>
      <c r="Q117" s="415">
        <f t="shared" si="361"/>
        <v>11.4</v>
      </c>
      <c r="R117" s="420">
        <v>2.6</v>
      </c>
      <c r="S117" s="420">
        <v>2.9</v>
      </c>
      <c r="T117" s="420">
        <v>2.7</v>
      </c>
      <c r="U117" s="420">
        <v>2.7</v>
      </c>
      <c r="V117" s="415">
        <f t="shared" si="362"/>
        <v>10.899999999999999</v>
      </c>
      <c r="W117" s="420">
        <v>2.6</v>
      </c>
      <c r="X117" s="420">
        <v>2.6</v>
      </c>
      <c r="Y117" s="420">
        <v>2.6</v>
      </c>
      <c r="Z117" s="420">
        <v>2.9</v>
      </c>
      <c r="AA117" s="415">
        <f t="shared" si="363"/>
        <v>10.700000000000001</v>
      </c>
      <c r="AB117" s="420">
        <v>7.5</v>
      </c>
      <c r="AC117" s="420">
        <v>7.6</v>
      </c>
      <c r="AD117" s="420">
        <v>7.5</v>
      </c>
      <c r="AE117" s="420">
        <v>7</v>
      </c>
      <c r="AF117" s="415">
        <f t="shared" si="371"/>
        <v>29.6</v>
      </c>
      <c r="AG117" s="420">
        <v>8</v>
      </c>
      <c r="AH117" s="420">
        <v>7.6</v>
      </c>
      <c r="AI117" s="420">
        <v>0</v>
      </c>
      <c r="AJ117" s="420">
        <v>13.4</v>
      </c>
      <c r="AK117" s="415">
        <f t="shared" si="374"/>
        <v>29</v>
      </c>
      <c r="AL117" s="420">
        <v>5</v>
      </c>
      <c r="AM117" s="420">
        <f>AL117*1.15</f>
        <v>5.75</v>
      </c>
      <c r="AN117" s="420">
        <f>AM117*1.15</f>
        <v>6.6124999999999998</v>
      </c>
      <c r="AO117" s="420">
        <f>AP117-SUM(AL117:AN117)</f>
        <v>9.4082263612629511</v>
      </c>
      <c r="AP117" s="415">
        <f>AP113-AP114</f>
        <v>26.770726361262952</v>
      </c>
      <c r="AQ117" s="420"/>
      <c r="AR117" s="420"/>
      <c r="AS117" s="420"/>
      <c r="AT117" s="420"/>
      <c r="AU117" s="415">
        <f>AU113-AU114</f>
        <v>29.589676477294582</v>
      </c>
      <c r="AV117" s="420"/>
      <c r="AW117" s="420"/>
      <c r="AX117" s="420"/>
      <c r="AY117" s="420"/>
      <c r="AZ117" s="415">
        <f>AZ113-AZ114</f>
        <v>32.270441434650202</v>
      </c>
      <c r="BA117" s="420"/>
      <c r="BB117" s="420"/>
      <c r="BC117" s="420"/>
      <c r="BD117" s="420"/>
      <c r="BE117" s="415">
        <f>BE113-BE114</f>
        <v>34.829237995493813</v>
      </c>
      <c r="BF117" s="420"/>
      <c r="BG117" s="420"/>
      <c r="BH117" s="420"/>
      <c r="BI117" s="420"/>
      <c r="BJ117" s="415">
        <f>BJ113-BJ114</f>
        <v>37.29088034679846</v>
      </c>
      <c r="BK117" s="420"/>
      <c r="BL117" s="420"/>
      <c r="BM117" s="420"/>
      <c r="BN117" s="420"/>
      <c r="BO117" s="415">
        <f>BO113-BO114</f>
        <v>42.860425789225545</v>
      </c>
      <c r="BP117" s="420"/>
      <c r="BQ117" s="420"/>
      <c r="BR117" s="420"/>
      <c r="BS117" s="420"/>
      <c r="BT117" s="415">
        <f>BT113-BT114</f>
        <v>37.741719070844994</v>
      </c>
      <c r="BU117" s="420"/>
      <c r="BV117" s="420"/>
      <c r="BW117" s="420"/>
      <c r="BX117" s="420"/>
      <c r="BY117" s="415">
        <f>BY113-BY114</f>
        <v>44.969766923646134</v>
      </c>
      <c r="BZ117" s="420"/>
      <c r="CA117" s="420"/>
      <c r="CB117" s="420"/>
      <c r="CC117" s="420"/>
      <c r="CD117" s="415">
        <f>CD113-CD114</f>
        <v>47.505392413323889</v>
      </c>
      <c r="CE117" s="420"/>
      <c r="CF117" s="420"/>
      <c r="CG117" s="420"/>
      <c r="CH117" s="420"/>
      <c r="CI117" s="415">
        <f>CI113-CI114</f>
        <v>49.921912659465718</v>
      </c>
      <c r="CJ117" s="420"/>
      <c r="CK117" s="420"/>
      <c r="CL117" s="420"/>
      <c r="CM117" s="420"/>
      <c r="CN117" s="415">
        <f>CN113-CN114</f>
        <v>52.337310626721376</v>
      </c>
      <c r="CO117" s="420"/>
      <c r="CP117" s="420"/>
      <c r="CQ117" s="420"/>
      <c r="CR117" s="420"/>
      <c r="CS117" s="415">
        <f>CS113-CS114</f>
        <v>54.936176437633719</v>
      </c>
      <c r="CT117" s="420"/>
      <c r="CU117" s="420"/>
      <c r="CV117" s="420"/>
      <c r="CW117" s="420"/>
      <c r="CX117" s="415">
        <f>CX113-CX114</f>
        <v>57.722590081816918</v>
      </c>
    </row>
    <row r="118" spans="2:110" collapsed="1">
      <c r="B118" s="414" t="s">
        <v>388</v>
      </c>
      <c r="C118" s="420">
        <f t="shared" ref="C118:AD118" si="375">C107</f>
        <v>10.379999999999999</v>
      </c>
      <c r="D118" s="420">
        <f t="shared" si="375"/>
        <v>10.606999999999999</v>
      </c>
      <c r="E118" s="420">
        <f t="shared" si="375"/>
        <v>11.617999999999999</v>
      </c>
      <c r="F118" s="420">
        <f t="shared" si="375"/>
        <v>11.212</v>
      </c>
      <c r="G118" s="415">
        <f t="shared" si="375"/>
        <v>43.817000000000007</v>
      </c>
      <c r="H118" s="420">
        <f t="shared" si="375"/>
        <v>11.134</v>
      </c>
      <c r="I118" s="420">
        <f t="shared" si="375"/>
        <v>12.637</v>
      </c>
      <c r="J118" s="420">
        <f t="shared" si="375"/>
        <v>12.138999999999999</v>
      </c>
      <c r="K118" s="420">
        <f t="shared" si="375"/>
        <v>12.065000000000001</v>
      </c>
      <c r="L118" s="415">
        <f t="shared" si="375"/>
        <v>47.974999999999994</v>
      </c>
      <c r="M118" s="420">
        <f t="shared" si="375"/>
        <v>11.565000000000001</v>
      </c>
      <c r="N118" s="420">
        <f t="shared" si="375"/>
        <v>13.929</v>
      </c>
      <c r="O118" s="420">
        <f t="shared" si="375"/>
        <v>16.204999999999998</v>
      </c>
      <c r="P118" s="420">
        <f t="shared" si="375"/>
        <v>22.677999999999997</v>
      </c>
      <c r="Q118" s="415">
        <f t="shared" si="375"/>
        <v>64.376999999999995</v>
      </c>
      <c r="R118" s="420">
        <f t="shared" si="375"/>
        <v>16.304000000000002</v>
      </c>
      <c r="S118" s="420">
        <f t="shared" si="375"/>
        <v>17.25</v>
      </c>
      <c r="T118" s="420">
        <f t="shared" si="375"/>
        <v>20.003999999999998</v>
      </c>
      <c r="U118" s="420">
        <f t="shared" si="375"/>
        <v>32.799999999999997</v>
      </c>
      <c r="V118" s="415">
        <f t="shared" si="375"/>
        <v>86.358000000000004</v>
      </c>
      <c r="W118" s="420">
        <f t="shared" si="375"/>
        <v>22.700000000000003</v>
      </c>
      <c r="X118" s="420">
        <f t="shared" si="375"/>
        <v>29.509</v>
      </c>
      <c r="Y118" s="420">
        <f t="shared" si="375"/>
        <v>28.757999999999999</v>
      </c>
      <c r="Z118" s="420">
        <f t="shared" si="375"/>
        <v>30.7</v>
      </c>
      <c r="AA118" s="415">
        <f t="shared" si="375"/>
        <v>111.667</v>
      </c>
      <c r="AB118" s="420">
        <f t="shared" si="375"/>
        <v>30.177</v>
      </c>
      <c r="AC118" s="420">
        <f t="shared" si="375"/>
        <v>33.898000000000003</v>
      </c>
      <c r="AD118" s="420">
        <f t="shared" si="375"/>
        <v>32.902000000000001</v>
      </c>
      <c r="AE118" s="420">
        <v>37</v>
      </c>
      <c r="AF118" s="415">
        <f t="shared" si="371"/>
        <v>133.977</v>
      </c>
      <c r="AG118" s="420">
        <f t="shared" ref="AG118:AO118" si="376">AG107</f>
        <v>30.673999999999999</v>
      </c>
      <c r="AH118" s="420">
        <f t="shared" si="376"/>
        <v>40</v>
      </c>
      <c r="AI118" s="420">
        <f t="shared" si="376"/>
        <v>35.900000000000006</v>
      </c>
      <c r="AJ118" s="420">
        <f t="shared" si="376"/>
        <v>33.6</v>
      </c>
      <c r="AK118" s="415">
        <f t="shared" si="374"/>
        <v>140.17400000000001</v>
      </c>
      <c r="AL118" s="420">
        <f t="shared" si="376"/>
        <v>36.25</v>
      </c>
      <c r="AM118" s="420">
        <f t="shared" si="376"/>
        <v>37.993749999999999</v>
      </c>
      <c r="AN118" s="420">
        <f t="shared" si="376"/>
        <v>39.822968750000001</v>
      </c>
      <c r="AO118" s="420">
        <f t="shared" si="376"/>
        <v>39.595381250000003</v>
      </c>
      <c r="AP118" s="415">
        <f>AP107</f>
        <v>153.66210000000001</v>
      </c>
      <c r="AQ118" s="420"/>
      <c r="AR118" s="420"/>
      <c r="AS118" s="420"/>
      <c r="AT118" s="420"/>
      <c r="AU118" s="415">
        <f>AU107</f>
        <v>168.47254500000003</v>
      </c>
      <c r="AV118" s="420"/>
      <c r="AW118" s="420"/>
      <c r="AX118" s="420"/>
      <c r="AY118" s="420"/>
      <c r="AZ118" s="415">
        <f>AZ107</f>
        <v>180.81620925000004</v>
      </c>
      <c r="BA118" s="420"/>
      <c r="BB118" s="420"/>
      <c r="BC118" s="420"/>
      <c r="BD118" s="420"/>
      <c r="BE118" s="415">
        <f>BE107</f>
        <v>194.07105948750001</v>
      </c>
      <c r="BF118" s="420"/>
      <c r="BG118" s="420"/>
      <c r="BH118" s="420"/>
      <c r="BI118" s="420"/>
      <c r="BJ118" s="415">
        <f>BJ107</f>
        <v>208.30470522000002</v>
      </c>
      <c r="BK118" s="420"/>
      <c r="BL118" s="420"/>
      <c r="BM118" s="420"/>
      <c r="BN118" s="420"/>
      <c r="BO118" s="415">
        <f>BO107</f>
        <v>223.58979019598439</v>
      </c>
      <c r="BP118" s="420"/>
      <c r="BQ118" s="420"/>
      <c r="BR118" s="420"/>
      <c r="BS118" s="420"/>
      <c r="BT118" s="415">
        <f>BT107</f>
        <v>240.00436814939178</v>
      </c>
      <c r="BU118" s="420"/>
      <c r="BV118" s="420"/>
      <c r="BW118" s="420"/>
      <c r="BX118" s="420"/>
      <c r="BY118" s="415">
        <f>BY107</f>
        <v>257.6323066337402</v>
      </c>
      <c r="BZ118" s="420"/>
      <c r="CA118" s="420"/>
      <c r="CB118" s="420"/>
      <c r="CC118" s="420"/>
      <c r="CD118" s="415">
        <f>CD107</f>
        <v>276.5637210480719</v>
      </c>
      <c r="CE118" s="420"/>
      <c r="CF118" s="420"/>
      <c r="CG118" s="420"/>
      <c r="CH118" s="420"/>
      <c r="CI118" s="415">
        <f>CI107</f>
        <v>296.8954411143186</v>
      </c>
      <c r="CJ118" s="420"/>
      <c r="CK118" s="420"/>
      <c r="CL118" s="420"/>
      <c r="CM118" s="420"/>
      <c r="CN118" s="415">
        <f>CN107</f>
        <v>318.73151223491584</v>
      </c>
      <c r="CO118" s="420"/>
      <c r="CP118" s="420"/>
      <c r="CQ118" s="420"/>
      <c r="CR118" s="420"/>
      <c r="CS118" s="415">
        <f>CS107</f>
        <v>342.18373434140904</v>
      </c>
      <c r="CT118" s="420"/>
      <c r="CU118" s="420"/>
      <c r="CV118" s="420"/>
      <c r="CW118" s="420"/>
      <c r="CX118" s="415">
        <f>CX107</f>
        <v>367.37224104033294</v>
      </c>
    </row>
    <row r="119" spans="2:110">
      <c r="B119" s="414" t="s">
        <v>393</v>
      </c>
      <c r="C119" s="420">
        <v>-0.5</v>
      </c>
      <c r="D119" s="420">
        <v>-4.0999999999999996</v>
      </c>
      <c r="E119" s="420">
        <v>2.2000000000000002</v>
      </c>
      <c r="F119" s="420">
        <v>0.6</v>
      </c>
      <c r="G119" s="415">
        <f t="shared" ref="G119:G122" si="377">SUM(C119:F119)</f>
        <v>-1.7999999999999994</v>
      </c>
      <c r="H119" s="420">
        <v>-5.2</v>
      </c>
      <c r="I119" s="420">
        <v>1.2</v>
      </c>
      <c r="J119" s="420">
        <v>0.6</v>
      </c>
      <c r="K119" s="420">
        <v>12.1</v>
      </c>
      <c r="L119" s="415">
        <f t="shared" ref="L119:L122" si="378">SUM(H119:K119)</f>
        <v>8.6999999999999993</v>
      </c>
      <c r="M119" s="420">
        <v>4.8</v>
      </c>
      <c r="N119" s="420">
        <v>-3.8</v>
      </c>
      <c r="O119" s="420">
        <v>8.8000000000000007</v>
      </c>
      <c r="P119" s="420">
        <v>4.5999999999999996</v>
      </c>
      <c r="Q119" s="415">
        <f t="shared" ref="Q119:Q122" si="379">SUM(M119:P119)</f>
        <v>14.4</v>
      </c>
      <c r="R119" s="420">
        <v>8.1</v>
      </c>
      <c r="S119" s="420">
        <v>2.7</v>
      </c>
      <c r="T119" s="420">
        <v>1.8</v>
      </c>
      <c r="U119" s="420">
        <v>0.4</v>
      </c>
      <c r="V119" s="415">
        <f t="shared" ref="V119:V122" si="380">SUM(R119:U119)</f>
        <v>13.000000000000002</v>
      </c>
      <c r="W119" s="420">
        <v>0.3</v>
      </c>
      <c r="X119" s="420">
        <v>14.3</v>
      </c>
      <c r="Y119" s="420">
        <v>0.5</v>
      </c>
      <c r="Z119" s="420">
        <v>-43.6</v>
      </c>
      <c r="AA119" s="415">
        <f t="shared" ref="AA119:AA124" si="381">SUM(W119:Z119)</f>
        <v>-28.5</v>
      </c>
      <c r="AB119" s="420">
        <v>2.9</v>
      </c>
      <c r="AC119" s="420">
        <v>-62</v>
      </c>
      <c r="AD119" s="420">
        <v>2.2000000000000002</v>
      </c>
      <c r="AE119" s="170">
        <v>0</v>
      </c>
      <c r="AF119" s="415">
        <f t="shared" si="371"/>
        <v>-56.9</v>
      </c>
      <c r="AG119" s="170">
        <v>0</v>
      </c>
      <c r="AH119" s="170">
        <v>0</v>
      </c>
      <c r="AI119" s="170">
        <v>3.76</v>
      </c>
      <c r="AJ119" s="170">
        <v>7</v>
      </c>
      <c r="AK119" s="415">
        <f t="shared" si="374"/>
        <v>10.76</v>
      </c>
      <c r="AL119" s="170">
        <v>0</v>
      </c>
      <c r="AM119" s="170">
        <v>0</v>
      </c>
      <c r="AN119" s="170">
        <v>0</v>
      </c>
      <c r="AO119" s="170">
        <v>0</v>
      </c>
      <c r="AP119" s="189">
        <v>0</v>
      </c>
      <c r="AQ119" s="170"/>
      <c r="AR119" s="170"/>
      <c r="AS119" s="170"/>
      <c r="AT119" s="170"/>
      <c r="AU119" s="189">
        <v>0</v>
      </c>
      <c r="AV119" s="170"/>
      <c r="AW119" s="170"/>
      <c r="AX119" s="170"/>
      <c r="AY119" s="170"/>
      <c r="AZ119" s="189">
        <v>0</v>
      </c>
      <c r="BA119" s="170"/>
      <c r="BB119" s="170"/>
      <c r="BC119" s="170"/>
      <c r="BD119" s="170"/>
      <c r="BE119" s="189">
        <v>0</v>
      </c>
      <c r="BF119" s="170"/>
      <c r="BG119" s="170"/>
      <c r="BH119" s="170"/>
      <c r="BI119" s="170"/>
      <c r="BJ119" s="189">
        <v>0</v>
      </c>
      <c r="BK119" s="170"/>
      <c r="BL119" s="170"/>
      <c r="BM119" s="170"/>
      <c r="BN119" s="170"/>
      <c r="BO119" s="189">
        <v>0</v>
      </c>
      <c r="BP119" s="170"/>
      <c r="BQ119" s="170"/>
      <c r="BR119" s="170"/>
      <c r="BS119" s="170"/>
      <c r="BT119" s="189">
        <v>0</v>
      </c>
      <c r="BU119" s="170"/>
      <c r="BV119" s="170"/>
      <c r="BW119" s="170"/>
      <c r="BX119" s="170"/>
      <c r="BY119" s="189">
        <v>0</v>
      </c>
      <c r="BZ119" s="170"/>
      <c r="CA119" s="170"/>
      <c r="CB119" s="170"/>
      <c r="CC119" s="170"/>
      <c r="CD119" s="189">
        <v>0</v>
      </c>
      <c r="CE119" s="170"/>
      <c r="CF119" s="170"/>
      <c r="CG119" s="170"/>
      <c r="CH119" s="170"/>
      <c r="CI119" s="189">
        <v>0</v>
      </c>
      <c r="CJ119" s="170"/>
      <c r="CK119" s="170"/>
      <c r="CL119" s="170"/>
      <c r="CM119" s="170"/>
      <c r="CN119" s="189">
        <v>0</v>
      </c>
      <c r="CO119" s="170"/>
      <c r="CP119" s="170"/>
      <c r="CQ119" s="170"/>
      <c r="CR119" s="170"/>
      <c r="CS119" s="189">
        <v>0</v>
      </c>
      <c r="CT119" s="170"/>
      <c r="CU119" s="170"/>
      <c r="CV119" s="170"/>
      <c r="CW119" s="170"/>
      <c r="CX119" s="189">
        <v>0</v>
      </c>
    </row>
    <row r="120" spans="2:110">
      <c r="B120" s="414" t="s">
        <v>397</v>
      </c>
      <c r="C120" s="420">
        <v>0</v>
      </c>
      <c r="D120" s="420">
        <v>0</v>
      </c>
      <c r="E120" s="420">
        <v>0</v>
      </c>
      <c r="F120" s="420">
        <v>0</v>
      </c>
      <c r="G120" s="415">
        <f t="shared" si="377"/>
        <v>0</v>
      </c>
      <c r="H120" s="420">
        <v>0</v>
      </c>
      <c r="I120" s="420">
        <v>0</v>
      </c>
      <c r="J120" s="420">
        <v>0</v>
      </c>
      <c r="K120" s="420">
        <v>0</v>
      </c>
      <c r="L120" s="415">
        <f t="shared" si="378"/>
        <v>0</v>
      </c>
      <c r="M120" s="420">
        <v>0</v>
      </c>
      <c r="N120" s="420">
        <v>0</v>
      </c>
      <c r="O120" s="420">
        <v>0</v>
      </c>
      <c r="P120" s="420">
        <v>0</v>
      </c>
      <c r="Q120" s="415">
        <f t="shared" si="379"/>
        <v>0</v>
      </c>
      <c r="R120" s="420">
        <v>0</v>
      </c>
      <c r="S120" s="420">
        <v>0</v>
      </c>
      <c r="T120" s="420">
        <v>0</v>
      </c>
      <c r="U120" s="420">
        <v>0</v>
      </c>
      <c r="V120" s="415">
        <f t="shared" si="380"/>
        <v>0</v>
      </c>
      <c r="W120" s="420">
        <v>0</v>
      </c>
      <c r="X120" s="420">
        <v>12.8</v>
      </c>
      <c r="Y120" s="420">
        <v>0</v>
      </c>
      <c r="Z120" s="420">
        <v>198.7</v>
      </c>
      <c r="AA120" s="415">
        <f t="shared" si="381"/>
        <v>211.5</v>
      </c>
      <c r="AB120" s="420">
        <v>0</v>
      </c>
      <c r="AC120" s="420">
        <v>599.1</v>
      </c>
      <c r="AD120" s="420">
        <v>0</v>
      </c>
      <c r="AE120" s="170">
        <v>0</v>
      </c>
      <c r="AF120" s="415">
        <f t="shared" si="371"/>
        <v>599.1</v>
      </c>
      <c r="AG120" s="170">
        <v>0</v>
      </c>
      <c r="AH120" s="170">
        <v>0</v>
      </c>
      <c r="AI120" s="170">
        <v>0</v>
      </c>
      <c r="AJ120" s="170">
        <v>0</v>
      </c>
      <c r="AK120" s="415">
        <f>AJ120+AI120+AH120+AG120</f>
        <v>0</v>
      </c>
      <c r="AL120" s="170">
        <v>0</v>
      </c>
      <c r="AM120" s="170">
        <v>0</v>
      </c>
      <c r="AN120" s="170">
        <v>0</v>
      </c>
      <c r="AO120" s="170">
        <v>0</v>
      </c>
      <c r="AP120" s="189">
        <v>0</v>
      </c>
      <c r="AQ120" s="170"/>
      <c r="AR120" s="170"/>
      <c r="AS120" s="170"/>
      <c r="AT120" s="170"/>
      <c r="AU120" s="189">
        <v>0</v>
      </c>
      <c r="AV120" s="170"/>
      <c r="AW120" s="170"/>
      <c r="AX120" s="170"/>
      <c r="AY120" s="170"/>
      <c r="AZ120" s="189">
        <v>0</v>
      </c>
      <c r="BA120" s="170"/>
      <c r="BB120" s="170"/>
      <c r="BC120" s="170"/>
      <c r="BD120" s="170"/>
      <c r="BE120" s="189">
        <v>0</v>
      </c>
      <c r="BF120" s="170"/>
      <c r="BG120" s="170"/>
      <c r="BH120" s="170"/>
      <c r="BI120" s="170"/>
      <c r="BJ120" s="189">
        <v>0</v>
      </c>
      <c r="BK120" s="170"/>
      <c r="BL120" s="170"/>
      <c r="BM120" s="170"/>
      <c r="BN120" s="170"/>
      <c r="BO120" s="189">
        <v>0</v>
      </c>
      <c r="BP120" s="170"/>
      <c r="BQ120" s="170"/>
      <c r="BR120" s="170"/>
      <c r="BS120" s="170"/>
      <c r="BT120" s="189">
        <v>0</v>
      </c>
      <c r="BU120" s="170"/>
      <c r="BV120" s="170"/>
      <c r="BW120" s="170"/>
      <c r="BX120" s="170"/>
      <c r="BY120" s="189">
        <v>0</v>
      </c>
      <c r="BZ120" s="170"/>
      <c r="CA120" s="170"/>
      <c r="CB120" s="170"/>
      <c r="CC120" s="170"/>
      <c r="CD120" s="189">
        <v>0</v>
      </c>
      <c r="CE120" s="170"/>
      <c r="CF120" s="170"/>
      <c r="CG120" s="170"/>
      <c r="CH120" s="170"/>
      <c r="CI120" s="189">
        <v>0</v>
      </c>
      <c r="CJ120" s="170"/>
      <c r="CK120" s="170"/>
      <c r="CL120" s="170"/>
      <c r="CM120" s="170"/>
      <c r="CN120" s="189">
        <v>0</v>
      </c>
      <c r="CO120" s="170"/>
      <c r="CP120" s="170"/>
      <c r="CQ120" s="170"/>
      <c r="CR120" s="170"/>
      <c r="CS120" s="189">
        <v>0</v>
      </c>
      <c r="CT120" s="170"/>
      <c r="CU120" s="170"/>
      <c r="CV120" s="170"/>
      <c r="CW120" s="170"/>
      <c r="CX120" s="189">
        <v>0</v>
      </c>
    </row>
    <row r="121" spans="2:110">
      <c r="B121" s="414" t="s">
        <v>398</v>
      </c>
      <c r="C121" s="420">
        <v>0</v>
      </c>
      <c r="D121" s="420">
        <v>0</v>
      </c>
      <c r="E121" s="420">
        <v>0</v>
      </c>
      <c r="F121" s="420">
        <v>0</v>
      </c>
      <c r="G121" s="415">
        <f t="shared" si="377"/>
        <v>0</v>
      </c>
      <c r="H121" s="420">
        <v>0</v>
      </c>
      <c r="I121" s="420">
        <v>0</v>
      </c>
      <c r="J121" s="420">
        <v>0</v>
      </c>
      <c r="K121" s="420">
        <v>0</v>
      </c>
      <c r="L121" s="415">
        <f t="shared" si="378"/>
        <v>0</v>
      </c>
      <c r="M121" s="420">
        <v>0</v>
      </c>
      <c r="N121" s="420">
        <v>0</v>
      </c>
      <c r="O121" s="420">
        <v>0</v>
      </c>
      <c r="P121" s="420">
        <v>0</v>
      </c>
      <c r="Q121" s="415">
        <f t="shared" si="379"/>
        <v>0</v>
      </c>
      <c r="R121" s="420">
        <v>-8.8000000000000007</v>
      </c>
      <c r="S121" s="420">
        <v>-0.4</v>
      </c>
      <c r="T121" s="420">
        <v>0.4</v>
      </c>
      <c r="U121" s="420">
        <v>-1.2</v>
      </c>
      <c r="V121" s="415">
        <f t="shared" si="380"/>
        <v>-10</v>
      </c>
      <c r="W121" s="420">
        <v>0</v>
      </c>
      <c r="X121" s="420">
        <v>0</v>
      </c>
      <c r="Y121" s="420">
        <v>0</v>
      </c>
      <c r="Z121" s="420">
        <v>0</v>
      </c>
      <c r="AA121" s="415">
        <f t="shared" si="381"/>
        <v>0</v>
      </c>
      <c r="AB121" s="420">
        <v>0</v>
      </c>
      <c r="AC121" s="420">
        <v>0</v>
      </c>
      <c r="AD121" s="420">
        <v>0</v>
      </c>
      <c r="AE121" s="170">
        <v>0</v>
      </c>
      <c r="AF121" s="415">
        <f t="shared" si="371"/>
        <v>0</v>
      </c>
      <c r="AG121" s="170">
        <v>0</v>
      </c>
      <c r="AH121" s="170">
        <v>0</v>
      </c>
      <c r="AI121" s="170">
        <v>0</v>
      </c>
      <c r="AJ121" s="170">
        <v>0</v>
      </c>
      <c r="AK121" s="415">
        <f>AJ121+AI121+AH121+AG121</f>
        <v>0</v>
      </c>
      <c r="AL121" s="170">
        <v>0</v>
      </c>
      <c r="AM121" s="170">
        <v>0</v>
      </c>
      <c r="AN121" s="170">
        <v>0</v>
      </c>
      <c r="AO121" s="170">
        <v>0</v>
      </c>
      <c r="AP121" s="189">
        <v>0</v>
      </c>
      <c r="AQ121" s="170"/>
      <c r="AR121" s="170"/>
      <c r="AS121" s="170"/>
      <c r="AT121" s="170"/>
      <c r="AU121" s="189">
        <v>0</v>
      </c>
      <c r="AV121" s="170"/>
      <c r="AW121" s="170"/>
      <c r="AX121" s="170"/>
      <c r="AY121" s="170"/>
      <c r="AZ121" s="189">
        <v>0</v>
      </c>
      <c r="BA121" s="170"/>
      <c r="BB121" s="170"/>
      <c r="BC121" s="170"/>
      <c r="BD121" s="170"/>
      <c r="BE121" s="189">
        <v>0</v>
      </c>
      <c r="BF121" s="170"/>
      <c r="BG121" s="170"/>
      <c r="BH121" s="170"/>
      <c r="BI121" s="170"/>
      <c r="BJ121" s="189">
        <v>0</v>
      </c>
      <c r="BK121" s="170"/>
      <c r="BL121" s="170"/>
      <c r="BM121" s="170"/>
      <c r="BN121" s="170"/>
      <c r="BO121" s="189">
        <v>0</v>
      </c>
      <c r="BP121" s="170"/>
      <c r="BQ121" s="170"/>
      <c r="BR121" s="170"/>
      <c r="BS121" s="170"/>
      <c r="BT121" s="189">
        <v>0</v>
      </c>
      <c r="BU121" s="170"/>
      <c r="BV121" s="170"/>
      <c r="BW121" s="170"/>
      <c r="BX121" s="170"/>
      <c r="BY121" s="189">
        <v>0</v>
      </c>
      <c r="BZ121" s="170"/>
      <c r="CA121" s="170"/>
      <c r="CB121" s="170"/>
      <c r="CC121" s="170"/>
      <c r="CD121" s="189">
        <v>0</v>
      </c>
      <c r="CE121" s="170"/>
      <c r="CF121" s="170"/>
      <c r="CG121" s="170"/>
      <c r="CH121" s="170"/>
      <c r="CI121" s="189">
        <v>0</v>
      </c>
      <c r="CJ121" s="170"/>
      <c r="CK121" s="170"/>
      <c r="CL121" s="170"/>
      <c r="CM121" s="170"/>
      <c r="CN121" s="189">
        <v>0</v>
      </c>
      <c r="CO121" s="170"/>
      <c r="CP121" s="170"/>
      <c r="CQ121" s="170"/>
      <c r="CR121" s="170"/>
      <c r="CS121" s="189">
        <v>0</v>
      </c>
      <c r="CT121" s="170"/>
      <c r="CU121" s="170"/>
      <c r="CV121" s="170"/>
      <c r="CW121" s="170"/>
      <c r="CX121" s="189">
        <v>0</v>
      </c>
    </row>
    <row r="122" spans="2:110">
      <c r="B122" s="414" t="s">
        <v>351</v>
      </c>
      <c r="C122" s="420">
        <v>0</v>
      </c>
      <c r="D122" s="420">
        <v>0</v>
      </c>
      <c r="E122" s="420">
        <v>1.8959999999999999</v>
      </c>
      <c r="F122" s="420">
        <v>0</v>
      </c>
      <c r="G122" s="415">
        <f t="shared" si="377"/>
        <v>1.8959999999999999</v>
      </c>
      <c r="H122" s="420">
        <v>0</v>
      </c>
      <c r="I122" s="420">
        <v>0</v>
      </c>
      <c r="J122" s="420">
        <v>0</v>
      </c>
      <c r="K122" s="420">
        <v>0</v>
      </c>
      <c r="L122" s="415">
        <f t="shared" si="378"/>
        <v>0</v>
      </c>
      <c r="M122" s="420">
        <v>10.4</v>
      </c>
      <c r="N122" s="420">
        <v>0</v>
      </c>
      <c r="O122" s="420">
        <v>1.7</v>
      </c>
      <c r="P122" s="420">
        <v>0.8</v>
      </c>
      <c r="Q122" s="415">
        <f t="shared" si="379"/>
        <v>12.9</v>
      </c>
      <c r="R122" s="420">
        <v>0</v>
      </c>
      <c r="S122" s="420">
        <v>0</v>
      </c>
      <c r="T122" s="420">
        <v>-67.5</v>
      </c>
      <c r="U122" s="420">
        <v>2.7</v>
      </c>
      <c r="V122" s="415">
        <f t="shared" si="380"/>
        <v>-64.8</v>
      </c>
      <c r="W122" s="420">
        <v>7</v>
      </c>
      <c r="X122" s="420">
        <v>0</v>
      </c>
      <c r="Y122" s="420">
        <v>0</v>
      </c>
      <c r="Z122" s="420">
        <v>-369.5</v>
      </c>
      <c r="AA122" s="415">
        <f t="shared" si="381"/>
        <v>-362.5</v>
      </c>
      <c r="AB122" s="420">
        <v>0</v>
      </c>
      <c r="AC122" s="420">
        <v>0</v>
      </c>
      <c r="AD122" s="420">
        <v>0</v>
      </c>
      <c r="AE122" s="170">
        <v>0</v>
      </c>
      <c r="AF122" s="415">
        <f t="shared" si="371"/>
        <v>0</v>
      </c>
      <c r="AG122" s="170">
        <v>-8.6</v>
      </c>
      <c r="AH122" s="170">
        <v>5.8</v>
      </c>
      <c r="AI122" s="170">
        <v>-31.5</v>
      </c>
      <c r="AJ122" s="170">
        <v>-125</v>
      </c>
      <c r="AK122" s="415">
        <f t="shared" si="374"/>
        <v>-159.29999999999998</v>
      </c>
      <c r="AL122" s="170">
        <v>0</v>
      </c>
      <c r="AM122" s="170">
        <v>0</v>
      </c>
      <c r="AN122" s="170">
        <v>0</v>
      </c>
      <c r="AO122" s="170">
        <v>0</v>
      </c>
      <c r="AP122" s="189">
        <v>0</v>
      </c>
      <c r="AQ122" s="170"/>
      <c r="AR122" s="170"/>
      <c r="AS122" s="170"/>
      <c r="AT122" s="170"/>
      <c r="AU122" s="189">
        <v>0</v>
      </c>
      <c r="AV122" s="170"/>
      <c r="AW122" s="170"/>
      <c r="AX122" s="170"/>
      <c r="AY122" s="170"/>
      <c r="AZ122" s="189">
        <v>0</v>
      </c>
      <c r="BA122" s="170"/>
      <c r="BB122" s="170"/>
      <c r="BC122" s="170"/>
      <c r="BD122" s="170"/>
      <c r="BE122" s="189">
        <v>0</v>
      </c>
      <c r="BF122" s="170"/>
      <c r="BG122" s="170"/>
      <c r="BH122" s="170"/>
      <c r="BI122" s="170"/>
      <c r="BJ122" s="189">
        <v>0</v>
      </c>
      <c r="BK122" s="170"/>
      <c r="BL122" s="170"/>
      <c r="BM122" s="170"/>
      <c r="BN122" s="170"/>
      <c r="BO122" s="189">
        <v>0</v>
      </c>
      <c r="BP122" s="170"/>
      <c r="BQ122" s="170"/>
      <c r="BR122" s="170"/>
      <c r="BS122" s="170"/>
      <c r="BT122" s="189">
        <v>0</v>
      </c>
      <c r="BU122" s="170"/>
      <c r="BV122" s="170"/>
      <c r="BW122" s="170"/>
      <c r="BX122" s="170"/>
      <c r="BY122" s="189">
        <v>0</v>
      </c>
      <c r="BZ122" s="170"/>
      <c r="CA122" s="170"/>
      <c r="CB122" s="170"/>
      <c r="CC122" s="170"/>
      <c r="CD122" s="189">
        <v>0</v>
      </c>
      <c r="CE122" s="170"/>
      <c r="CF122" s="170"/>
      <c r="CG122" s="170"/>
      <c r="CH122" s="170"/>
      <c r="CI122" s="189">
        <v>0</v>
      </c>
      <c r="CJ122" s="170"/>
      <c r="CK122" s="170"/>
      <c r="CL122" s="170"/>
      <c r="CM122" s="170"/>
      <c r="CN122" s="189">
        <v>0</v>
      </c>
      <c r="CO122" s="170"/>
      <c r="CP122" s="170"/>
      <c r="CQ122" s="170"/>
      <c r="CR122" s="170"/>
      <c r="CS122" s="189">
        <v>0</v>
      </c>
      <c r="CT122" s="170"/>
      <c r="CU122" s="170"/>
      <c r="CV122" s="170"/>
      <c r="CW122" s="170"/>
      <c r="CX122" s="189">
        <v>0</v>
      </c>
    </row>
    <row r="123" spans="2:110">
      <c r="B123" s="200" t="s">
        <v>395</v>
      </c>
      <c r="C123" s="426">
        <f>C77-(C109+C112+C113+C118+C120+C119+C121+C122)</f>
        <v>-4.4480000000000217</v>
      </c>
      <c r="D123" s="426">
        <f>D77-(D109+D112+D113+D118+D120+D119+D121+D122)</f>
        <v>-5.0989999999999878</v>
      </c>
      <c r="E123" s="426">
        <f>E77-(E109+E112+E113+E118+E120+E119+E121+E122)</f>
        <v>-17.584999999999994</v>
      </c>
      <c r="F123" s="426">
        <f>F77-(F109+F112+F113+F118+F120+F119+F121+F122)</f>
        <v>-26.589000000000013</v>
      </c>
      <c r="G123" s="201">
        <f>F123+E123+D123+C123</f>
        <v>-53.721000000000018</v>
      </c>
      <c r="H123" s="426">
        <f>H77-(H109+H112+H113+H118+H120+H119+H121+H122)</f>
        <v>-24.000000000000007</v>
      </c>
      <c r="I123" s="426">
        <f>I77-(I109+I112+I113+I118+I120+I119+I121+I122)</f>
        <v>-32.027999999999984</v>
      </c>
      <c r="J123" s="426">
        <f>J77-(J109+J112+J113+J118+J120+J119+J121+J122)</f>
        <v>-5.402000000000017</v>
      </c>
      <c r="K123" s="426">
        <f>K77-(K109+K112+K113+K118+K120+K119+K121+K122)</f>
        <v>-53.028999999999996</v>
      </c>
      <c r="L123" s="201">
        <f>K123+J123+I123+H123</f>
        <v>-114.459</v>
      </c>
      <c r="M123" s="426">
        <f>M77-(M109+M112+M113+M118+M120+M119+M121+M122)</f>
        <v>-39.79</v>
      </c>
      <c r="N123" s="426">
        <f>N77-(N109+N112+N113+N118+N120+N119+N121+N122)</f>
        <v>-21.537999999999993</v>
      </c>
      <c r="O123" s="426">
        <f>O77-(O109+O112+O113+O118+O120+O119+O121+O122)</f>
        <v>-53.031999999999996</v>
      </c>
      <c r="P123" s="426">
        <f>P77-(P109+P112+P113+P118+P120+P119+P121+P122)</f>
        <v>-61.965999999999973</v>
      </c>
      <c r="Q123" s="201">
        <f>P123+O123+N123+M123</f>
        <v>-176.32599999999994</v>
      </c>
      <c r="R123" s="426">
        <f>R77-(R109+R112+R113+R118+R120+R119+R121+R122)</f>
        <v>-38.140999999999991</v>
      </c>
      <c r="S123" s="426">
        <f>S77-(S109+S112+S113+S118+S120+S119+S121+S122)</f>
        <v>-33.173999999999985</v>
      </c>
      <c r="T123" s="426">
        <f>T77-(T109+T112+T113+T118+T120+T119+T121+T122)</f>
        <v>7.0399999999999885</v>
      </c>
      <c r="U123" s="426">
        <f>U77-(U109+U112+U113+U118+U120+U119+U121+U122)</f>
        <v>-69.911999999999978</v>
      </c>
      <c r="V123" s="201">
        <f>U123+T123+S123+R123</f>
        <v>-134.18699999999995</v>
      </c>
      <c r="W123" s="426">
        <f>W77-(W109+W112+W113+W118+W120+W119+W121+W122)</f>
        <v>-74.456999999999965</v>
      </c>
      <c r="X123" s="426">
        <f>X77-(X109+X112+X113+X118+X120+X119+X121+X122)</f>
        <v>-71.927999999999997</v>
      </c>
      <c r="Y123" s="426">
        <f>Y77-(Y109+Y112+Y113+Y118+Y120+Y119+Y121+Y122)</f>
        <v>-81.186000000000035</v>
      </c>
      <c r="Z123" s="426">
        <f>Z77-(Z109+Z112+Z113+Z118+Z120+Z119+Z121+Z122)</f>
        <v>75.519999999999982</v>
      </c>
      <c r="AA123" s="201">
        <f>Z123+Y123+X123+W123</f>
        <v>-152.05100000000002</v>
      </c>
      <c r="AB123" s="426">
        <f>AB77-(AB109+AB112+AB113+AB118+AB120+AB119+AB121+AB122)</f>
        <v>-85.06100000000005</v>
      </c>
      <c r="AC123" s="426">
        <f>AC77-(AC109+AC112+AC113+AC118+AC120+AC119+AC121+AC122)</f>
        <v>-412.02499999999998</v>
      </c>
      <c r="AD123" s="426">
        <f>AD77-(AD109+AD112+AD113+AD118+AD120+AD119+AD121+AD122)</f>
        <v>-18.86999999999999</v>
      </c>
      <c r="AE123" s="426">
        <f>AE77-(AE109+AE112+AE113+AE118+AE120+AE119+AE121+AE122)</f>
        <v>-90.995000000000033</v>
      </c>
      <c r="AF123" s="201">
        <f>AE123+AD123+AC123+AB123</f>
        <v>-606.95100000000002</v>
      </c>
      <c r="AG123" s="426">
        <f t="shared" ref="AG123:AL123" si="382">AG77-(AG109+AG112+AG113+AG118+AG120+AG119+AG121+AG122)</f>
        <v>-6.2919999999999874</v>
      </c>
      <c r="AH123" s="426">
        <f t="shared" si="382"/>
        <v>-36.865999999999985</v>
      </c>
      <c r="AI123" s="426">
        <f t="shared" si="382"/>
        <v>-12.475000000000026</v>
      </c>
      <c r="AJ123" s="426">
        <f t="shared" si="382"/>
        <v>-51.483999999999924</v>
      </c>
      <c r="AK123" s="201">
        <f t="shared" si="382"/>
        <v>-107.14300000000007</v>
      </c>
      <c r="AL123" s="426">
        <f t="shared" si="382"/>
        <v>-44.408738608502844</v>
      </c>
      <c r="AM123" s="426">
        <f t="shared" ref="AM123:AO123" si="383">AM77-(AM109+AM112+AM113+AM118+AM120+AM119+AM121+AM122)</f>
        <v>-43.245299045740325</v>
      </c>
      <c r="AN123" s="426">
        <f t="shared" si="383"/>
        <v>-67.268033965051174</v>
      </c>
      <c r="AO123" s="426">
        <f t="shared" si="383"/>
        <v>-23.453313273894121</v>
      </c>
      <c r="AP123" s="201">
        <f>AP77-(AP109+AP112+AP113+AP118+AP120+AP119+AP121+AP122)</f>
        <v>-178.37538489318837</v>
      </c>
      <c r="AQ123" s="426"/>
      <c r="AR123" s="426"/>
      <c r="AS123" s="426"/>
      <c r="AT123" s="426"/>
      <c r="AU123" s="201">
        <f>AU77-(AU109+AU112+AU113+AU118+AU120+AU119+AU121+AU122)</f>
        <v>-132.0550857050917</v>
      </c>
      <c r="AV123" s="426"/>
      <c r="AW123" s="426"/>
      <c r="AX123" s="426"/>
      <c r="AY123" s="426"/>
      <c r="AZ123" s="201">
        <f>AZ77-(AZ109+AZ112+AZ113+AZ118+AZ120+AZ119+AZ121+AZ122)</f>
        <v>15.507533251127995</v>
      </c>
      <c r="BA123" s="426"/>
      <c r="BB123" s="426"/>
      <c r="BC123" s="426"/>
      <c r="BD123" s="426"/>
      <c r="BE123" s="201">
        <f>BE77-(BE109+BE112+BE113+BE118+BE120+BE119+BE121+BE122)</f>
        <v>219.92742857831655</v>
      </c>
      <c r="BF123" s="426"/>
      <c r="BG123" s="426"/>
      <c r="BH123" s="426"/>
      <c r="BI123" s="426"/>
      <c r="BJ123" s="201">
        <f>BJ77-(BJ109+BJ112+BJ113+BJ118+BJ120+BJ119+BJ121+BJ122)</f>
        <v>427.40998228884285</v>
      </c>
      <c r="BK123" s="426"/>
      <c r="BL123" s="426"/>
      <c r="BM123" s="426"/>
      <c r="BN123" s="426"/>
      <c r="BO123" s="201">
        <f>BO77-(BO109+BO112+BO113+BO118+BO120+BO119+BO121+BO122)</f>
        <v>647.62888474462102</v>
      </c>
      <c r="BP123" s="426"/>
      <c r="BQ123" s="426"/>
      <c r="BR123" s="426"/>
      <c r="BS123" s="426"/>
      <c r="BT123" s="201">
        <f>BT77-(BT109+BT112+BT113+BT118+BT120+BT119+BT121+BT122)</f>
        <v>951.92750271350474</v>
      </c>
      <c r="BU123" s="426"/>
      <c r="BV123" s="426"/>
      <c r="BW123" s="426"/>
      <c r="BX123" s="426"/>
      <c r="BY123" s="201">
        <f>BY77-(BY109+BY112+BY113+BY118+BY120+BY119+BY121+BY122)</f>
        <v>1239.0677211837997</v>
      </c>
      <c r="BZ123" s="426"/>
      <c r="CA123" s="426"/>
      <c r="CB123" s="426"/>
      <c r="CC123" s="426"/>
      <c r="CD123" s="201">
        <f>CD77-(CD109+CD112+CD113+CD118+CD120+CD119+CD121+CD122)</f>
        <v>1503.9185993039973</v>
      </c>
      <c r="CE123" s="426"/>
      <c r="CF123" s="426"/>
      <c r="CG123" s="426"/>
      <c r="CH123" s="426"/>
      <c r="CI123" s="201">
        <f>CI77-(CI109+CI112+CI113+CI118+CI120+CI119+CI121+CI122)</f>
        <v>1726.0932249835823</v>
      </c>
      <c r="CJ123" s="426"/>
      <c r="CK123" s="426"/>
      <c r="CL123" s="426"/>
      <c r="CM123" s="426"/>
      <c r="CN123" s="201">
        <f>CN77-(CN109+CN112+CN113+CN118+CN120+CN119+CN121+CN122)</f>
        <v>1873.8176179026525</v>
      </c>
      <c r="CO123" s="426"/>
      <c r="CP123" s="426"/>
      <c r="CQ123" s="426"/>
      <c r="CR123" s="426"/>
      <c r="CS123" s="201">
        <f>CS77-(CS109+CS112+CS113+CS118+CS120+CS119+CS121+CS122)</f>
        <v>2035.6375352478258</v>
      </c>
      <c r="CT123" s="426"/>
      <c r="CU123" s="426"/>
      <c r="CV123" s="426"/>
      <c r="CW123" s="426"/>
      <c r="CX123" s="201">
        <f>CX77-(CX109+CX112+CX113+CX118+CX120+CX119+CX121+CX122)</f>
        <v>2191.8045745033146</v>
      </c>
    </row>
    <row r="124" spans="2:110">
      <c r="B124" s="414" t="s">
        <v>400</v>
      </c>
      <c r="C124" s="420">
        <v>0</v>
      </c>
      <c r="D124" s="420">
        <v>0</v>
      </c>
      <c r="E124" s="420">
        <v>0</v>
      </c>
      <c r="F124" s="420">
        <v>0</v>
      </c>
      <c r="G124" s="415">
        <f t="shared" ref="G124" si="384">SUM(C124:F124)</f>
        <v>0</v>
      </c>
      <c r="H124" s="420">
        <v>0</v>
      </c>
      <c r="I124" s="420">
        <v>0</v>
      </c>
      <c r="J124" s="420">
        <v>0</v>
      </c>
      <c r="K124" s="420">
        <v>0</v>
      </c>
      <c r="L124" s="415">
        <f t="shared" ref="L124" si="385">SUM(H124:K124)</f>
        <v>0</v>
      </c>
      <c r="M124" s="420">
        <v>0</v>
      </c>
      <c r="N124" s="420">
        <v>0</v>
      </c>
      <c r="O124" s="420">
        <v>0</v>
      </c>
      <c r="P124" s="420">
        <v>0</v>
      </c>
      <c r="Q124" s="415">
        <f t="shared" ref="Q124" si="386">SUM(M124:P124)</f>
        <v>0</v>
      </c>
      <c r="R124" s="420">
        <v>0</v>
      </c>
      <c r="S124" s="420">
        <v>0</v>
      </c>
      <c r="T124" s="420">
        <v>0</v>
      </c>
      <c r="U124" s="420">
        <v>0</v>
      </c>
      <c r="V124" s="415">
        <f t="shared" ref="V124" si="387">SUM(R124:U124)</f>
        <v>0</v>
      </c>
      <c r="W124" s="420">
        <v>0</v>
      </c>
      <c r="X124" s="420">
        <v>0</v>
      </c>
      <c r="Y124" s="420">
        <v>-4.9800000000000004</v>
      </c>
      <c r="Z124" s="420">
        <v>0</v>
      </c>
      <c r="AA124" s="415">
        <f t="shared" si="381"/>
        <v>-4.9800000000000004</v>
      </c>
      <c r="AB124" s="420">
        <v>0</v>
      </c>
      <c r="AC124" s="420">
        <v>0</v>
      </c>
      <c r="AD124" s="420">
        <v>0</v>
      </c>
      <c r="AE124" s="170">
        <v>0</v>
      </c>
      <c r="AF124" s="415">
        <f t="shared" ref="AF124" si="388">AE124+AD124+AC124+AB124</f>
        <v>0</v>
      </c>
      <c r="AG124" s="420">
        <f>AK124*0.25</f>
        <v>0</v>
      </c>
      <c r="AH124" s="420">
        <f>AK124*0.25</f>
        <v>0</v>
      </c>
      <c r="AI124" s="420">
        <f>AK124*0.25</f>
        <v>0</v>
      </c>
      <c r="AJ124" s="420">
        <f>AK124*0.25</f>
        <v>0</v>
      </c>
      <c r="AK124" s="189">
        <v>0</v>
      </c>
      <c r="AL124" s="420">
        <v>0</v>
      </c>
      <c r="AM124" s="420">
        <v>0</v>
      </c>
      <c r="AN124" s="420">
        <v>0</v>
      </c>
      <c r="AO124" s="420">
        <v>0</v>
      </c>
      <c r="AP124" s="189">
        <v>0</v>
      </c>
      <c r="AQ124" s="420"/>
      <c r="AR124" s="420"/>
      <c r="AS124" s="420"/>
      <c r="AT124" s="420"/>
      <c r="AU124" s="189">
        <v>0</v>
      </c>
      <c r="AV124" s="420"/>
      <c r="AW124" s="420"/>
      <c r="AX124" s="420"/>
      <c r="AY124" s="420"/>
      <c r="AZ124" s="189">
        <v>0</v>
      </c>
      <c r="BA124" s="420"/>
      <c r="BB124" s="420"/>
      <c r="BC124" s="420"/>
      <c r="BD124" s="420"/>
      <c r="BE124" s="189">
        <v>0</v>
      </c>
      <c r="BF124" s="420"/>
      <c r="BG124" s="420"/>
      <c r="BH124" s="420"/>
      <c r="BI124" s="420"/>
      <c r="BJ124" s="189">
        <v>0</v>
      </c>
      <c r="BK124" s="420"/>
      <c r="BL124" s="420"/>
      <c r="BM124" s="420"/>
      <c r="BN124" s="420"/>
      <c r="BO124" s="189">
        <v>0</v>
      </c>
      <c r="BP124" s="420"/>
      <c r="BQ124" s="420"/>
      <c r="BR124" s="420"/>
      <c r="BS124" s="420"/>
      <c r="BT124" s="189">
        <v>0</v>
      </c>
      <c r="BU124" s="420"/>
      <c r="BV124" s="420"/>
      <c r="BW124" s="420"/>
      <c r="BX124" s="420"/>
      <c r="BY124" s="189">
        <v>0</v>
      </c>
      <c r="BZ124" s="420"/>
      <c r="CA124" s="420"/>
      <c r="CB124" s="420"/>
      <c r="CC124" s="420"/>
      <c r="CD124" s="189">
        <v>0</v>
      </c>
      <c r="CE124" s="420"/>
      <c r="CF124" s="420"/>
      <c r="CG124" s="420"/>
      <c r="CH124" s="420"/>
      <c r="CI124" s="189">
        <v>0</v>
      </c>
      <c r="CJ124" s="420"/>
      <c r="CK124" s="420"/>
      <c r="CL124" s="420"/>
      <c r="CM124" s="420"/>
      <c r="CN124" s="189">
        <v>0</v>
      </c>
      <c r="CO124" s="420"/>
      <c r="CP124" s="420"/>
      <c r="CQ124" s="420"/>
      <c r="CR124" s="420"/>
      <c r="CS124" s="189">
        <v>0</v>
      </c>
      <c r="CT124" s="420"/>
      <c r="CU124" s="420"/>
      <c r="CV124" s="420"/>
      <c r="CW124" s="420"/>
      <c r="CX124" s="189">
        <v>0</v>
      </c>
    </row>
    <row r="125" spans="2:110" s="172" customFormat="1">
      <c r="B125" s="434" t="s">
        <v>401</v>
      </c>
      <c r="C125" s="435">
        <f t="shared" ref="C125:AO125" si="389">(C123+C124)/C85</f>
        <v>-4.0165066866529008E-2</v>
      </c>
      <c r="D125" s="435">
        <f t="shared" si="389"/>
        <v>-4.58898068650214E-2</v>
      </c>
      <c r="E125" s="435">
        <f t="shared" si="389"/>
        <v>-0.15660343752782965</v>
      </c>
      <c r="F125" s="435">
        <f t="shared" si="389"/>
        <v>-0.23239085784206626</v>
      </c>
      <c r="G125" s="436">
        <f t="shared" si="389"/>
        <v>-0.4791298763846526</v>
      </c>
      <c r="H125" s="435">
        <f t="shared" si="389"/>
        <v>-0.20856869731467809</v>
      </c>
      <c r="I125" s="435">
        <f t="shared" si="389"/>
        <v>-0.2716262975778545</v>
      </c>
      <c r="J125" s="435">
        <f t="shared" si="389"/>
        <v>-4.3764278885882475E-2</v>
      </c>
      <c r="K125" s="435">
        <f t="shared" si="389"/>
        <v>-0.42567930965281953</v>
      </c>
      <c r="L125" s="436">
        <f t="shared" si="389"/>
        <v>-0.95167579882099596</v>
      </c>
      <c r="M125" s="435">
        <f t="shared" si="389"/>
        <v>-0.31093467949268966</v>
      </c>
      <c r="N125" s="435">
        <f t="shared" si="389"/>
        <v>-0.15428808848391065</v>
      </c>
      <c r="O125" s="435">
        <f t="shared" si="389"/>
        <v>-0.3766584277962442</v>
      </c>
      <c r="P125" s="435">
        <f t="shared" si="389"/>
        <v>-0.43377761599417558</v>
      </c>
      <c r="Q125" s="436">
        <f t="shared" si="389"/>
        <v>-1.2799970962941449</v>
      </c>
      <c r="R125" s="435">
        <f t="shared" si="389"/>
        <v>-0.26457959030778933</v>
      </c>
      <c r="S125" s="435">
        <f t="shared" si="389"/>
        <v>-0.22667422839611609</v>
      </c>
      <c r="T125" s="435">
        <f t="shared" si="389"/>
        <v>4.4192236227589943E-2</v>
      </c>
      <c r="U125" s="435">
        <f t="shared" si="389"/>
        <v>-0.47173452450034398</v>
      </c>
      <c r="V125" s="436">
        <f t="shared" si="389"/>
        <v>-0.91689727979009061</v>
      </c>
      <c r="W125" s="435">
        <f t="shared" si="389"/>
        <v>-0.47240692333071066</v>
      </c>
      <c r="X125" s="435">
        <f t="shared" si="389"/>
        <v>-0.44841215415882196</v>
      </c>
      <c r="Y125" s="435">
        <f t="shared" si="389"/>
        <v>-0.53474747725495575</v>
      </c>
      <c r="Z125" s="435">
        <f t="shared" si="389"/>
        <v>0.43330579271091513</v>
      </c>
      <c r="AA125" s="436">
        <f t="shared" si="389"/>
        <v>-0.9812904233713482</v>
      </c>
      <c r="AB125" s="435">
        <f t="shared" si="389"/>
        <v>-0.52653700448164042</v>
      </c>
      <c r="AC125" s="435">
        <f t="shared" si="389"/>
        <v>-2.5341816996438831</v>
      </c>
      <c r="AD125" s="435">
        <f t="shared" si="389"/>
        <v>-0.11251296850590881</v>
      </c>
      <c r="AE125" s="435">
        <f t="shared" si="389"/>
        <v>-0.52830352995819807</v>
      </c>
      <c r="AF125" s="436">
        <f t="shared" si="389"/>
        <v>-3.6558413104267657</v>
      </c>
      <c r="AG125" s="435">
        <f t="shared" si="389"/>
        <v>-3.6431011522204779E-2</v>
      </c>
      <c r="AH125" s="435">
        <f t="shared" si="389"/>
        <v>-0.21141913358642908</v>
      </c>
      <c r="AI125" s="435">
        <f t="shared" si="389"/>
        <v>-7.1243782231029881E-2</v>
      </c>
      <c r="AJ125" s="435">
        <f t="shared" si="389"/>
        <v>-0.2930138584559342</v>
      </c>
      <c r="AK125" s="436">
        <f t="shared" si="389"/>
        <v>-0.61409501756718843</v>
      </c>
      <c r="AL125" s="435">
        <f t="shared" si="389"/>
        <v>-0.25138836711868945</v>
      </c>
      <c r="AM125" s="435">
        <f t="shared" si="389"/>
        <v>-0.24480238469521767</v>
      </c>
      <c r="AN125" s="435">
        <f t="shared" si="389"/>
        <v>-0.38078994692546742</v>
      </c>
      <c r="AO125" s="435">
        <f t="shared" si="389"/>
        <v>-0.13276418813477522</v>
      </c>
      <c r="AP125" s="436">
        <f>(AP123+AP124)/AP85</f>
        <v>-1.0097448868741492</v>
      </c>
      <c r="AQ125" s="435"/>
      <c r="AR125" s="435"/>
      <c r="AS125" s="435"/>
      <c r="AT125" s="435"/>
      <c r="AU125" s="436">
        <f>(AU123+AU124)/AU85</f>
        <v>-0.73830674995680512</v>
      </c>
      <c r="AV125" s="435"/>
      <c r="AW125" s="435"/>
      <c r="AX125" s="435"/>
      <c r="AY125" s="435"/>
      <c r="AZ125" s="436">
        <f>(AZ123+AZ124)/AZ85</f>
        <v>8.5630680772384754E-2</v>
      </c>
      <c r="BA125" s="435"/>
      <c r="BB125" s="435"/>
      <c r="BC125" s="435"/>
      <c r="BD125" s="435"/>
      <c r="BE125" s="436">
        <f>(BE123+BE124)/BE85</f>
        <v>1.1994193203438632</v>
      </c>
      <c r="BF125" s="435"/>
      <c r="BG125" s="435"/>
      <c r="BH125" s="435"/>
      <c r="BI125" s="435"/>
      <c r="BJ125" s="436">
        <f>(BJ123+BJ124)/BJ85</f>
        <v>2.3021905819264967</v>
      </c>
      <c r="BK125" s="435"/>
      <c r="BL125" s="435"/>
      <c r="BM125" s="435"/>
      <c r="BN125" s="435"/>
      <c r="BO125" s="436">
        <f>(BO123+BO124)/BO85</f>
        <v>3.4453059200408926</v>
      </c>
      <c r="BP125" s="435"/>
      <c r="BQ125" s="435"/>
      <c r="BR125" s="435"/>
      <c r="BS125" s="435"/>
      <c r="BT125" s="436">
        <f>(BT123+BT124)/BT85</f>
        <v>5.0016168862684607</v>
      </c>
      <c r="BU125" s="435"/>
      <c r="BV125" s="435"/>
      <c r="BW125" s="435"/>
      <c r="BX125" s="435"/>
      <c r="BY125" s="436">
        <f>(BY123+BY124)/BY85</f>
        <v>6.4299346583964496</v>
      </c>
      <c r="BZ125" s="435"/>
      <c r="CA125" s="435"/>
      <c r="CB125" s="435"/>
      <c r="CC125" s="435"/>
      <c r="CD125" s="436">
        <f>(CD123+CD124)/CD85</f>
        <v>7.707984181855652</v>
      </c>
      <c r="CE125" s="435"/>
      <c r="CF125" s="435"/>
      <c r="CG125" s="435"/>
      <c r="CH125" s="435"/>
      <c r="CI125" s="436">
        <f>(CI123+CI124)/CI85</f>
        <v>8.7374700559346703</v>
      </c>
      <c r="CJ125" s="435"/>
      <c r="CK125" s="435"/>
      <c r="CL125" s="435"/>
      <c r="CM125" s="435"/>
      <c r="CN125" s="436">
        <f>(CN123+CN124)/CN85</f>
        <v>9.3681478989200802</v>
      </c>
      <c r="CO125" s="435"/>
      <c r="CP125" s="435"/>
      <c r="CQ125" s="435"/>
      <c r="CR125" s="435"/>
      <c r="CS125" s="436">
        <f>(CS123+CS124)/CS85</f>
        <v>10.051522263977871</v>
      </c>
      <c r="CT125" s="435"/>
      <c r="CU125" s="435"/>
      <c r="CV125" s="435"/>
      <c r="CW125" s="435"/>
      <c r="CX125" s="436">
        <f>(CX123+CX124)/CX85</f>
        <v>10.689027288792436</v>
      </c>
      <c r="DA125"/>
      <c r="DB125"/>
      <c r="DC125"/>
      <c r="DD125"/>
      <c r="DE125"/>
      <c r="DF125"/>
    </row>
    <row r="126" spans="2:110" ht="14.25" thickBot="1">
      <c r="AJ126" s="729"/>
    </row>
    <row r="127" spans="2:110">
      <c r="B127" s="202" t="s">
        <v>12</v>
      </c>
      <c r="C127" s="203" t="str">
        <f t="shared" ref="C127:AH127" si="390">C2</f>
        <v>1Q11</v>
      </c>
      <c r="D127" s="203" t="str">
        <f t="shared" si="390"/>
        <v>2Q11</v>
      </c>
      <c r="E127" s="203" t="str">
        <f t="shared" si="390"/>
        <v>3Q11</v>
      </c>
      <c r="F127" s="203" t="str">
        <f t="shared" si="390"/>
        <v>4Q11</v>
      </c>
      <c r="G127" s="204">
        <f t="shared" si="390"/>
        <v>2011</v>
      </c>
      <c r="H127" s="203" t="str">
        <f t="shared" si="390"/>
        <v>1Q12</v>
      </c>
      <c r="I127" s="203" t="str">
        <f t="shared" si="390"/>
        <v>2Q12</v>
      </c>
      <c r="J127" s="203" t="str">
        <f t="shared" si="390"/>
        <v>3Q12</v>
      </c>
      <c r="K127" s="203" t="str">
        <f t="shared" si="390"/>
        <v>4Q12</v>
      </c>
      <c r="L127" s="204">
        <f t="shared" si="390"/>
        <v>2012</v>
      </c>
      <c r="M127" s="203" t="str">
        <f t="shared" si="390"/>
        <v>1Q13</v>
      </c>
      <c r="N127" s="203" t="str">
        <f t="shared" si="390"/>
        <v>2Q13</v>
      </c>
      <c r="O127" s="203" t="str">
        <f t="shared" si="390"/>
        <v>3Q13</v>
      </c>
      <c r="P127" s="203" t="str">
        <f t="shared" si="390"/>
        <v>4Q13</v>
      </c>
      <c r="Q127" s="204">
        <f t="shared" si="390"/>
        <v>2013</v>
      </c>
      <c r="R127" s="203" t="str">
        <f t="shared" si="390"/>
        <v>1Q14</v>
      </c>
      <c r="S127" s="203" t="str">
        <f t="shared" si="390"/>
        <v>2Q14</v>
      </c>
      <c r="T127" s="203" t="str">
        <f t="shared" si="390"/>
        <v>3Q14</v>
      </c>
      <c r="U127" s="203" t="str">
        <f t="shared" si="390"/>
        <v>4Q14</v>
      </c>
      <c r="V127" s="204">
        <f t="shared" si="390"/>
        <v>2014</v>
      </c>
      <c r="W127" s="203" t="str">
        <f t="shared" si="390"/>
        <v>1Q15</v>
      </c>
      <c r="X127" s="203" t="str">
        <f t="shared" si="390"/>
        <v>2Q15</v>
      </c>
      <c r="Y127" s="203" t="str">
        <f t="shared" si="390"/>
        <v>3Q15</v>
      </c>
      <c r="Z127" s="203" t="str">
        <f t="shared" si="390"/>
        <v>4Q15</v>
      </c>
      <c r="AA127" s="204">
        <f t="shared" si="390"/>
        <v>2015</v>
      </c>
      <c r="AB127" s="203" t="str">
        <f t="shared" si="390"/>
        <v>1Q16</v>
      </c>
      <c r="AC127" s="203" t="str">
        <f t="shared" si="390"/>
        <v>2Q16</v>
      </c>
      <c r="AD127" s="203" t="str">
        <f t="shared" si="390"/>
        <v>3Q16</v>
      </c>
      <c r="AE127" s="203" t="str">
        <f t="shared" si="390"/>
        <v>4Q16</v>
      </c>
      <c r="AF127" s="204">
        <f t="shared" si="390"/>
        <v>2016</v>
      </c>
      <c r="AG127" s="203" t="str">
        <f t="shared" si="390"/>
        <v>1Q17</v>
      </c>
      <c r="AH127" s="203" t="str">
        <f t="shared" si="390"/>
        <v>2Q17</v>
      </c>
      <c r="AI127" s="203" t="str">
        <f t="shared" ref="AI127:BN127" si="391">AI2</f>
        <v>3Q17</v>
      </c>
      <c r="AJ127" s="203" t="str">
        <f t="shared" si="391"/>
        <v>4Q17</v>
      </c>
      <c r="AK127" s="204">
        <f t="shared" si="391"/>
        <v>2017</v>
      </c>
      <c r="AL127" s="203" t="str">
        <f t="shared" si="391"/>
        <v>1Q18E</v>
      </c>
      <c r="AM127" s="203" t="str">
        <f t="shared" si="391"/>
        <v>2Q18E</v>
      </c>
      <c r="AN127" s="203" t="str">
        <f t="shared" si="391"/>
        <v>3Q18E</v>
      </c>
      <c r="AO127" s="203" t="str">
        <f t="shared" si="391"/>
        <v>4Q18E</v>
      </c>
      <c r="AP127" s="204" t="str">
        <f t="shared" si="391"/>
        <v>2018E</v>
      </c>
      <c r="AQ127" s="203" t="str">
        <f t="shared" si="391"/>
        <v>1Q19E</v>
      </c>
      <c r="AR127" s="203" t="str">
        <f t="shared" si="391"/>
        <v>2Q19E</v>
      </c>
      <c r="AS127" s="203" t="str">
        <f t="shared" si="391"/>
        <v>3Q19E</v>
      </c>
      <c r="AT127" s="203" t="str">
        <f t="shared" si="391"/>
        <v>4Q19E</v>
      </c>
      <c r="AU127" s="204" t="str">
        <f t="shared" si="391"/>
        <v>2019E</v>
      </c>
      <c r="AV127" s="203" t="str">
        <f t="shared" si="391"/>
        <v>1Q20E</v>
      </c>
      <c r="AW127" s="203" t="str">
        <f t="shared" si="391"/>
        <v>2Q20E</v>
      </c>
      <c r="AX127" s="203" t="str">
        <f t="shared" si="391"/>
        <v>3Q20E</v>
      </c>
      <c r="AY127" s="203" t="str">
        <f t="shared" si="391"/>
        <v>4Q20E</v>
      </c>
      <c r="AZ127" s="204" t="str">
        <f t="shared" si="391"/>
        <v>2020E</v>
      </c>
      <c r="BA127" s="203" t="str">
        <f t="shared" si="391"/>
        <v>1Q21E</v>
      </c>
      <c r="BB127" s="203" t="str">
        <f t="shared" si="391"/>
        <v>2Q21E</v>
      </c>
      <c r="BC127" s="203" t="str">
        <f t="shared" si="391"/>
        <v>3Q21E</v>
      </c>
      <c r="BD127" s="203" t="str">
        <f t="shared" si="391"/>
        <v>4Q21E</v>
      </c>
      <c r="BE127" s="204" t="str">
        <f t="shared" si="391"/>
        <v>2021E</v>
      </c>
      <c r="BF127" s="203" t="str">
        <f t="shared" si="391"/>
        <v>1Q22E</v>
      </c>
      <c r="BG127" s="203" t="str">
        <f t="shared" si="391"/>
        <v>2Q22E</v>
      </c>
      <c r="BH127" s="203" t="str">
        <f t="shared" si="391"/>
        <v>3Q22E</v>
      </c>
      <c r="BI127" s="203" t="str">
        <f t="shared" si="391"/>
        <v>4Q22E</v>
      </c>
      <c r="BJ127" s="204" t="str">
        <f t="shared" si="391"/>
        <v>2022E</v>
      </c>
      <c r="BK127" s="203" t="str">
        <f t="shared" si="391"/>
        <v>1Q23E</v>
      </c>
      <c r="BL127" s="203" t="str">
        <f t="shared" si="391"/>
        <v>2Q23E</v>
      </c>
      <c r="BM127" s="203" t="str">
        <f t="shared" si="391"/>
        <v>3Q23E</v>
      </c>
      <c r="BN127" s="203" t="str">
        <f t="shared" si="391"/>
        <v>4Q23E</v>
      </c>
      <c r="BO127" s="204" t="str">
        <f t="shared" ref="BO127:CX127" si="392">BO2</f>
        <v>2023E</v>
      </c>
      <c r="BP127" s="203" t="str">
        <f t="shared" si="392"/>
        <v>1Q24E</v>
      </c>
      <c r="BQ127" s="203" t="str">
        <f t="shared" si="392"/>
        <v>2Q24E</v>
      </c>
      <c r="BR127" s="203" t="str">
        <f t="shared" si="392"/>
        <v>3Q24E</v>
      </c>
      <c r="BS127" s="203" t="str">
        <f t="shared" si="392"/>
        <v>4Q24E</v>
      </c>
      <c r="BT127" s="204" t="str">
        <f t="shared" si="392"/>
        <v>2024E</v>
      </c>
      <c r="BU127" s="203" t="str">
        <f t="shared" si="392"/>
        <v>1Q25E</v>
      </c>
      <c r="BV127" s="203" t="str">
        <f t="shared" si="392"/>
        <v>2Q25E</v>
      </c>
      <c r="BW127" s="203" t="str">
        <f t="shared" si="392"/>
        <v>3Q25E</v>
      </c>
      <c r="BX127" s="203" t="str">
        <f t="shared" si="392"/>
        <v>4Q25E</v>
      </c>
      <c r="BY127" s="204" t="str">
        <f t="shared" si="392"/>
        <v>2025E</v>
      </c>
      <c r="BZ127" s="203" t="str">
        <f t="shared" si="392"/>
        <v>1Q26E</v>
      </c>
      <c r="CA127" s="203" t="str">
        <f t="shared" si="392"/>
        <v>2Q26E</v>
      </c>
      <c r="CB127" s="203" t="str">
        <f t="shared" si="392"/>
        <v>3Q26E</v>
      </c>
      <c r="CC127" s="203" t="str">
        <f t="shared" si="392"/>
        <v>4Q26E</v>
      </c>
      <c r="CD127" s="204" t="str">
        <f t="shared" si="392"/>
        <v>2026E</v>
      </c>
      <c r="CE127" s="203" t="str">
        <f t="shared" si="392"/>
        <v>1Q27E</v>
      </c>
      <c r="CF127" s="203" t="str">
        <f t="shared" si="392"/>
        <v>2Q27E</v>
      </c>
      <c r="CG127" s="203" t="str">
        <f t="shared" si="392"/>
        <v>3Q27E</v>
      </c>
      <c r="CH127" s="203" t="str">
        <f t="shared" si="392"/>
        <v>4Q27E</v>
      </c>
      <c r="CI127" s="204" t="str">
        <f t="shared" si="392"/>
        <v>2027E</v>
      </c>
      <c r="CJ127" s="203" t="str">
        <f t="shared" si="392"/>
        <v>1Q28E</v>
      </c>
      <c r="CK127" s="203" t="str">
        <f t="shared" si="392"/>
        <v>2Q28E</v>
      </c>
      <c r="CL127" s="203" t="str">
        <f t="shared" si="392"/>
        <v>3Q28E</v>
      </c>
      <c r="CM127" s="203" t="str">
        <f t="shared" si="392"/>
        <v>4Q28E</v>
      </c>
      <c r="CN127" s="204" t="str">
        <f t="shared" si="392"/>
        <v>2028E</v>
      </c>
      <c r="CO127" s="203" t="str">
        <f t="shared" si="392"/>
        <v>1Q29E</v>
      </c>
      <c r="CP127" s="203" t="str">
        <f t="shared" si="392"/>
        <v>2Q29E</v>
      </c>
      <c r="CQ127" s="203" t="str">
        <f t="shared" si="392"/>
        <v>3Q29E</v>
      </c>
      <c r="CR127" s="203" t="str">
        <f t="shared" si="392"/>
        <v>4Q29E</v>
      </c>
      <c r="CS127" s="204" t="str">
        <f t="shared" si="392"/>
        <v>2029E</v>
      </c>
      <c r="CT127" s="203" t="str">
        <f t="shared" si="392"/>
        <v>1Q30E</v>
      </c>
      <c r="CU127" s="203" t="str">
        <f t="shared" si="392"/>
        <v>2Q30E</v>
      </c>
      <c r="CV127" s="203" t="str">
        <f t="shared" si="392"/>
        <v>3Q30E</v>
      </c>
      <c r="CW127" s="203" t="str">
        <f t="shared" si="392"/>
        <v>4Q30E</v>
      </c>
      <c r="CX127" s="204" t="str">
        <f t="shared" si="392"/>
        <v>2030E</v>
      </c>
    </row>
    <row r="128" spans="2:110">
      <c r="B128" s="205" t="s">
        <v>114</v>
      </c>
      <c r="C128" s="206">
        <f>C28/C5</f>
        <v>0.17780263302651361</v>
      </c>
      <c r="D128" s="206">
        <f>D28/D5</f>
        <v>0.16545029922639035</v>
      </c>
      <c r="E128" s="206">
        <f>E28/E5</f>
        <v>0.18700339265309016</v>
      </c>
      <c r="F128" s="206">
        <f>F28/F5</f>
        <v>0.1905641876602806</v>
      </c>
      <c r="G128" s="207">
        <f>G28/G5</f>
        <v>0.18017488980845292</v>
      </c>
      <c r="H128" s="206">
        <f>1-H28/H5</f>
        <v>0.86035667891155287</v>
      </c>
      <c r="I128" s="206">
        <f t="shared" ref="I128:AN128" si="393">I28/I5</f>
        <v>0.18081810864209577</v>
      </c>
      <c r="J128" s="206">
        <f t="shared" si="393"/>
        <v>0.1844034518248753</v>
      </c>
      <c r="K128" s="206">
        <f t="shared" si="393"/>
        <v>0.19225394595172463</v>
      </c>
      <c r="L128" s="207">
        <f t="shared" si="393"/>
        <v>0.17510679822838807</v>
      </c>
      <c r="M128" s="206">
        <f t="shared" si="393"/>
        <v>0.15278301294132429</v>
      </c>
      <c r="N128" s="206">
        <f t="shared" si="393"/>
        <v>0.16191087613293051</v>
      </c>
      <c r="O128" s="206">
        <f t="shared" si="393"/>
        <v>0.19775924960917146</v>
      </c>
      <c r="P128" s="206">
        <f t="shared" si="393"/>
        <v>0.16229474121804194</v>
      </c>
      <c r="Q128" s="207">
        <f t="shared" si="393"/>
        <v>0.16879889451044197</v>
      </c>
      <c r="R128" s="206">
        <f t="shared" si="393"/>
        <v>0.14583501114064054</v>
      </c>
      <c r="S128" s="206">
        <f t="shared" si="393"/>
        <v>0.14699007670895223</v>
      </c>
      <c r="T128" s="206">
        <f t="shared" si="393"/>
        <v>0.15477233934585047</v>
      </c>
      <c r="U128" s="206">
        <f t="shared" si="393"/>
        <v>0.18316853419508938</v>
      </c>
      <c r="V128" s="207">
        <f t="shared" si="393"/>
        <v>0.15974328833611409</v>
      </c>
      <c r="W128" s="206">
        <f t="shared" si="393"/>
        <v>0.14752225401367031</v>
      </c>
      <c r="X128" s="206">
        <f t="shared" si="393"/>
        <v>0.14582187187528864</v>
      </c>
      <c r="Y128" s="206">
        <f t="shared" si="393"/>
        <v>0.16132494573247921</v>
      </c>
      <c r="Z128" s="206">
        <f t="shared" si="393"/>
        <v>0.20114830845331685</v>
      </c>
      <c r="AA128" s="207">
        <f t="shared" si="393"/>
        <v>0.16401287927264668</v>
      </c>
      <c r="AB128" s="206">
        <f t="shared" si="393"/>
        <v>0.17656581278653283</v>
      </c>
      <c r="AC128" s="206">
        <f t="shared" si="393"/>
        <v>0.1652108675848025</v>
      </c>
      <c r="AD128" s="206">
        <f t="shared" si="393"/>
        <v>0.17482085229028757</v>
      </c>
      <c r="AE128" s="206">
        <f t="shared" si="393"/>
        <v>0.20506328264908483</v>
      </c>
      <c r="AF128" s="207">
        <f t="shared" si="393"/>
        <v>0.18072805640586428</v>
      </c>
      <c r="AG128" s="206">
        <f t="shared" si="393"/>
        <v>0.15886031966643502</v>
      </c>
      <c r="AH128" s="206">
        <f t="shared" si="393"/>
        <v>0.17030886979862372</v>
      </c>
      <c r="AI128" s="206">
        <f t="shared" si="393"/>
        <v>0.18902275769745647</v>
      </c>
      <c r="AJ128" s="206">
        <f t="shared" si="393"/>
        <v>0.20705799151343704</v>
      </c>
      <c r="AK128" s="207">
        <f t="shared" si="393"/>
        <v>0.18221648470154839</v>
      </c>
      <c r="AL128" s="206">
        <f t="shared" si="393"/>
        <v>0.18084814776357699</v>
      </c>
      <c r="AM128" s="206">
        <f t="shared" si="393"/>
        <v>0.18099882615962068</v>
      </c>
      <c r="AN128" s="206">
        <f t="shared" si="393"/>
        <v>0.18384114761211753</v>
      </c>
      <c r="AO128" s="206">
        <f t="shared" ref="AO128:BT128" si="394">AO28/AO5</f>
        <v>0.18863691246250069</v>
      </c>
      <c r="AP128" s="207">
        <f t="shared" si="394"/>
        <v>0.18382651451422585</v>
      </c>
      <c r="AQ128" s="206" t="e">
        <f t="shared" si="394"/>
        <v>#DIV/0!</v>
      </c>
      <c r="AR128" s="206" t="e">
        <f t="shared" si="394"/>
        <v>#DIV/0!</v>
      </c>
      <c r="AS128" s="206" t="e">
        <f t="shared" si="394"/>
        <v>#DIV/0!</v>
      </c>
      <c r="AT128" s="206" t="e">
        <f t="shared" si="394"/>
        <v>#DIV/0!</v>
      </c>
      <c r="AU128" s="207">
        <f t="shared" si="394"/>
        <v>0.18478279490116764</v>
      </c>
      <c r="AV128" s="206" t="e">
        <f t="shared" si="394"/>
        <v>#DIV/0!</v>
      </c>
      <c r="AW128" s="206" t="e">
        <f t="shared" si="394"/>
        <v>#DIV/0!</v>
      </c>
      <c r="AX128" s="206" t="e">
        <f t="shared" si="394"/>
        <v>#DIV/0!</v>
      </c>
      <c r="AY128" s="206" t="e">
        <f t="shared" si="394"/>
        <v>#DIV/0!</v>
      </c>
      <c r="AZ128" s="207">
        <f t="shared" si="394"/>
        <v>0.18725270792123094</v>
      </c>
      <c r="BA128" s="206" t="e">
        <f t="shared" si="394"/>
        <v>#DIV/0!</v>
      </c>
      <c r="BB128" s="206" t="e">
        <f t="shared" si="394"/>
        <v>#DIV/0!</v>
      </c>
      <c r="BC128" s="206" t="e">
        <f t="shared" si="394"/>
        <v>#DIV/0!</v>
      </c>
      <c r="BD128" s="206" t="e">
        <f t="shared" si="394"/>
        <v>#DIV/0!</v>
      </c>
      <c r="BE128" s="207">
        <f t="shared" si="394"/>
        <v>0.18924800865334523</v>
      </c>
      <c r="BF128" s="206" t="e">
        <f t="shared" si="394"/>
        <v>#DIV/0!</v>
      </c>
      <c r="BG128" s="206" t="e">
        <f t="shared" si="394"/>
        <v>#DIV/0!</v>
      </c>
      <c r="BH128" s="206" t="e">
        <f t="shared" si="394"/>
        <v>#DIV/0!</v>
      </c>
      <c r="BI128" s="206" t="e">
        <f t="shared" si="394"/>
        <v>#DIV/0!</v>
      </c>
      <c r="BJ128" s="207">
        <f t="shared" si="394"/>
        <v>0.18915974531398089</v>
      </c>
      <c r="BK128" s="206" t="e">
        <f t="shared" si="394"/>
        <v>#DIV/0!</v>
      </c>
      <c r="BL128" s="206" t="e">
        <f t="shared" si="394"/>
        <v>#DIV/0!</v>
      </c>
      <c r="BM128" s="206" t="e">
        <f t="shared" si="394"/>
        <v>#DIV/0!</v>
      </c>
      <c r="BN128" s="206" t="e">
        <f t="shared" si="394"/>
        <v>#DIV/0!</v>
      </c>
      <c r="BO128" s="207">
        <f t="shared" si="394"/>
        <v>0.18751109090072587</v>
      </c>
      <c r="BP128" s="206" t="e">
        <f t="shared" si="394"/>
        <v>#DIV/0!</v>
      </c>
      <c r="BQ128" s="206" t="e">
        <f t="shared" si="394"/>
        <v>#DIV/0!</v>
      </c>
      <c r="BR128" s="206" t="e">
        <f t="shared" si="394"/>
        <v>#DIV/0!</v>
      </c>
      <c r="BS128" s="206" t="e">
        <f t="shared" si="394"/>
        <v>#DIV/0!</v>
      </c>
      <c r="BT128" s="207">
        <f t="shared" si="394"/>
        <v>0.18517016067064676</v>
      </c>
      <c r="BU128" s="206" t="e">
        <f t="shared" ref="BU128:CX128" si="395">BU28/BU5</f>
        <v>#DIV/0!</v>
      </c>
      <c r="BV128" s="206" t="e">
        <f t="shared" si="395"/>
        <v>#DIV/0!</v>
      </c>
      <c r="BW128" s="206" t="e">
        <f t="shared" si="395"/>
        <v>#DIV/0!</v>
      </c>
      <c r="BX128" s="206" t="e">
        <f t="shared" si="395"/>
        <v>#DIV/0!</v>
      </c>
      <c r="BY128" s="207">
        <f t="shared" si="395"/>
        <v>0.18348057664139333</v>
      </c>
      <c r="BZ128" s="206" t="e">
        <f t="shared" si="395"/>
        <v>#DIV/0!</v>
      </c>
      <c r="CA128" s="206" t="e">
        <f t="shared" si="395"/>
        <v>#DIV/0!</v>
      </c>
      <c r="CB128" s="206" t="e">
        <f t="shared" si="395"/>
        <v>#DIV/0!</v>
      </c>
      <c r="CC128" s="206" t="e">
        <f t="shared" si="395"/>
        <v>#DIV/0!</v>
      </c>
      <c r="CD128" s="207">
        <f t="shared" si="395"/>
        <v>0.18379842430789525</v>
      </c>
      <c r="CE128" s="206" t="e">
        <f t="shared" si="395"/>
        <v>#DIV/0!</v>
      </c>
      <c r="CF128" s="206" t="e">
        <f t="shared" si="395"/>
        <v>#DIV/0!</v>
      </c>
      <c r="CG128" s="206" t="e">
        <f t="shared" si="395"/>
        <v>#DIV/0!</v>
      </c>
      <c r="CH128" s="206" t="e">
        <f t="shared" si="395"/>
        <v>#DIV/0!</v>
      </c>
      <c r="CI128" s="207">
        <f t="shared" si="395"/>
        <v>0.18413497566225925</v>
      </c>
      <c r="CJ128" s="206" t="e">
        <f t="shared" si="395"/>
        <v>#DIV/0!</v>
      </c>
      <c r="CK128" s="206" t="e">
        <f t="shared" si="395"/>
        <v>#DIV/0!</v>
      </c>
      <c r="CL128" s="206" t="e">
        <f t="shared" si="395"/>
        <v>#DIV/0!</v>
      </c>
      <c r="CM128" s="206" t="e">
        <f t="shared" si="395"/>
        <v>#DIV/0!</v>
      </c>
      <c r="CN128" s="207">
        <f t="shared" si="395"/>
        <v>0.18419716361246244</v>
      </c>
      <c r="CO128" s="206" t="e">
        <f t="shared" si="395"/>
        <v>#DIV/0!</v>
      </c>
      <c r="CP128" s="206" t="e">
        <f t="shared" si="395"/>
        <v>#DIV/0!</v>
      </c>
      <c r="CQ128" s="206" t="e">
        <f t="shared" si="395"/>
        <v>#DIV/0!</v>
      </c>
      <c r="CR128" s="206" t="e">
        <f t="shared" si="395"/>
        <v>#DIV/0!</v>
      </c>
      <c r="CS128" s="207">
        <f t="shared" si="395"/>
        <v>0.18423085140144815</v>
      </c>
      <c r="CT128" s="206" t="e">
        <f t="shared" si="395"/>
        <v>#DIV/0!</v>
      </c>
      <c r="CU128" s="206" t="e">
        <f t="shared" si="395"/>
        <v>#DIV/0!</v>
      </c>
      <c r="CV128" s="206" t="e">
        <f t="shared" si="395"/>
        <v>#DIV/0!</v>
      </c>
      <c r="CW128" s="206" t="e">
        <f t="shared" si="395"/>
        <v>#DIV/0!</v>
      </c>
      <c r="CX128" s="207">
        <f t="shared" si="395"/>
        <v>0.18427745086050856</v>
      </c>
    </row>
    <row r="129" spans="2:102">
      <c r="B129" s="205" t="s">
        <v>115</v>
      </c>
      <c r="C129" s="206">
        <f>C28/C22</f>
        <v>0.17718535301856453</v>
      </c>
      <c r="D129" s="206">
        <f>D28/D22</f>
        <v>0.16393235169165968</v>
      </c>
      <c r="E129" s="206">
        <f>E28/E22</f>
        <v>0.18612298875909189</v>
      </c>
      <c r="F129" s="206">
        <f>F28/F22</f>
        <v>0.18741538860968421</v>
      </c>
      <c r="G129" s="207">
        <f>G28/G22</f>
        <v>0.17865995405090651</v>
      </c>
      <c r="H129" s="206">
        <f>1-H28/H22</f>
        <v>0.86084749976425001</v>
      </c>
      <c r="I129" s="206">
        <f t="shared" ref="I129:AN129" si="396">I28/I22</f>
        <v>0.17931929784952305</v>
      </c>
      <c r="J129" s="206">
        <f t="shared" si="396"/>
        <v>0.18180257108736547</v>
      </c>
      <c r="K129" s="206">
        <f t="shared" si="396"/>
        <v>0.19082447816398612</v>
      </c>
      <c r="L129" s="207">
        <f t="shared" si="396"/>
        <v>0.17362893256351314</v>
      </c>
      <c r="M129" s="206">
        <f t="shared" si="396"/>
        <v>0.15208554812081795</v>
      </c>
      <c r="N129" s="206">
        <f t="shared" si="396"/>
        <v>0.15669176229807763</v>
      </c>
      <c r="O129" s="206">
        <f t="shared" si="396"/>
        <v>0.19408360974326752</v>
      </c>
      <c r="P129" s="206">
        <f t="shared" si="396"/>
        <v>0.15943696100519336</v>
      </c>
      <c r="Q129" s="207">
        <f t="shared" si="396"/>
        <v>0.16568312705435811</v>
      </c>
      <c r="R129" s="206">
        <f t="shared" si="396"/>
        <v>0.14338312922297297</v>
      </c>
      <c r="S129" s="206">
        <f t="shared" si="396"/>
        <v>0.14427463800987556</v>
      </c>
      <c r="T129" s="206">
        <f t="shared" si="396"/>
        <v>0.15202578321032689</v>
      </c>
      <c r="U129" s="206">
        <f t="shared" si="396"/>
        <v>0.18132386371045206</v>
      </c>
      <c r="V129" s="207">
        <f t="shared" si="396"/>
        <v>0.15728501767434666</v>
      </c>
      <c r="W129" s="206">
        <f t="shared" si="396"/>
        <v>0.14635324265720481</v>
      </c>
      <c r="X129" s="206">
        <f t="shared" si="396"/>
        <v>0.1451736062526236</v>
      </c>
      <c r="Y129" s="206">
        <f t="shared" si="396"/>
        <v>0.16044690384099877</v>
      </c>
      <c r="Z129" s="206">
        <f t="shared" si="396"/>
        <v>0.19981047311526043</v>
      </c>
      <c r="AA129" s="207">
        <f t="shared" si="396"/>
        <v>0.16302260379033479</v>
      </c>
      <c r="AB129" s="206">
        <f t="shared" si="396"/>
        <v>0.1755373073803731</v>
      </c>
      <c r="AC129" s="206">
        <f t="shared" si="396"/>
        <v>0.16435489836104897</v>
      </c>
      <c r="AD129" s="206">
        <f t="shared" si="396"/>
        <v>0.17380026867122073</v>
      </c>
      <c r="AE129" s="206">
        <f t="shared" si="396"/>
        <v>0.20376152567054664</v>
      </c>
      <c r="AF129" s="207">
        <f t="shared" si="396"/>
        <v>0.17968060283618092</v>
      </c>
      <c r="AG129" s="206">
        <f t="shared" si="396"/>
        <v>0.15804704604191017</v>
      </c>
      <c r="AH129" s="206">
        <f t="shared" si="396"/>
        <v>0.16949232630226055</v>
      </c>
      <c r="AI129" s="206">
        <f t="shared" si="396"/>
        <v>0.18658738024446647</v>
      </c>
      <c r="AJ129" s="206">
        <f t="shared" si="396"/>
        <v>0.20428411945297234</v>
      </c>
      <c r="AK129" s="207">
        <f t="shared" si="396"/>
        <v>0.18054278420829739</v>
      </c>
      <c r="AL129" s="206">
        <f t="shared" si="396"/>
        <v>0.18006127279144366</v>
      </c>
      <c r="AM129" s="206">
        <f t="shared" si="396"/>
        <v>0.18012707619266971</v>
      </c>
      <c r="AN129" s="206">
        <f t="shared" si="396"/>
        <v>0.18277692001459794</v>
      </c>
      <c r="AO129" s="206">
        <f t="shared" ref="AO129:BT129" si="397">AO28/AO22</f>
        <v>0.1876412540217115</v>
      </c>
      <c r="AP129" s="207">
        <f t="shared" si="397"/>
        <v>0.1828948790692938</v>
      </c>
      <c r="AQ129" s="206" t="e">
        <f t="shared" si="397"/>
        <v>#DIV/0!</v>
      </c>
      <c r="AR129" s="206" t="e">
        <f t="shared" si="397"/>
        <v>#DIV/0!</v>
      </c>
      <c r="AS129" s="206" t="e">
        <f t="shared" si="397"/>
        <v>#DIV/0!</v>
      </c>
      <c r="AT129" s="206" t="e">
        <f t="shared" si="397"/>
        <v>#DIV/0!</v>
      </c>
      <c r="AU129" s="207">
        <f t="shared" si="397"/>
        <v>0.18395582126522253</v>
      </c>
      <c r="AV129" s="206" t="e">
        <f t="shared" si="397"/>
        <v>#DIV/0!</v>
      </c>
      <c r="AW129" s="206" t="e">
        <f t="shared" si="397"/>
        <v>#DIV/0!</v>
      </c>
      <c r="AX129" s="206" t="e">
        <f t="shared" si="397"/>
        <v>#DIV/0!</v>
      </c>
      <c r="AY129" s="206" t="e">
        <f t="shared" si="397"/>
        <v>#DIV/0!</v>
      </c>
      <c r="AZ129" s="207">
        <f t="shared" si="397"/>
        <v>0.1865539420974478</v>
      </c>
      <c r="BA129" s="206" t="e">
        <f t="shared" si="397"/>
        <v>#DIV/0!</v>
      </c>
      <c r="BB129" s="206" t="e">
        <f t="shared" si="397"/>
        <v>#DIV/0!</v>
      </c>
      <c r="BC129" s="206" t="e">
        <f t="shared" si="397"/>
        <v>#DIV/0!</v>
      </c>
      <c r="BD129" s="206" t="e">
        <f t="shared" si="397"/>
        <v>#DIV/0!</v>
      </c>
      <c r="BE129" s="207">
        <f t="shared" si="397"/>
        <v>0.18865457991040013</v>
      </c>
      <c r="BF129" s="206" t="e">
        <f t="shared" si="397"/>
        <v>#DIV/0!</v>
      </c>
      <c r="BG129" s="206" t="e">
        <f t="shared" si="397"/>
        <v>#DIV/0!</v>
      </c>
      <c r="BH129" s="206" t="e">
        <f t="shared" si="397"/>
        <v>#DIV/0!</v>
      </c>
      <c r="BI129" s="206" t="e">
        <f t="shared" si="397"/>
        <v>#DIV/0!</v>
      </c>
      <c r="BJ129" s="207">
        <f t="shared" si="397"/>
        <v>0.18864972664645899</v>
      </c>
      <c r="BK129" s="206" t="e">
        <f t="shared" si="397"/>
        <v>#DIV/0!</v>
      </c>
      <c r="BL129" s="206" t="e">
        <f t="shared" si="397"/>
        <v>#DIV/0!</v>
      </c>
      <c r="BM129" s="206" t="e">
        <f t="shared" si="397"/>
        <v>#DIV/0!</v>
      </c>
      <c r="BN129" s="206" t="e">
        <f t="shared" si="397"/>
        <v>#DIV/0!</v>
      </c>
      <c r="BO129" s="207">
        <f t="shared" si="397"/>
        <v>0.18707147640143912</v>
      </c>
      <c r="BP129" s="206" t="e">
        <f t="shared" si="397"/>
        <v>#DIV/0!</v>
      </c>
      <c r="BQ129" s="206" t="e">
        <f t="shared" si="397"/>
        <v>#DIV/0!</v>
      </c>
      <c r="BR129" s="206" t="e">
        <f t="shared" si="397"/>
        <v>#DIV/0!</v>
      </c>
      <c r="BS129" s="206" t="e">
        <f t="shared" si="397"/>
        <v>#DIV/0!</v>
      </c>
      <c r="BT129" s="207">
        <f t="shared" si="397"/>
        <v>0.18479317874629655</v>
      </c>
      <c r="BU129" s="206" t="e">
        <f t="shared" ref="BU129:CX129" si="398">BU28/BU22</f>
        <v>#DIV/0!</v>
      </c>
      <c r="BV129" s="206" t="e">
        <f t="shared" si="398"/>
        <v>#DIV/0!</v>
      </c>
      <c r="BW129" s="206" t="e">
        <f t="shared" si="398"/>
        <v>#DIV/0!</v>
      </c>
      <c r="BX129" s="206" t="e">
        <f t="shared" si="398"/>
        <v>#DIV/0!</v>
      </c>
      <c r="BY129" s="207">
        <f t="shared" si="398"/>
        <v>0.18315291378483872</v>
      </c>
      <c r="BZ129" s="206" t="e">
        <f t="shared" si="398"/>
        <v>#DIV/0!</v>
      </c>
      <c r="CA129" s="206" t="e">
        <f t="shared" si="398"/>
        <v>#DIV/0!</v>
      </c>
      <c r="CB129" s="206" t="e">
        <f t="shared" si="398"/>
        <v>#DIV/0!</v>
      </c>
      <c r="CC129" s="206" t="e">
        <f t="shared" si="398"/>
        <v>#DIV/0!</v>
      </c>
      <c r="CD129" s="207">
        <f t="shared" si="398"/>
        <v>0.1835032528247304</v>
      </c>
      <c r="CE129" s="206" t="e">
        <f t="shared" si="398"/>
        <v>#DIV/0!</v>
      </c>
      <c r="CF129" s="206" t="e">
        <f t="shared" si="398"/>
        <v>#DIV/0!</v>
      </c>
      <c r="CG129" s="206" t="e">
        <f t="shared" si="398"/>
        <v>#DIV/0!</v>
      </c>
      <c r="CH129" s="206" t="e">
        <f t="shared" si="398"/>
        <v>#DIV/0!</v>
      </c>
      <c r="CI129" s="207">
        <f t="shared" si="398"/>
        <v>0.1838628970383602</v>
      </c>
      <c r="CJ129" s="206" t="e">
        <f t="shared" si="398"/>
        <v>#DIV/0!</v>
      </c>
      <c r="CK129" s="206" t="e">
        <f t="shared" si="398"/>
        <v>#DIV/0!</v>
      </c>
      <c r="CL129" s="206" t="e">
        <f t="shared" si="398"/>
        <v>#DIV/0!</v>
      </c>
      <c r="CM129" s="206" t="e">
        <f t="shared" si="398"/>
        <v>#DIV/0!</v>
      </c>
      <c r="CN129" s="207">
        <f t="shared" si="398"/>
        <v>0.18393975929622325</v>
      </c>
      <c r="CO129" s="206" t="e">
        <f t="shared" si="398"/>
        <v>#DIV/0!</v>
      </c>
      <c r="CP129" s="206" t="e">
        <f t="shared" si="398"/>
        <v>#DIV/0!</v>
      </c>
      <c r="CQ129" s="206" t="e">
        <f t="shared" si="398"/>
        <v>#DIV/0!</v>
      </c>
      <c r="CR129" s="206" t="e">
        <f t="shared" si="398"/>
        <v>#DIV/0!</v>
      </c>
      <c r="CS129" s="207">
        <f t="shared" si="398"/>
        <v>0.18398775457108327</v>
      </c>
      <c r="CT129" s="206" t="e">
        <f t="shared" si="398"/>
        <v>#DIV/0!</v>
      </c>
      <c r="CU129" s="206" t="e">
        <f t="shared" si="398"/>
        <v>#DIV/0!</v>
      </c>
      <c r="CV129" s="206" t="e">
        <f t="shared" si="398"/>
        <v>#DIV/0!</v>
      </c>
      <c r="CW129" s="206" t="e">
        <f t="shared" si="398"/>
        <v>#DIV/0!</v>
      </c>
      <c r="CX129" s="207">
        <f t="shared" si="398"/>
        <v>0.184046868848214</v>
      </c>
    </row>
    <row r="130" spans="2:102">
      <c r="B130" s="205"/>
      <c r="C130" s="206"/>
      <c r="D130" s="206"/>
      <c r="E130" s="206"/>
      <c r="F130" s="206"/>
      <c r="H130" s="206"/>
      <c r="I130" s="206"/>
      <c r="J130" s="206"/>
      <c r="K130" s="206"/>
      <c r="M130" s="206"/>
      <c r="N130" s="206"/>
      <c r="O130" s="206"/>
      <c r="P130" s="206"/>
      <c r="R130" s="206"/>
      <c r="S130" s="206"/>
      <c r="T130" s="206"/>
      <c r="U130" s="206"/>
      <c r="W130" s="206"/>
      <c r="X130" s="206"/>
      <c r="Y130" s="206"/>
      <c r="Z130" s="206"/>
      <c r="AB130" s="206"/>
      <c r="AC130" s="206"/>
      <c r="AD130" s="206"/>
      <c r="AE130" s="206"/>
      <c r="AG130" s="206"/>
      <c r="AH130" s="206"/>
      <c r="AI130" s="206"/>
      <c r="AJ130" s="206"/>
      <c r="AL130" s="206"/>
      <c r="AM130" s="206"/>
      <c r="AN130" s="206"/>
      <c r="AO130" s="206"/>
      <c r="AQ130" s="206"/>
      <c r="AR130" s="206"/>
      <c r="AS130" s="206"/>
      <c r="AT130" s="206"/>
      <c r="AV130" s="206"/>
      <c r="AW130" s="206"/>
      <c r="AX130" s="206"/>
      <c r="AY130" s="206"/>
      <c r="BA130" s="206"/>
      <c r="BB130" s="206"/>
      <c r="BC130" s="206"/>
      <c r="BD130" s="206"/>
      <c r="BF130" s="206"/>
      <c r="BG130" s="206"/>
      <c r="BH130" s="206"/>
      <c r="BI130" s="206"/>
      <c r="BK130" s="206"/>
      <c r="BL130" s="206"/>
      <c r="BM130" s="206"/>
      <c r="BN130" s="206"/>
      <c r="BP130" s="206"/>
      <c r="BQ130" s="206"/>
      <c r="BR130" s="206"/>
      <c r="BS130" s="206"/>
      <c r="BU130" s="206"/>
      <c r="BV130" s="206"/>
      <c r="BW130" s="206"/>
      <c r="BX130" s="206"/>
      <c r="BZ130" s="206"/>
      <c r="CA130" s="206"/>
      <c r="CB130" s="206"/>
      <c r="CC130" s="206"/>
      <c r="CE130" s="206"/>
      <c r="CF130" s="206"/>
      <c r="CG130" s="206"/>
      <c r="CH130" s="206"/>
      <c r="CJ130" s="206"/>
      <c r="CK130" s="206"/>
      <c r="CL130" s="206"/>
      <c r="CM130" s="206"/>
      <c r="CO130" s="206"/>
      <c r="CP130" s="206"/>
      <c r="CQ130" s="206"/>
      <c r="CR130" s="206"/>
      <c r="CT130" s="206"/>
      <c r="CU130" s="206"/>
      <c r="CV130" s="206"/>
      <c r="CW130" s="206"/>
    </row>
    <row r="131" spans="2:102">
      <c r="B131" s="205" t="s">
        <v>576</v>
      </c>
      <c r="C131" s="206">
        <f t="shared" ref="C131:AH131" si="399">C66/C22</f>
        <v>0.27529783657360035</v>
      </c>
      <c r="D131" s="206">
        <f t="shared" si="399"/>
        <v>0.25543473348338164</v>
      </c>
      <c r="E131" s="206">
        <f t="shared" si="399"/>
        <v>0.28184262728675336</v>
      </c>
      <c r="F131" s="206">
        <f t="shared" si="399"/>
        <v>0.33050831741557407</v>
      </c>
      <c r="G131" s="207">
        <f t="shared" si="399"/>
        <v>0.28549159639113819</v>
      </c>
      <c r="H131" s="206">
        <f t="shared" si="399"/>
        <v>0.19787567831700226</v>
      </c>
      <c r="I131" s="206">
        <f t="shared" si="399"/>
        <v>0.2887057628266636</v>
      </c>
      <c r="J131" s="206">
        <f t="shared" si="399"/>
        <v>0.24575192987659722</v>
      </c>
      <c r="K131" s="206">
        <f t="shared" si="399"/>
        <v>0.30714426473040368</v>
      </c>
      <c r="L131" s="207">
        <f t="shared" si="399"/>
        <v>0.26141399536270549</v>
      </c>
      <c r="M131" s="206">
        <f t="shared" si="399"/>
        <v>0.29042117441060589</v>
      </c>
      <c r="N131" s="206">
        <f t="shared" si="399"/>
        <v>0.24879760251443606</v>
      </c>
      <c r="O131" s="206">
        <f t="shared" si="399"/>
        <v>0.33126086765930712</v>
      </c>
      <c r="P131" s="206">
        <f t="shared" si="399"/>
        <v>0.34216598487581412</v>
      </c>
      <c r="Q131" s="207">
        <f t="shared" si="399"/>
        <v>0.30408966526838138</v>
      </c>
      <c r="R131" s="206">
        <f t="shared" si="399"/>
        <v>0.29934279983108109</v>
      </c>
      <c r="S131" s="206">
        <f t="shared" si="399"/>
        <v>0.28976416545438427</v>
      </c>
      <c r="T131" s="206">
        <f t="shared" si="399"/>
        <v>0.33848393363881979</v>
      </c>
      <c r="U131" s="206">
        <f t="shared" si="399"/>
        <v>0.32324215778744642</v>
      </c>
      <c r="V131" s="207">
        <f t="shared" si="399"/>
        <v>0.31343930385342089</v>
      </c>
      <c r="W131" s="206">
        <f t="shared" si="399"/>
        <v>0.37995269071555288</v>
      </c>
      <c r="X131" s="206">
        <f t="shared" si="399"/>
        <v>0.32624382833270038</v>
      </c>
      <c r="Y131" s="206">
        <f t="shared" si="399"/>
        <v>0.35617317045149932</v>
      </c>
      <c r="Z131" s="206">
        <f t="shared" si="399"/>
        <v>0.41459006036782259</v>
      </c>
      <c r="AA131" s="207">
        <f t="shared" si="399"/>
        <v>0.36814568010832738</v>
      </c>
      <c r="AB131" s="206">
        <f t="shared" si="399"/>
        <v>0.35774871586915385</v>
      </c>
      <c r="AC131" s="206">
        <f t="shared" si="399"/>
        <v>0.28955689348984276</v>
      </c>
      <c r="AD131" s="206">
        <f t="shared" si="399"/>
        <v>0.29244790922342584</v>
      </c>
      <c r="AE131" s="206">
        <f t="shared" si="399"/>
        <v>0.39307410085607369</v>
      </c>
      <c r="AF131" s="207">
        <f t="shared" si="399"/>
        <v>0.33255018113379187</v>
      </c>
      <c r="AG131" s="206">
        <f t="shared" si="399"/>
        <v>0.31940937299379413</v>
      </c>
      <c r="AH131" s="206">
        <f t="shared" si="399"/>
        <v>0.36259481867896476</v>
      </c>
      <c r="AI131" s="206">
        <f t="shared" ref="AI131:BN131" si="400">AI66/AI22</f>
        <v>0.3492963330029733</v>
      </c>
      <c r="AJ131" s="206">
        <f t="shared" si="400"/>
        <v>0.3792910968462182</v>
      </c>
      <c r="AK131" s="207">
        <f t="shared" si="400"/>
        <v>0.3538977371902412</v>
      </c>
      <c r="AL131" s="206">
        <f t="shared" si="400"/>
        <v>0.33357865116624663</v>
      </c>
      <c r="AM131" s="206">
        <f t="shared" si="400"/>
        <v>0.32441418712761549</v>
      </c>
      <c r="AN131" s="206">
        <f t="shared" si="400"/>
        <v>0.34970945141822413</v>
      </c>
      <c r="AO131" s="206">
        <f t="shared" si="400"/>
        <v>0.34116879091469415</v>
      </c>
      <c r="AP131" s="207">
        <f t="shared" si="400"/>
        <v>0.33728082623587324</v>
      </c>
      <c r="AQ131" s="206" t="e">
        <f t="shared" si="400"/>
        <v>#DIV/0!</v>
      </c>
      <c r="AR131" s="206" t="e">
        <f t="shared" si="400"/>
        <v>#DIV/0!</v>
      </c>
      <c r="AS131" s="206" t="e">
        <f t="shared" si="400"/>
        <v>#DIV/0!</v>
      </c>
      <c r="AT131" s="206" t="e">
        <f t="shared" si="400"/>
        <v>#DIV/0!</v>
      </c>
      <c r="AU131" s="207">
        <f t="shared" si="400"/>
        <v>0.32464628175927801</v>
      </c>
      <c r="AV131" s="206" t="e">
        <f t="shared" si="400"/>
        <v>#DIV/0!</v>
      </c>
      <c r="AW131" s="206" t="e">
        <f t="shared" si="400"/>
        <v>#DIV/0!</v>
      </c>
      <c r="AX131" s="206" t="e">
        <f t="shared" si="400"/>
        <v>#DIV/0!</v>
      </c>
      <c r="AY131" s="206" t="e">
        <f t="shared" si="400"/>
        <v>#DIV/0!</v>
      </c>
      <c r="AZ131" s="207">
        <f t="shared" si="400"/>
        <v>0.28423211609527177</v>
      </c>
      <c r="BA131" s="206" t="e">
        <f t="shared" si="400"/>
        <v>#DIV/0!</v>
      </c>
      <c r="BB131" s="206" t="e">
        <f t="shared" si="400"/>
        <v>#DIV/0!</v>
      </c>
      <c r="BC131" s="206" t="e">
        <f t="shared" si="400"/>
        <v>#DIV/0!</v>
      </c>
      <c r="BD131" s="206" t="e">
        <f t="shared" si="400"/>
        <v>#DIV/0!</v>
      </c>
      <c r="BE131" s="207">
        <f t="shared" si="400"/>
        <v>0.25078188240285382</v>
      </c>
      <c r="BF131" s="206" t="e">
        <f t="shared" si="400"/>
        <v>#DIV/0!</v>
      </c>
      <c r="BG131" s="206" t="e">
        <f t="shared" si="400"/>
        <v>#DIV/0!</v>
      </c>
      <c r="BH131" s="206" t="e">
        <f t="shared" si="400"/>
        <v>#DIV/0!</v>
      </c>
      <c r="BI131" s="206" t="e">
        <f t="shared" si="400"/>
        <v>#DIV/0!</v>
      </c>
      <c r="BJ131" s="207">
        <f t="shared" si="400"/>
        <v>0.2210243467473742</v>
      </c>
      <c r="BK131" s="206" t="e">
        <f t="shared" si="400"/>
        <v>#DIV/0!</v>
      </c>
      <c r="BL131" s="206" t="e">
        <f t="shared" si="400"/>
        <v>#DIV/0!</v>
      </c>
      <c r="BM131" s="206" t="e">
        <f t="shared" si="400"/>
        <v>#DIV/0!</v>
      </c>
      <c r="BN131" s="206" t="e">
        <f t="shared" si="400"/>
        <v>#DIV/0!</v>
      </c>
      <c r="BO131" s="207">
        <f t="shared" ref="BO131:CX131" si="401">BO66/BO22</f>
        <v>0.19699340035044963</v>
      </c>
      <c r="BP131" s="206" t="e">
        <f t="shared" si="401"/>
        <v>#DIV/0!</v>
      </c>
      <c r="BQ131" s="206" t="e">
        <f t="shared" si="401"/>
        <v>#DIV/0!</v>
      </c>
      <c r="BR131" s="206" t="e">
        <f t="shared" si="401"/>
        <v>#DIV/0!</v>
      </c>
      <c r="BS131" s="206" t="e">
        <f t="shared" si="401"/>
        <v>#DIV/0!</v>
      </c>
      <c r="BT131" s="207">
        <f t="shared" si="401"/>
        <v>0.17533960278882829</v>
      </c>
      <c r="BU131" s="206" t="e">
        <f t="shared" si="401"/>
        <v>#DIV/0!</v>
      </c>
      <c r="BV131" s="206" t="e">
        <f t="shared" si="401"/>
        <v>#DIV/0!</v>
      </c>
      <c r="BW131" s="206" t="e">
        <f t="shared" si="401"/>
        <v>#DIV/0!</v>
      </c>
      <c r="BX131" s="206" t="e">
        <f t="shared" si="401"/>
        <v>#DIV/0!</v>
      </c>
      <c r="BY131" s="207">
        <f t="shared" si="401"/>
        <v>0.15764909315520481</v>
      </c>
      <c r="BZ131" s="206" t="e">
        <f t="shared" si="401"/>
        <v>#DIV/0!</v>
      </c>
      <c r="CA131" s="206" t="e">
        <f t="shared" si="401"/>
        <v>#DIV/0!</v>
      </c>
      <c r="CB131" s="206" t="e">
        <f t="shared" si="401"/>
        <v>#DIV/0!</v>
      </c>
      <c r="CC131" s="206" t="e">
        <f t="shared" si="401"/>
        <v>#DIV/0!</v>
      </c>
      <c r="CD131" s="207">
        <f t="shared" si="401"/>
        <v>0.14531513147870484</v>
      </c>
      <c r="CE131" s="206" t="e">
        <f t="shared" si="401"/>
        <v>#DIV/0!</v>
      </c>
      <c r="CF131" s="206" t="e">
        <f t="shared" si="401"/>
        <v>#DIV/0!</v>
      </c>
      <c r="CG131" s="206" t="e">
        <f t="shared" si="401"/>
        <v>#DIV/0!</v>
      </c>
      <c r="CH131" s="206" t="e">
        <f t="shared" si="401"/>
        <v>#DIV/0!</v>
      </c>
      <c r="CI131" s="207">
        <f t="shared" si="401"/>
        <v>0.1370440625993431</v>
      </c>
      <c r="CJ131" s="206" t="e">
        <f t="shared" si="401"/>
        <v>#DIV/0!</v>
      </c>
      <c r="CK131" s="206" t="e">
        <f t="shared" si="401"/>
        <v>#DIV/0!</v>
      </c>
      <c r="CL131" s="206" t="e">
        <f t="shared" si="401"/>
        <v>#DIV/0!</v>
      </c>
      <c r="CM131" s="206" t="e">
        <f t="shared" si="401"/>
        <v>#DIV/0!</v>
      </c>
      <c r="CN131" s="207">
        <f t="shared" si="401"/>
        <v>0.13284916925673554</v>
      </c>
      <c r="CO131" s="206" t="e">
        <f t="shared" si="401"/>
        <v>#DIV/0!</v>
      </c>
      <c r="CP131" s="206" t="e">
        <f t="shared" si="401"/>
        <v>#DIV/0!</v>
      </c>
      <c r="CQ131" s="206" t="e">
        <f t="shared" si="401"/>
        <v>#DIV/0!</v>
      </c>
      <c r="CR131" s="206" t="e">
        <f t="shared" si="401"/>
        <v>#DIV/0!</v>
      </c>
      <c r="CS131" s="207">
        <f t="shared" si="401"/>
        <v>0.12857802745862093</v>
      </c>
      <c r="CT131" s="206" t="e">
        <f t="shared" si="401"/>
        <v>#DIV/0!</v>
      </c>
      <c r="CU131" s="206" t="e">
        <f t="shared" si="401"/>
        <v>#DIV/0!</v>
      </c>
      <c r="CV131" s="206" t="e">
        <f t="shared" si="401"/>
        <v>#DIV/0!</v>
      </c>
      <c r="CW131" s="206" t="e">
        <f t="shared" si="401"/>
        <v>#DIV/0!</v>
      </c>
      <c r="CX131" s="207">
        <f t="shared" si="401"/>
        <v>0.12497608508147569</v>
      </c>
    </row>
    <row r="132" spans="2:102">
      <c r="B132" s="205" t="s">
        <v>577</v>
      </c>
      <c r="C132" s="206">
        <f t="shared" ref="C132:AH132" si="402">C53/C22</f>
        <v>0.37771341909077627</v>
      </c>
      <c r="D132" s="206">
        <f t="shared" si="402"/>
        <v>0.44187433901890066</v>
      </c>
      <c r="E132" s="206">
        <f t="shared" si="402"/>
        <v>0.47789288075821018</v>
      </c>
      <c r="F132" s="206">
        <f t="shared" si="402"/>
        <v>0.49712553084954475</v>
      </c>
      <c r="G132" s="207">
        <f t="shared" si="402"/>
        <v>0.44871963349480459</v>
      </c>
      <c r="H132" s="206">
        <f t="shared" si="402"/>
        <v>0.59270975319119756</v>
      </c>
      <c r="I132" s="206">
        <f t="shared" si="402"/>
        <v>0.58332997363307226</v>
      </c>
      <c r="J132" s="206">
        <f t="shared" si="402"/>
        <v>0.4772902893448957</v>
      </c>
      <c r="K132" s="206">
        <f t="shared" si="402"/>
        <v>0.59859934211523591</v>
      </c>
      <c r="L132" s="207">
        <f t="shared" si="402"/>
        <v>0.56240675982529265</v>
      </c>
      <c r="M132" s="206">
        <f t="shared" si="402"/>
        <v>0.61299324620098805</v>
      </c>
      <c r="N132" s="206">
        <f t="shared" si="402"/>
        <v>0.57948980337694611</v>
      </c>
      <c r="O132" s="206">
        <f t="shared" si="402"/>
        <v>0.59140523401084211</v>
      </c>
      <c r="P132" s="206">
        <f t="shared" si="402"/>
        <v>0.60149608282227374</v>
      </c>
      <c r="Q132" s="207">
        <f t="shared" si="402"/>
        <v>0.59617084967248768</v>
      </c>
      <c r="R132" s="206">
        <f t="shared" si="402"/>
        <v>0.56185995565878377</v>
      </c>
      <c r="S132" s="206">
        <f t="shared" si="402"/>
        <v>0.50424689890347096</v>
      </c>
      <c r="T132" s="206">
        <f t="shared" si="402"/>
        <v>0.64065500229398076</v>
      </c>
      <c r="U132" s="206">
        <f t="shared" si="402"/>
        <v>0.54491478643363511</v>
      </c>
      <c r="V132" s="207">
        <f t="shared" si="402"/>
        <v>0.5604774673747962</v>
      </c>
      <c r="W132" s="206">
        <f t="shared" si="402"/>
        <v>0.63325448452592137</v>
      </c>
      <c r="X132" s="206">
        <f t="shared" si="402"/>
        <v>0.52586003558078642</v>
      </c>
      <c r="Y132" s="206">
        <f t="shared" si="402"/>
        <v>0.63245318423773611</v>
      </c>
      <c r="Z132" s="206">
        <f t="shared" si="402"/>
        <v>0.66027305910431</v>
      </c>
      <c r="AA132" s="207">
        <f t="shared" si="402"/>
        <v>0.60980003258811422</v>
      </c>
      <c r="AB132" s="206">
        <f t="shared" si="402"/>
        <v>0.58163101513922688</v>
      </c>
      <c r="AC132" s="206">
        <f t="shared" si="402"/>
        <v>0.44875737594583698</v>
      </c>
      <c r="AD132" s="206">
        <f t="shared" si="402"/>
        <v>0.4435040157772886</v>
      </c>
      <c r="AE132" s="206">
        <f t="shared" si="402"/>
        <v>0.5073194464345816</v>
      </c>
      <c r="AF132" s="207">
        <f t="shared" si="402"/>
        <v>0.49134085565346941</v>
      </c>
      <c r="AG132" s="206">
        <f t="shared" si="402"/>
        <v>0.41812375512354105</v>
      </c>
      <c r="AH132" s="206">
        <f t="shared" si="402"/>
        <v>0.38506779063027646</v>
      </c>
      <c r="AI132" s="206">
        <f t="shared" ref="AI132:BN132" si="403">AI53/AI22</f>
        <v>0.43839775355137101</v>
      </c>
      <c r="AJ132" s="206">
        <f t="shared" si="403"/>
        <v>0.41140943343566838</v>
      </c>
      <c r="AK132" s="207">
        <f t="shared" si="403"/>
        <v>0.41285807543011166</v>
      </c>
      <c r="AL132" s="206">
        <f t="shared" si="403"/>
        <v>0.40609574924586544</v>
      </c>
      <c r="AM132" s="206">
        <f t="shared" si="403"/>
        <v>0.40457166920686732</v>
      </c>
      <c r="AN132" s="206">
        <f t="shared" si="403"/>
        <v>0.44675398247546566</v>
      </c>
      <c r="AO132" s="206">
        <f t="shared" si="403"/>
        <v>0.39271010106716731</v>
      </c>
      <c r="AP132" s="207">
        <f t="shared" si="403"/>
        <v>0.41135786592554729</v>
      </c>
      <c r="AQ132" s="206" t="e">
        <f t="shared" si="403"/>
        <v>#DIV/0!</v>
      </c>
      <c r="AR132" s="206" t="e">
        <f t="shared" si="403"/>
        <v>#DIV/0!</v>
      </c>
      <c r="AS132" s="206" t="e">
        <f t="shared" si="403"/>
        <v>#DIV/0!</v>
      </c>
      <c r="AT132" s="206" t="e">
        <f t="shared" si="403"/>
        <v>#DIV/0!</v>
      </c>
      <c r="AU132" s="207">
        <f t="shared" si="403"/>
        <v>0.39049956338721781</v>
      </c>
      <c r="AV132" s="206" t="e">
        <f t="shared" si="403"/>
        <v>#DIV/0!</v>
      </c>
      <c r="AW132" s="206" t="e">
        <f t="shared" si="403"/>
        <v>#DIV/0!</v>
      </c>
      <c r="AX132" s="206" t="e">
        <f t="shared" si="403"/>
        <v>#DIV/0!</v>
      </c>
      <c r="AY132" s="206" t="e">
        <f t="shared" si="403"/>
        <v>#DIV/0!</v>
      </c>
      <c r="AZ132" s="207">
        <f t="shared" si="403"/>
        <v>0.34188753567221963</v>
      </c>
      <c r="BA132" s="206" t="e">
        <f t="shared" si="403"/>
        <v>#DIV/0!</v>
      </c>
      <c r="BB132" s="206" t="e">
        <f t="shared" si="403"/>
        <v>#DIV/0!</v>
      </c>
      <c r="BC132" s="206" t="e">
        <f t="shared" si="403"/>
        <v>#DIV/0!</v>
      </c>
      <c r="BD132" s="206" t="e">
        <f t="shared" si="403"/>
        <v>#DIV/0!</v>
      </c>
      <c r="BE132" s="207">
        <f t="shared" si="403"/>
        <v>0.29446985582607582</v>
      </c>
      <c r="BF132" s="206" t="e">
        <f t="shared" si="403"/>
        <v>#DIV/0!</v>
      </c>
      <c r="BG132" s="206" t="e">
        <f t="shared" si="403"/>
        <v>#DIV/0!</v>
      </c>
      <c r="BH132" s="206" t="e">
        <f t="shared" si="403"/>
        <v>#DIV/0!</v>
      </c>
      <c r="BI132" s="206" t="e">
        <f t="shared" si="403"/>
        <v>#DIV/0!</v>
      </c>
      <c r="BJ132" s="207">
        <f t="shared" si="403"/>
        <v>0.259528347491227</v>
      </c>
      <c r="BK132" s="206" t="e">
        <f t="shared" si="403"/>
        <v>#DIV/0!</v>
      </c>
      <c r="BL132" s="206" t="e">
        <f t="shared" si="403"/>
        <v>#DIV/0!</v>
      </c>
      <c r="BM132" s="206" t="e">
        <f t="shared" si="403"/>
        <v>#DIV/0!</v>
      </c>
      <c r="BN132" s="206" t="e">
        <f t="shared" si="403"/>
        <v>#DIV/0!</v>
      </c>
      <c r="BO132" s="207">
        <f t="shared" ref="BO132:CX132" si="404">BO53/BO22</f>
        <v>0.23131104067039737</v>
      </c>
      <c r="BP132" s="206" t="e">
        <f t="shared" si="404"/>
        <v>#DIV/0!</v>
      </c>
      <c r="BQ132" s="206" t="e">
        <f t="shared" si="404"/>
        <v>#DIV/0!</v>
      </c>
      <c r="BR132" s="206" t="e">
        <f t="shared" si="404"/>
        <v>#DIV/0!</v>
      </c>
      <c r="BS132" s="206" t="e">
        <f t="shared" si="404"/>
        <v>#DIV/0!</v>
      </c>
      <c r="BT132" s="207">
        <f t="shared" si="404"/>
        <v>0.20387636465057574</v>
      </c>
      <c r="BU132" s="206" t="e">
        <f t="shared" si="404"/>
        <v>#DIV/0!</v>
      </c>
      <c r="BV132" s="206" t="e">
        <f t="shared" si="404"/>
        <v>#DIV/0!</v>
      </c>
      <c r="BW132" s="206" t="e">
        <f t="shared" si="404"/>
        <v>#DIV/0!</v>
      </c>
      <c r="BX132" s="206" t="e">
        <f t="shared" si="404"/>
        <v>#DIV/0!</v>
      </c>
      <c r="BY132" s="207">
        <f t="shared" si="404"/>
        <v>0.18151834215686025</v>
      </c>
      <c r="BZ132" s="206" t="e">
        <f t="shared" si="404"/>
        <v>#DIV/0!</v>
      </c>
      <c r="CA132" s="206" t="e">
        <f t="shared" si="404"/>
        <v>#DIV/0!</v>
      </c>
      <c r="CB132" s="206" t="e">
        <f t="shared" si="404"/>
        <v>#DIV/0!</v>
      </c>
      <c r="CC132" s="206" t="e">
        <f t="shared" si="404"/>
        <v>#DIV/0!</v>
      </c>
      <c r="CD132" s="207">
        <f t="shared" si="404"/>
        <v>0.16568456639271512</v>
      </c>
      <c r="CE132" s="206" t="e">
        <f t="shared" si="404"/>
        <v>#DIV/0!</v>
      </c>
      <c r="CF132" s="206" t="e">
        <f t="shared" si="404"/>
        <v>#DIV/0!</v>
      </c>
      <c r="CG132" s="206" t="e">
        <f t="shared" si="404"/>
        <v>#DIV/0!</v>
      </c>
      <c r="CH132" s="206" t="e">
        <f t="shared" si="404"/>
        <v>#DIV/0!</v>
      </c>
      <c r="CI132" s="207">
        <f t="shared" si="404"/>
        <v>0.15472967659019221</v>
      </c>
      <c r="CJ132" s="206" t="e">
        <f t="shared" si="404"/>
        <v>#DIV/0!</v>
      </c>
      <c r="CK132" s="206" t="e">
        <f t="shared" si="404"/>
        <v>#DIV/0!</v>
      </c>
      <c r="CL132" s="206" t="e">
        <f t="shared" si="404"/>
        <v>#DIV/0!</v>
      </c>
      <c r="CM132" s="206" t="e">
        <f t="shared" si="404"/>
        <v>#DIV/0!</v>
      </c>
      <c r="CN132" s="207">
        <f t="shared" si="404"/>
        <v>0.14853007934751539</v>
      </c>
      <c r="CO132" s="206" t="e">
        <f t="shared" si="404"/>
        <v>#DIV/0!</v>
      </c>
      <c r="CP132" s="206" t="e">
        <f t="shared" si="404"/>
        <v>#DIV/0!</v>
      </c>
      <c r="CQ132" s="206" t="e">
        <f t="shared" si="404"/>
        <v>#DIV/0!</v>
      </c>
      <c r="CR132" s="206" t="e">
        <f t="shared" si="404"/>
        <v>#DIV/0!</v>
      </c>
      <c r="CS132" s="207">
        <f t="shared" si="404"/>
        <v>0.14235230567951918</v>
      </c>
      <c r="CT132" s="206" t="e">
        <f t="shared" si="404"/>
        <v>#DIV/0!</v>
      </c>
      <c r="CU132" s="206" t="e">
        <f t="shared" si="404"/>
        <v>#DIV/0!</v>
      </c>
      <c r="CV132" s="206" t="e">
        <f t="shared" si="404"/>
        <v>#DIV/0!</v>
      </c>
      <c r="CW132" s="206" t="e">
        <f t="shared" si="404"/>
        <v>#DIV/0!</v>
      </c>
      <c r="CX132" s="207">
        <f t="shared" si="404"/>
        <v>0.13701459770914298</v>
      </c>
    </row>
    <row r="133" spans="2:102">
      <c r="B133" s="205" t="s">
        <v>13</v>
      </c>
      <c r="C133" s="206">
        <f t="shared" ref="C133:AH133" si="405">C69/C22</f>
        <v>0.16238488525069417</v>
      </c>
      <c r="D133" s="206">
        <f t="shared" si="405"/>
        <v>0.13174426697761035</v>
      </c>
      <c r="E133" s="206">
        <f t="shared" si="405"/>
        <v>4.6735728454926205E-2</v>
      </c>
      <c r="F133" s="206">
        <f t="shared" si="405"/>
        <v>-2.2467221779203787E-2</v>
      </c>
      <c r="G133" s="207">
        <f t="shared" si="405"/>
        <v>7.9815025444197371E-2</v>
      </c>
      <c r="H133" s="206">
        <f t="shared" si="405"/>
        <v>5.7265814537629462E-3</v>
      </c>
      <c r="I133" s="206">
        <f t="shared" si="405"/>
        <v>-5.8192696280408525E-2</v>
      </c>
      <c r="J133" s="206">
        <f t="shared" si="405"/>
        <v>8.8575286652044505E-2</v>
      </c>
      <c r="K133" s="206">
        <f t="shared" si="405"/>
        <v>-0.10261638042110684</v>
      </c>
      <c r="L133" s="207">
        <f t="shared" si="405"/>
        <v>-1.7454760416437804E-2</v>
      </c>
      <c r="M133" s="206">
        <f t="shared" si="405"/>
        <v>-6.1409542867863133E-2</v>
      </c>
      <c r="N133" s="206">
        <f t="shared" si="405"/>
        <v>2.0247057963599649E-3</v>
      </c>
      <c r="O133" s="206">
        <f t="shared" si="405"/>
        <v>-0.12287943656209357</v>
      </c>
      <c r="P133" s="206">
        <f t="shared" si="405"/>
        <v>-0.10882334923800496</v>
      </c>
      <c r="Q133" s="207">
        <f t="shared" si="405"/>
        <v>-7.3626007011479741E-2</v>
      </c>
      <c r="R133" s="206">
        <f t="shared" si="405"/>
        <v>-1.0240709459459423E-2</v>
      </c>
      <c r="S133" s="206">
        <f t="shared" si="405"/>
        <v>6.1714297632269231E-2</v>
      </c>
      <c r="T133" s="206">
        <f t="shared" si="405"/>
        <v>-0.13116471914312747</v>
      </c>
      <c r="U133" s="206">
        <f t="shared" si="405"/>
        <v>-4.9480807931533519E-2</v>
      </c>
      <c r="V133" s="207">
        <f t="shared" si="405"/>
        <v>-3.2344521085875558E-2</v>
      </c>
      <c r="W133" s="206">
        <f t="shared" si="405"/>
        <v>-0.15956041789867906</v>
      </c>
      <c r="X133" s="206">
        <f t="shared" si="405"/>
        <v>2.5426269814300176E-3</v>
      </c>
      <c r="Y133" s="206">
        <f t="shared" si="405"/>
        <v>-0.14914984873434714</v>
      </c>
      <c r="Z133" s="206">
        <f t="shared" si="405"/>
        <v>-0.27467359258739299</v>
      </c>
      <c r="AA133" s="207">
        <f t="shared" si="405"/>
        <v>-0.14103686389967343</v>
      </c>
      <c r="AB133" s="206">
        <f t="shared" si="405"/>
        <v>-0.11509445120302803</v>
      </c>
      <c r="AC133" s="206">
        <f t="shared" si="405"/>
        <v>9.7330832203271281E-2</v>
      </c>
      <c r="AD133" s="206">
        <f t="shared" si="405"/>
        <v>9.024780632806477E-2</v>
      </c>
      <c r="AE133" s="206">
        <f t="shared" si="405"/>
        <v>-0.10415507296120188</v>
      </c>
      <c r="AF133" s="207">
        <f t="shared" si="405"/>
        <v>-3.6092452549750628E-3</v>
      </c>
      <c r="AG133" s="206">
        <f t="shared" si="405"/>
        <v>0.10441982584075463</v>
      </c>
      <c r="AH133" s="206">
        <f t="shared" si="405"/>
        <v>8.2845064388498299E-2</v>
      </c>
      <c r="AI133" s="206">
        <f t="shared" ref="AI133:BN133" si="406">AI69/AI22</f>
        <v>2.5718533201189241E-2</v>
      </c>
      <c r="AJ133" s="206">
        <f t="shared" si="406"/>
        <v>5.0153502651410931E-3</v>
      </c>
      <c r="AK133" s="207">
        <f t="shared" si="406"/>
        <v>5.2701403171349671E-2</v>
      </c>
      <c r="AL133" s="206">
        <f t="shared" si="406"/>
        <v>8.0264326796444144E-2</v>
      </c>
      <c r="AM133" s="206">
        <f t="shared" si="406"/>
        <v>9.0887067472847444E-2</v>
      </c>
      <c r="AN133" s="206">
        <f t="shared" si="406"/>
        <v>2.0759646091712214E-2</v>
      </c>
      <c r="AO133" s="206">
        <f t="shared" si="406"/>
        <v>7.8479853996426943E-2</v>
      </c>
      <c r="AP133" s="207">
        <f t="shared" si="406"/>
        <v>6.8466428769285714E-2</v>
      </c>
      <c r="AQ133" s="206" t="e">
        <f t="shared" si="406"/>
        <v>#DIV/0!</v>
      </c>
      <c r="AR133" s="206" t="e">
        <f t="shared" si="406"/>
        <v>#DIV/0!</v>
      </c>
      <c r="AS133" s="206" t="e">
        <f t="shared" si="406"/>
        <v>#DIV/0!</v>
      </c>
      <c r="AT133" s="206" t="e">
        <f t="shared" si="406"/>
        <v>#DIV/0!</v>
      </c>
      <c r="AU133" s="207">
        <f t="shared" si="406"/>
        <v>0.10089833358828168</v>
      </c>
      <c r="AV133" s="206" t="e">
        <f t="shared" si="406"/>
        <v>#DIV/0!</v>
      </c>
      <c r="AW133" s="206" t="e">
        <f t="shared" si="406"/>
        <v>#DIV/0!</v>
      </c>
      <c r="AX133" s="206" t="e">
        <f t="shared" si="406"/>
        <v>#DIV/0!</v>
      </c>
      <c r="AY133" s="206" t="e">
        <f t="shared" si="406"/>
        <v>#DIV/0!</v>
      </c>
      <c r="AZ133" s="207">
        <f t="shared" si="406"/>
        <v>0.18732640613506082</v>
      </c>
      <c r="BA133" s="206" t="e">
        <f t="shared" si="406"/>
        <v>#DIV/0!</v>
      </c>
      <c r="BB133" s="206" t="e">
        <f t="shared" si="406"/>
        <v>#DIV/0!</v>
      </c>
      <c r="BC133" s="206" t="e">
        <f t="shared" si="406"/>
        <v>#DIV/0!</v>
      </c>
      <c r="BD133" s="206" t="e">
        <f t="shared" si="406"/>
        <v>#DIV/0!</v>
      </c>
      <c r="BE133" s="207">
        <f t="shared" si="406"/>
        <v>0.26609368186067034</v>
      </c>
      <c r="BF133" s="206" t="e">
        <f t="shared" si="406"/>
        <v>#DIV/0!</v>
      </c>
      <c r="BG133" s="206" t="e">
        <f t="shared" si="406"/>
        <v>#DIV/0!</v>
      </c>
      <c r="BH133" s="206" t="e">
        <f t="shared" si="406"/>
        <v>#DIV/0!</v>
      </c>
      <c r="BI133" s="206" t="e">
        <f t="shared" si="406"/>
        <v>#DIV/0!</v>
      </c>
      <c r="BJ133" s="207">
        <f t="shared" si="406"/>
        <v>0.33079757911493984</v>
      </c>
      <c r="BK133" s="206" t="e">
        <f t="shared" si="406"/>
        <v>#DIV/0!</v>
      </c>
      <c r="BL133" s="206" t="e">
        <f t="shared" si="406"/>
        <v>#DIV/0!</v>
      </c>
      <c r="BM133" s="206" t="e">
        <f t="shared" si="406"/>
        <v>#DIV/0!</v>
      </c>
      <c r="BN133" s="206" t="e">
        <f t="shared" si="406"/>
        <v>#DIV/0!</v>
      </c>
      <c r="BO133" s="207">
        <f t="shared" ref="BO133:CX133" si="407">BO69/BO22</f>
        <v>0.38462408257771391</v>
      </c>
      <c r="BP133" s="206" t="e">
        <f t="shared" si="407"/>
        <v>#DIV/0!</v>
      </c>
      <c r="BQ133" s="206" t="e">
        <f t="shared" si="407"/>
        <v>#DIV/0!</v>
      </c>
      <c r="BR133" s="206" t="e">
        <f t="shared" si="407"/>
        <v>#DIV/0!</v>
      </c>
      <c r="BS133" s="206" t="e">
        <f t="shared" si="407"/>
        <v>#DIV/0!</v>
      </c>
      <c r="BT133" s="207">
        <f t="shared" si="407"/>
        <v>0.43599085381429931</v>
      </c>
      <c r="BU133" s="206" t="e">
        <f t="shared" si="407"/>
        <v>#DIV/0!</v>
      </c>
      <c r="BV133" s="206" t="e">
        <f t="shared" si="407"/>
        <v>#DIV/0!</v>
      </c>
      <c r="BW133" s="206" t="e">
        <f t="shared" si="407"/>
        <v>#DIV/0!</v>
      </c>
      <c r="BX133" s="206" t="e">
        <f t="shared" si="407"/>
        <v>#DIV/0!</v>
      </c>
      <c r="BY133" s="207">
        <f t="shared" si="407"/>
        <v>0.47767965090309616</v>
      </c>
      <c r="BZ133" s="206" t="e">
        <f t="shared" si="407"/>
        <v>#DIV/0!</v>
      </c>
      <c r="CA133" s="206" t="e">
        <f t="shared" si="407"/>
        <v>#DIV/0!</v>
      </c>
      <c r="CB133" s="206" t="e">
        <f t="shared" si="407"/>
        <v>#DIV/0!</v>
      </c>
      <c r="CC133" s="206" t="e">
        <f t="shared" si="407"/>
        <v>#DIV/0!</v>
      </c>
      <c r="CD133" s="207">
        <f t="shared" si="407"/>
        <v>0.50549704930384964</v>
      </c>
      <c r="CE133" s="206" t="e">
        <f t="shared" si="407"/>
        <v>#DIV/0!</v>
      </c>
      <c r="CF133" s="206" t="e">
        <f t="shared" si="407"/>
        <v>#DIV/0!</v>
      </c>
      <c r="CG133" s="206" t="e">
        <f t="shared" si="407"/>
        <v>#DIV/0!</v>
      </c>
      <c r="CH133" s="206" t="e">
        <f t="shared" si="407"/>
        <v>#DIV/0!</v>
      </c>
      <c r="CI133" s="207">
        <f t="shared" si="407"/>
        <v>0.52436336377210457</v>
      </c>
      <c r="CJ133" s="206" t="e">
        <f t="shared" si="407"/>
        <v>#DIV/0!</v>
      </c>
      <c r="CK133" s="206" t="e">
        <f t="shared" si="407"/>
        <v>#DIV/0!</v>
      </c>
      <c r="CL133" s="206" t="e">
        <f t="shared" si="407"/>
        <v>#DIV/0!</v>
      </c>
      <c r="CM133" s="206" t="e">
        <f t="shared" si="407"/>
        <v>#DIV/0!</v>
      </c>
      <c r="CN133" s="207">
        <f t="shared" si="407"/>
        <v>0.53468099209952569</v>
      </c>
      <c r="CO133" s="206" t="e">
        <f t="shared" si="407"/>
        <v>#DIV/0!</v>
      </c>
      <c r="CP133" s="206" t="e">
        <f t="shared" si="407"/>
        <v>#DIV/0!</v>
      </c>
      <c r="CQ133" s="206" t="e">
        <f t="shared" si="407"/>
        <v>#DIV/0!</v>
      </c>
      <c r="CR133" s="206" t="e">
        <f t="shared" si="407"/>
        <v>#DIV/0!</v>
      </c>
      <c r="CS133" s="207">
        <f t="shared" si="407"/>
        <v>0.54508191229077663</v>
      </c>
      <c r="CT133" s="206" t="e">
        <f t="shared" si="407"/>
        <v>#DIV/0!</v>
      </c>
      <c r="CU133" s="206" t="e">
        <f t="shared" si="407"/>
        <v>#DIV/0!</v>
      </c>
      <c r="CV133" s="206" t="e">
        <f t="shared" si="407"/>
        <v>#DIV/0!</v>
      </c>
      <c r="CW133" s="206" t="e">
        <f t="shared" si="407"/>
        <v>#DIV/0!</v>
      </c>
      <c r="CX133" s="207">
        <f t="shared" si="407"/>
        <v>0.55396244836116726</v>
      </c>
    </row>
    <row r="134" spans="2:102">
      <c r="B134" s="205" t="s">
        <v>14</v>
      </c>
      <c r="C134" s="206">
        <f t="shared" ref="C134:AH134" si="408">C74/C22</f>
        <v>0.15743312381230795</v>
      </c>
      <c r="D134" s="206">
        <f t="shared" si="408"/>
        <v>0.125715215445942</v>
      </c>
      <c r="E134" s="206">
        <f t="shared" si="408"/>
        <v>3.9047828961869119E-2</v>
      </c>
      <c r="F134" s="206">
        <f t="shared" si="408"/>
        <v>-2.6500751070971679E-2</v>
      </c>
      <c r="G134" s="207">
        <f t="shared" si="408"/>
        <v>7.4114437712695949E-2</v>
      </c>
      <c r="H134" s="206">
        <f t="shared" si="408"/>
        <v>-5.6579996399459961E-4</v>
      </c>
      <c r="I134" s="206">
        <f t="shared" si="408"/>
        <v>-5.8789379046758843E-2</v>
      </c>
      <c r="J134" s="206">
        <f t="shared" si="408"/>
        <v>8.6928354550918185E-2</v>
      </c>
      <c r="K134" s="206">
        <f t="shared" si="408"/>
        <v>-0.11796449847655713</v>
      </c>
      <c r="L134" s="207">
        <f t="shared" si="408"/>
        <v>-2.3533969879554136E-2</v>
      </c>
      <c r="M134" s="206">
        <f t="shared" si="408"/>
        <v>-6.2761866049652892E-2</v>
      </c>
      <c r="N134" s="206">
        <f t="shared" si="408"/>
        <v>-6.5784664863629909E-5</v>
      </c>
      <c r="O134" s="206">
        <f t="shared" si="408"/>
        <v>-0.12220728553267965</v>
      </c>
      <c r="P134" s="206">
        <f t="shared" si="408"/>
        <v>-0.10746203638789231</v>
      </c>
      <c r="Q134" s="207">
        <f t="shared" si="408"/>
        <v>-7.3930457642166533E-2</v>
      </c>
      <c r="R134" s="206">
        <f t="shared" si="408"/>
        <v>-1.1461412584459423E-2</v>
      </c>
      <c r="S134" s="206">
        <f t="shared" si="408"/>
        <v>5.4623097498787819E-2</v>
      </c>
      <c r="T134" s="206">
        <f t="shared" si="408"/>
        <v>-0.13285829996205026</v>
      </c>
      <c r="U134" s="206">
        <f t="shared" si="408"/>
        <v>-4.6994597272991954E-2</v>
      </c>
      <c r="V134" s="207">
        <f t="shared" si="408"/>
        <v>-3.4040618328784147E-2</v>
      </c>
      <c r="W134" s="206">
        <f t="shared" si="408"/>
        <v>-0.15956041789867909</v>
      </c>
      <c r="X134" s="206">
        <f t="shared" si="408"/>
        <v>1.6631019249605205E-2</v>
      </c>
      <c r="Y134" s="206">
        <f t="shared" si="408"/>
        <v>-0.15138532531689222</v>
      </c>
      <c r="Z134" s="206">
        <f t="shared" si="408"/>
        <v>-0.27674434929102909</v>
      </c>
      <c r="AA134" s="207">
        <f t="shared" si="408"/>
        <v>-0.13813202681215189</v>
      </c>
      <c r="AB134" s="206">
        <f t="shared" si="408"/>
        <v>-0.11482833198161685</v>
      </c>
      <c r="AC134" s="206">
        <f t="shared" si="408"/>
        <v>9.2159756906151025E-2</v>
      </c>
      <c r="AD134" s="206">
        <f t="shared" si="408"/>
        <v>9.6032097636264968E-2</v>
      </c>
      <c r="AE134" s="206">
        <f t="shared" si="408"/>
        <v>-8.9956046665844808E-2</v>
      </c>
      <c r="AF134" s="207">
        <f t="shared" si="408"/>
        <v>3.2233398456743778E-4</v>
      </c>
      <c r="AG134" s="206">
        <f t="shared" si="408"/>
        <v>0.11412862763173059</v>
      </c>
      <c r="AH134" s="206">
        <f t="shared" si="408"/>
        <v>8.3682996900279763E-2</v>
      </c>
      <c r="AI134" s="206">
        <f t="shared" ref="AI134:BN134" si="409">AI74/AI22</f>
        <v>2.5764783614139357E-2</v>
      </c>
      <c r="AJ134" s="206">
        <f t="shared" si="409"/>
        <v>1.4367848171923119E-2</v>
      </c>
      <c r="AK134" s="207">
        <f t="shared" si="409"/>
        <v>5.7833339962734882E-2</v>
      </c>
      <c r="AL134" s="206">
        <f t="shared" si="409"/>
        <v>7.932813106023627E-2</v>
      </c>
      <c r="AM134" s="206">
        <f t="shared" si="409"/>
        <v>8.9998798722939172E-2</v>
      </c>
      <c r="AN134" s="206">
        <f t="shared" si="409"/>
        <v>1.9825471502506145E-2</v>
      </c>
      <c r="AO134" s="206">
        <f t="shared" si="409"/>
        <v>7.7722729263886514E-2</v>
      </c>
      <c r="AP134" s="207">
        <f t="shared" si="409"/>
        <v>6.7594054536376971E-2</v>
      </c>
      <c r="AQ134" s="206" t="e">
        <f t="shared" si="409"/>
        <v>#DIV/0!</v>
      </c>
      <c r="AR134" s="206" t="e">
        <f t="shared" si="409"/>
        <v>#DIV/0!</v>
      </c>
      <c r="AS134" s="206" t="e">
        <f t="shared" si="409"/>
        <v>#DIV/0!</v>
      </c>
      <c r="AT134" s="206" t="e">
        <f t="shared" si="409"/>
        <v>#DIV/0!</v>
      </c>
      <c r="AU134" s="207">
        <f t="shared" si="409"/>
        <v>0.10012797112780393</v>
      </c>
      <c r="AV134" s="206" t="e">
        <f t="shared" si="409"/>
        <v>#DIV/0!</v>
      </c>
      <c r="AW134" s="206" t="e">
        <f t="shared" si="409"/>
        <v>#DIV/0!</v>
      </c>
      <c r="AX134" s="206" t="e">
        <f t="shared" si="409"/>
        <v>#DIV/0!</v>
      </c>
      <c r="AY134" s="206" t="e">
        <f t="shared" si="409"/>
        <v>#DIV/0!</v>
      </c>
      <c r="AZ134" s="207">
        <f t="shared" si="409"/>
        <v>0.18668406086912318</v>
      </c>
      <c r="BA134" s="206" t="e">
        <f t="shared" si="409"/>
        <v>#DIV/0!</v>
      </c>
      <c r="BB134" s="206" t="e">
        <f t="shared" si="409"/>
        <v>#DIV/0!</v>
      </c>
      <c r="BC134" s="206" t="e">
        <f t="shared" si="409"/>
        <v>#DIV/0!</v>
      </c>
      <c r="BD134" s="206" t="e">
        <f t="shared" si="409"/>
        <v>#DIV/0!</v>
      </c>
      <c r="BE134" s="207">
        <f t="shared" si="409"/>
        <v>0.26555391994536232</v>
      </c>
      <c r="BF134" s="206" t="e">
        <f t="shared" si="409"/>
        <v>#DIV/0!</v>
      </c>
      <c r="BG134" s="206" t="e">
        <f t="shared" si="409"/>
        <v>#DIV/0!</v>
      </c>
      <c r="BH134" s="206" t="e">
        <f t="shared" si="409"/>
        <v>#DIV/0!</v>
      </c>
      <c r="BI134" s="206" t="e">
        <f t="shared" si="409"/>
        <v>#DIV/0!</v>
      </c>
      <c r="BJ134" s="207">
        <f t="shared" si="409"/>
        <v>0.33033346761406501</v>
      </c>
      <c r="BK134" s="206" t="e">
        <f t="shared" si="409"/>
        <v>#DIV/0!</v>
      </c>
      <c r="BL134" s="206" t="e">
        <f t="shared" si="409"/>
        <v>#DIV/0!</v>
      </c>
      <c r="BM134" s="206" t="e">
        <f t="shared" si="409"/>
        <v>#DIV/0!</v>
      </c>
      <c r="BN134" s="206" t="e">
        <f t="shared" si="409"/>
        <v>#DIV/0!</v>
      </c>
      <c r="BO134" s="207">
        <f t="shared" ref="BO134:CX134" si="410">BO74/BO22</f>
        <v>0.38422052080021907</v>
      </c>
      <c r="BP134" s="206" t="e">
        <f t="shared" si="410"/>
        <v>#DIV/0!</v>
      </c>
      <c r="BQ134" s="206" t="e">
        <f t="shared" si="410"/>
        <v>#DIV/0!</v>
      </c>
      <c r="BR134" s="206" t="e">
        <f t="shared" si="410"/>
        <v>#DIV/0!</v>
      </c>
      <c r="BS134" s="206" t="e">
        <f t="shared" si="410"/>
        <v>#DIV/0!</v>
      </c>
      <c r="BT134" s="207">
        <f t="shared" si="410"/>
        <v>0.43564041314389224</v>
      </c>
      <c r="BU134" s="206" t="e">
        <f t="shared" si="410"/>
        <v>#DIV/0!</v>
      </c>
      <c r="BV134" s="206" t="e">
        <f t="shared" si="410"/>
        <v>#DIV/0!</v>
      </c>
      <c r="BW134" s="206" t="e">
        <f t="shared" si="410"/>
        <v>#DIV/0!</v>
      </c>
      <c r="BX134" s="206" t="e">
        <f t="shared" si="410"/>
        <v>#DIV/0!</v>
      </c>
      <c r="BY134" s="207">
        <f t="shared" si="410"/>
        <v>0.47737225215418938</v>
      </c>
      <c r="BZ134" s="206" t="e">
        <f t="shared" si="410"/>
        <v>#DIV/0!</v>
      </c>
      <c r="CA134" s="206" t="e">
        <f t="shared" si="410"/>
        <v>#DIV/0!</v>
      </c>
      <c r="CB134" s="206" t="e">
        <f t="shared" si="410"/>
        <v>#DIV/0!</v>
      </c>
      <c r="CC134" s="206" t="e">
        <f t="shared" si="410"/>
        <v>#DIV/0!</v>
      </c>
      <c r="CD134" s="207">
        <f t="shared" si="410"/>
        <v>0.50522061139915353</v>
      </c>
      <c r="CE134" s="206" t="e">
        <f t="shared" si="410"/>
        <v>#DIV/0!</v>
      </c>
      <c r="CF134" s="206" t="e">
        <f t="shared" si="410"/>
        <v>#DIV/0!</v>
      </c>
      <c r="CG134" s="206" t="e">
        <f t="shared" si="410"/>
        <v>#DIV/0!</v>
      </c>
      <c r="CH134" s="206" t="e">
        <f t="shared" si="410"/>
        <v>#DIV/0!</v>
      </c>
      <c r="CI134" s="207">
        <f t="shared" si="410"/>
        <v>0.52410901882600158</v>
      </c>
      <c r="CJ134" s="206" t="e">
        <f t="shared" si="410"/>
        <v>#DIV/0!</v>
      </c>
      <c r="CK134" s="206" t="e">
        <f t="shared" si="410"/>
        <v>#DIV/0!</v>
      </c>
      <c r="CL134" s="206" t="e">
        <f t="shared" si="410"/>
        <v>#DIV/0!</v>
      </c>
      <c r="CM134" s="206" t="e">
        <f t="shared" si="410"/>
        <v>#DIV/0!</v>
      </c>
      <c r="CN134" s="207">
        <f t="shared" si="410"/>
        <v>0.53444044625126352</v>
      </c>
      <c r="CO134" s="206" t="e">
        <f t="shared" si="410"/>
        <v>#DIV/0!</v>
      </c>
      <c r="CP134" s="206" t="e">
        <f t="shared" si="410"/>
        <v>#DIV/0!</v>
      </c>
      <c r="CQ134" s="206" t="e">
        <f t="shared" si="410"/>
        <v>#DIV/0!</v>
      </c>
      <c r="CR134" s="206" t="e">
        <f t="shared" si="410"/>
        <v>#DIV/0!</v>
      </c>
      <c r="CS134" s="207">
        <f t="shared" si="410"/>
        <v>0.54485477841273633</v>
      </c>
      <c r="CT134" s="206" t="e">
        <f t="shared" si="410"/>
        <v>#DIV/0!</v>
      </c>
      <c r="CU134" s="206" t="e">
        <f t="shared" si="410"/>
        <v>#DIV/0!</v>
      </c>
      <c r="CV134" s="206" t="e">
        <f t="shared" si="410"/>
        <v>#DIV/0!</v>
      </c>
      <c r="CW134" s="206" t="e">
        <f t="shared" si="410"/>
        <v>#DIV/0!</v>
      </c>
      <c r="CX134" s="207">
        <f t="shared" si="410"/>
        <v>0.55374706199567536</v>
      </c>
    </row>
    <row r="135" spans="2:102">
      <c r="B135" s="208" t="s">
        <v>15</v>
      </c>
      <c r="C135" s="209">
        <f t="shared" ref="C135:AH135" si="411">C77/C22</f>
        <v>0.15743312381230795</v>
      </c>
      <c r="D135" s="209">
        <f t="shared" si="411"/>
        <v>0.125715215445942</v>
      </c>
      <c r="E135" s="209">
        <f t="shared" si="411"/>
        <v>3.9047828961869119E-2</v>
      </c>
      <c r="F135" s="209">
        <f t="shared" si="411"/>
        <v>-2.6500751070971679E-2</v>
      </c>
      <c r="G135" s="210">
        <f t="shared" si="411"/>
        <v>7.4114437712695949E-2</v>
      </c>
      <c r="H135" s="209">
        <f t="shared" si="411"/>
        <v>-5.6579996399459961E-4</v>
      </c>
      <c r="I135" s="209">
        <f t="shared" si="411"/>
        <v>-5.8789379046758843E-2</v>
      </c>
      <c r="J135" s="209">
        <f t="shared" si="411"/>
        <v>8.6928354550918185E-2</v>
      </c>
      <c r="K135" s="209">
        <f t="shared" si="411"/>
        <v>-0.11796449847655713</v>
      </c>
      <c r="L135" s="210">
        <f t="shared" si="411"/>
        <v>-2.3533969879554136E-2</v>
      </c>
      <c r="M135" s="209">
        <f t="shared" si="411"/>
        <v>-6.2761866049652892E-2</v>
      </c>
      <c r="N135" s="209">
        <f t="shared" si="411"/>
        <v>-6.5784664863629909E-5</v>
      </c>
      <c r="O135" s="209">
        <f t="shared" si="411"/>
        <v>-0.12220728553267965</v>
      </c>
      <c r="P135" s="209">
        <f t="shared" si="411"/>
        <v>-0.10746203638789231</v>
      </c>
      <c r="Q135" s="210">
        <f t="shared" si="411"/>
        <v>-7.3930457642166533E-2</v>
      </c>
      <c r="R135" s="209">
        <f t="shared" si="411"/>
        <v>-1.1461412584459423E-2</v>
      </c>
      <c r="S135" s="209">
        <f t="shared" si="411"/>
        <v>5.4623097498787819E-2</v>
      </c>
      <c r="T135" s="209">
        <f t="shared" si="411"/>
        <v>-0.13285829996205026</v>
      </c>
      <c r="U135" s="209">
        <f t="shared" si="411"/>
        <v>-4.6994597272991954E-2</v>
      </c>
      <c r="V135" s="210">
        <f t="shared" si="411"/>
        <v>-3.4040618328784147E-2</v>
      </c>
      <c r="W135" s="209">
        <f t="shared" si="411"/>
        <v>-0.15956041789867909</v>
      </c>
      <c r="X135" s="209">
        <f t="shared" si="411"/>
        <v>1.6631019249605205E-2</v>
      </c>
      <c r="Y135" s="209">
        <f t="shared" si="411"/>
        <v>-0.15138532531689222</v>
      </c>
      <c r="Z135" s="209">
        <f t="shared" si="411"/>
        <v>-0.27674434929102909</v>
      </c>
      <c r="AA135" s="210">
        <f t="shared" si="411"/>
        <v>-0.13813202681215189</v>
      </c>
      <c r="AB135" s="209">
        <f t="shared" si="411"/>
        <v>-0.11482833198161685</v>
      </c>
      <c r="AC135" s="209">
        <f t="shared" si="411"/>
        <v>9.2159756906151025E-2</v>
      </c>
      <c r="AD135" s="209">
        <f t="shared" si="411"/>
        <v>9.6032097636264968E-2</v>
      </c>
      <c r="AE135" s="209">
        <f t="shared" si="411"/>
        <v>-8.9956046665844808E-2</v>
      </c>
      <c r="AF135" s="210">
        <f t="shared" si="411"/>
        <v>3.2233398456743778E-4</v>
      </c>
      <c r="AG135" s="209">
        <f t="shared" si="411"/>
        <v>0.11412862763173059</v>
      </c>
      <c r="AH135" s="209">
        <f t="shared" si="411"/>
        <v>8.3723948489201422E-2</v>
      </c>
      <c r="AI135" s="209">
        <f t="shared" ref="AI135:BN135" si="412">AI77/AI22</f>
        <v>2.5764783614139357E-2</v>
      </c>
      <c r="AJ135" s="209">
        <f t="shared" si="412"/>
        <v>1.4367848171923119E-2</v>
      </c>
      <c r="AK135" s="210">
        <f t="shared" si="412"/>
        <v>5.7843479047581088E-2</v>
      </c>
      <c r="AL135" s="209">
        <f t="shared" si="412"/>
        <v>6.3462504848189022E-2</v>
      </c>
      <c r="AM135" s="209">
        <f t="shared" si="412"/>
        <v>7.1999038978351332E-2</v>
      </c>
      <c r="AN135" s="209">
        <f t="shared" si="412"/>
        <v>1.5860377202004915E-2</v>
      </c>
      <c r="AO135" s="209">
        <f t="shared" si="412"/>
        <v>6.21781834111092E-2</v>
      </c>
      <c r="AP135" s="210">
        <f t="shared" si="412"/>
        <v>5.4075243629101578E-2</v>
      </c>
      <c r="AQ135" s="209" t="e">
        <f t="shared" si="412"/>
        <v>#DIV/0!</v>
      </c>
      <c r="AR135" s="209" t="e">
        <f t="shared" si="412"/>
        <v>#DIV/0!</v>
      </c>
      <c r="AS135" s="209" t="e">
        <f t="shared" si="412"/>
        <v>#DIV/0!</v>
      </c>
      <c r="AT135" s="209" t="e">
        <f t="shared" si="412"/>
        <v>#DIV/0!</v>
      </c>
      <c r="AU135" s="210">
        <f t="shared" si="412"/>
        <v>8.0102376902243158E-2</v>
      </c>
      <c r="AV135" s="209" t="e">
        <f t="shared" si="412"/>
        <v>#DIV/0!</v>
      </c>
      <c r="AW135" s="209" t="e">
        <f t="shared" si="412"/>
        <v>#DIV/0!</v>
      </c>
      <c r="AX135" s="209" t="e">
        <f t="shared" si="412"/>
        <v>#DIV/0!</v>
      </c>
      <c r="AY135" s="209" t="e">
        <f t="shared" si="412"/>
        <v>#DIV/0!</v>
      </c>
      <c r="AZ135" s="210">
        <f t="shared" si="412"/>
        <v>0.14934724869529853</v>
      </c>
      <c r="BA135" s="209" t="e">
        <f t="shared" si="412"/>
        <v>#DIV/0!</v>
      </c>
      <c r="BB135" s="209" t="e">
        <f t="shared" si="412"/>
        <v>#DIV/0!</v>
      </c>
      <c r="BC135" s="209" t="e">
        <f t="shared" si="412"/>
        <v>#DIV/0!</v>
      </c>
      <c r="BD135" s="209" t="e">
        <f t="shared" si="412"/>
        <v>#DIV/0!</v>
      </c>
      <c r="BE135" s="210">
        <f t="shared" si="412"/>
        <v>0.21244313595628986</v>
      </c>
      <c r="BF135" s="209" t="e">
        <f t="shared" si="412"/>
        <v>#DIV/0!</v>
      </c>
      <c r="BG135" s="209" t="e">
        <f t="shared" si="412"/>
        <v>#DIV/0!</v>
      </c>
      <c r="BH135" s="209" t="e">
        <f t="shared" si="412"/>
        <v>#DIV/0!</v>
      </c>
      <c r="BI135" s="209" t="e">
        <f t="shared" si="412"/>
        <v>#DIV/0!</v>
      </c>
      <c r="BJ135" s="210">
        <f t="shared" si="412"/>
        <v>0.26426677409125204</v>
      </c>
      <c r="BK135" s="209" t="e">
        <f t="shared" si="412"/>
        <v>#DIV/0!</v>
      </c>
      <c r="BL135" s="209" t="e">
        <f t="shared" si="412"/>
        <v>#DIV/0!</v>
      </c>
      <c r="BM135" s="209" t="e">
        <f t="shared" si="412"/>
        <v>#DIV/0!</v>
      </c>
      <c r="BN135" s="209" t="e">
        <f t="shared" si="412"/>
        <v>#DIV/0!</v>
      </c>
      <c r="BO135" s="210">
        <f t="shared" ref="BO135:CX135" si="413">BO77/BO22</f>
        <v>0.30737641664017529</v>
      </c>
      <c r="BP135" s="209" t="e">
        <f t="shared" si="413"/>
        <v>#DIV/0!</v>
      </c>
      <c r="BQ135" s="209" t="e">
        <f t="shared" si="413"/>
        <v>#DIV/0!</v>
      </c>
      <c r="BR135" s="209" t="e">
        <f t="shared" si="413"/>
        <v>#DIV/0!</v>
      </c>
      <c r="BS135" s="209" t="e">
        <f t="shared" si="413"/>
        <v>#DIV/0!</v>
      </c>
      <c r="BT135" s="210">
        <f t="shared" si="413"/>
        <v>0.34851233051511382</v>
      </c>
      <c r="BU135" s="209" t="e">
        <f t="shared" si="413"/>
        <v>#DIV/0!</v>
      </c>
      <c r="BV135" s="209" t="e">
        <f t="shared" si="413"/>
        <v>#DIV/0!</v>
      </c>
      <c r="BW135" s="209" t="e">
        <f t="shared" si="413"/>
        <v>#DIV/0!</v>
      </c>
      <c r="BX135" s="209" t="e">
        <f t="shared" si="413"/>
        <v>#DIV/0!</v>
      </c>
      <c r="BY135" s="210">
        <f t="shared" si="413"/>
        <v>0.38189780172335147</v>
      </c>
      <c r="BZ135" s="209" t="e">
        <f t="shared" si="413"/>
        <v>#DIV/0!</v>
      </c>
      <c r="CA135" s="209" t="e">
        <f t="shared" si="413"/>
        <v>#DIV/0!</v>
      </c>
      <c r="CB135" s="209" t="e">
        <f t="shared" si="413"/>
        <v>#DIV/0!</v>
      </c>
      <c r="CC135" s="209" t="e">
        <f t="shared" si="413"/>
        <v>#DIV/0!</v>
      </c>
      <c r="CD135" s="210">
        <f t="shared" si="413"/>
        <v>0.40417648911932286</v>
      </c>
      <c r="CE135" s="209" t="e">
        <f t="shared" si="413"/>
        <v>#DIV/0!</v>
      </c>
      <c r="CF135" s="209" t="e">
        <f t="shared" si="413"/>
        <v>#DIV/0!</v>
      </c>
      <c r="CG135" s="209" t="e">
        <f t="shared" si="413"/>
        <v>#DIV/0!</v>
      </c>
      <c r="CH135" s="209" t="e">
        <f t="shared" si="413"/>
        <v>#DIV/0!</v>
      </c>
      <c r="CI135" s="210">
        <f t="shared" si="413"/>
        <v>0.41928721506080124</v>
      </c>
      <c r="CJ135" s="209" t="e">
        <f t="shared" si="413"/>
        <v>#DIV/0!</v>
      </c>
      <c r="CK135" s="209" t="e">
        <f t="shared" si="413"/>
        <v>#DIV/0!</v>
      </c>
      <c r="CL135" s="209" t="e">
        <f t="shared" si="413"/>
        <v>#DIV/0!</v>
      </c>
      <c r="CM135" s="209" t="e">
        <f t="shared" si="413"/>
        <v>#DIV/0!</v>
      </c>
      <c r="CN135" s="210">
        <f t="shared" si="413"/>
        <v>0.4275523570010108</v>
      </c>
      <c r="CO135" s="209" t="e">
        <f t="shared" si="413"/>
        <v>#DIV/0!</v>
      </c>
      <c r="CP135" s="209" t="e">
        <f t="shared" si="413"/>
        <v>#DIV/0!</v>
      </c>
      <c r="CQ135" s="209" t="e">
        <f t="shared" si="413"/>
        <v>#DIV/0!</v>
      </c>
      <c r="CR135" s="209" t="e">
        <f t="shared" si="413"/>
        <v>#DIV/0!</v>
      </c>
      <c r="CS135" s="210">
        <f t="shared" si="413"/>
        <v>0.43588382273018905</v>
      </c>
      <c r="CT135" s="209" t="e">
        <f t="shared" si="413"/>
        <v>#DIV/0!</v>
      </c>
      <c r="CU135" s="209" t="e">
        <f t="shared" si="413"/>
        <v>#DIV/0!</v>
      </c>
      <c r="CV135" s="209" t="e">
        <f t="shared" si="413"/>
        <v>#DIV/0!</v>
      </c>
      <c r="CW135" s="209" t="e">
        <f t="shared" si="413"/>
        <v>#DIV/0!</v>
      </c>
      <c r="CX135" s="210">
        <f t="shared" si="413"/>
        <v>0.44299764959654025</v>
      </c>
    </row>
    <row r="136" spans="2:102" ht="14.25" thickBot="1">
      <c r="B136" s="205"/>
    </row>
    <row r="137" spans="2:102">
      <c r="B137" s="202" t="s">
        <v>103</v>
      </c>
      <c r="C137" s="203" t="str">
        <f t="shared" ref="C137:AZ137" si="414">C127</f>
        <v>1Q11</v>
      </c>
      <c r="D137" s="203" t="str">
        <f t="shared" si="414"/>
        <v>2Q11</v>
      </c>
      <c r="E137" s="203" t="str">
        <f t="shared" si="414"/>
        <v>3Q11</v>
      </c>
      <c r="F137" s="203" t="str">
        <f t="shared" si="414"/>
        <v>4Q11</v>
      </c>
      <c r="G137" s="204">
        <f t="shared" si="414"/>
        <v>2011</v>
      </c>
      <c r="H137" s="203" t="str">
        <f t="shared" si="414"/>
        <v>1Q12</v>
      </c>
      <c r="I137" s="203" t="str">
        <f t="shared" si="414"/>
        <v>2Q12</v>
      </c>
      <c r="J137" s="203" t="str">
        <f t="shared" si="414"/>
        <v>3Q12</v>
      </c>
      <c r="K137" s="203" t="str">
        <f t="shared" si="414"/>
        <v>4Q12</v>
      </c>
      <c r="L137" s="204">
        <f t="shared" si="414"/>
        <v>2012</v>
      </c>
      <c r="M137" s="203" t="str">
        <f t="shared" si="414"/>
        <v>1Q13</v>
      </c>
      <c r="N137" s="203" t="str">
        <f t="shared" si="414"/>
        <v>2Q13</v>
      </c>
      <c r="O137" s="203" t="str">
        <f t="shared" si="414"/>
        <v>3Q13</v>
      </c>
      <c r="P137" s="203" t="str">
        <f t="shared" si="414"/>
        <v>4Q13</v>
      </c>
      <c r="Q137" s="204">
        <f t="shared" si="414"/>
        <v>2013</v>
      </c>
      <c r="R137" s="203" t="str">
        <f t="shared" si="414"/>
        <v>1Q14</v>
      </c>
      <c r="S137" s="203" t="str">
        <f t="shared" si="414"/>
        <v>2Q14</v>
      </c>
      <c r="T137" s="203" t="str">
        <f>T127</f>
        <v>3Q14</v>
      </c>
      <c r="U137" s="203" t="str">
        <f t="shared" si="414"/>
        <v>4Q14</v>
      </c>
      <c r="V137" s="204">
        <f t="shared" si="414"/>
        <v>2014</v>
      </c>
      <c r="W137" s="203" t="str">
        <f t="shared" si="414"/>
        <v>1Q15</v>
      </c>
      <c r="X137" s="203" t="str">
        <f t="shared" si="414"/>
        <v>2Q15</v>
      </c>
      <c r="Y137" s="203" t="str">
        <f t="shared" si="414"/>
        <v>3Q15</v>
      </c>
      <c r="Z137" s="203" t="str">
        <f t="shared" si="414"/>
        <v>4Q15</v>
      </c>
      <c r="AA137" s="204">
        <f t="shared" si="414"/>
        <v>2015</v>
      </c>
      <c r="AB137" s="203" t="str">
        <f t="shared" si="414"/>
        <v>1Q16</v>
      </c>
      <c r="AC137" s="203" t="str">
        <f t="shared" si="414"/>
        <v>2Q16</v>
      </c>
      <c r="AD137" s="203" t="str">
        <f t="shared" si="414"/>
        <v>3Q16</v>
      </c>
      <c r="AE137" s="203" t="str">
        <f t="shared" si="414"/>
        <v>4Q16</v>
      </c>
      <c r="AF137" s="204">
        <f t="shared" si="414"/>
        <v>2016</v>
      </c>
      <c r="AG137" s="203" t="str">
        <f t="shared" si="414"/>
        <v>1Q17</v>
      </c>
      <c r="AH137" s="203" t="str">
        <f t="shared" si="414"/>
        <v>2Q17</v>
      </c>
      <c r="AI137" s="203" t="str">
        <f t="shared" si="414"/>
        <v>3Q17</v>
      </c>
      <c r="AJ137" s="203" t="str">
        <f t="shared" si="414"/>
        <v>4Q17</v>
      </c>
      <c r="AK137" s="204">
        <f t="shared" si="414"/>
        <v>2017</v>
      </c>
      <c r="AL137" s="203" t="str">
        <f t="shared" si="414"/>
        <v>1Q18E</v>
      </c>
      <c r="AM137" s="203" t="str">
        <f t="shared" si="414"/>
        <v>2Q18E</v>
      </c>
      <c r="AN137" s="203" t="str">
        <f t="shared" si="414"/>
        <v>3Q18E</v>
      </c>
      <c r="AO137" s="203" t="str">
        <f t="shared" si="414"/>
        <v>4Q18E</v>
      </c>
      <c r="AP137" s="204" t="str">
        <f t="shared" si="414"/>
        <v>2018E</v>
      </c>
      <c r="AQ137" s="203" t="str">
        <f t="shared" si="414"/>
        <v>1Q19E</v>
      </c>
      <c r="AR137" s="203" t="str">
        <f t="shared" si="414"/>
        <v>2Q19E</v>
      </c>
      <c r="AS137" s="203" t="str">
        <f t="shared" si="414"/>
        <v>3Q19E</v>
      </c>
      <c r="AT137" s="203" t="str">
        <f t="shared" si="414"/>
        <v>4Q19E</v>
      </c>
      <c r="AU137" s="204" t="str">
        <f t="shared" si="414"/>
        <v>2019E</v>
      </c>
      <c r="AV137" s="203" t="str">
        <f t="shared" si="414"/>
        <v>1Q20E</v>
      </c>
      <c r="AW137" s="203" t="str">
        <f t="shared" si="414"/>
        <v>2Q20E</v>
      </c>
      <c r="AX137" s="203" t="str">
        <f t="shared" si="414"/>
        <v>3Q20E</v>
      </c>
      <c r="AY137" s="203" t="str">
        <f t="shared" si="414"/>
        <v>4Q20E</v>
      </c>
      <c r="AZ137" s="204" t="str">
        <f t="shared" si="414"/>
        <v>2020E</v>
      </c>
      <c r="BA137" s="203" t="str">
        <f t="shared" ref="BA137:BY137" si="415">BA127</f>
        <v>1Q21E</v>
      </c>
      <c r="BB137" s="203" t="str">
        <f t="shared" si="415"/>
        <v>2Q21E</v>
      </c>
      <c r="BC137" s="203" t="str">
        <f t="shared" si="415"/>
        <v>3Q21E</v>
      </c>
      <c r="BD137" s="203" t="str">
        <f t="shared" si="415"/>
        <v>4Q21E</v>
      </c>
      <c r="BE137" s="204" t="str">
        <f t="shared" si="415"/>
        <v>2021E</v>
      </c>
      <c r="BF137" s="203" t="str">
        <f t="shared" si="415"/>
        <v>1Q22E</v>
      </c>
      <c r="BG137" s="203" t="str">
        <f t="shared" si="415"/>
        <v>2Q22E</v>
      </c>
      <c r="BH137" s="203" t="str">
        <f t="shared" si="415"/>
        <v>3Q22E</v>
      </c>
      <c r="BI137" s="203" t="str">
        <f t="shared" si="415"/>
        <v>4Q22E</v>
      </c>
      <c r="BJ137" s="204" t="str">
        <f t="shared" si="415"/>
        <v>2022E</v>
      </c>
      <c r="BK137" s="203" t="str">
        <f t="shared" si="415"/>
        <v>1Q23E</v>
      </c>
      <c r="BL137" s="203" t="str">
        <f t="shared" si="415"/>
        <v>2Q23E</v>
      </c>
      <c r="BM137" s="203" t="str">
        <f t="shared" si="415"/>
        <v>3Q23E</v>
      </c>
      <c r="BN137" s="203" t="str">
        <f t="shared" si="415"/>
        <v>4Q23E</v>
      </c>
      <c r="BO137" s="204" t="str">
        <f t="shared" si="415"/>
        <v>2023E</v>
      </c>
      <c r="BP137" s="203" t="str">
        <f t="shared" si="415"/>
        <v>1Q24E</v>
      </c>
      <c r="BQ137" s="203" t="str">
        <f t="shared" si="415"/>
        <v>2Q24E</v>
      </c>
      <c r="BR137" s="203" t="str">
        <f t="shared" si="415"/>
        <v>3Q24E</v>
      </c>
      <c r="BS137" s="203" t="str">
        <f t="shared" si="415"/>
        <v>4Q24E</v>
      </c>
      <c r="BT137" s="204" t="str">
        <f t="shared" si="415"/>
        <v>2024E</v>
      </c>
      <c r="BU137" s="203" t="str">
        <f t="shared" si="415"/>
        <v>1Q25E</v>
      </c>
      <c r="BV137" s="203" t="str">
        <f t="shared" si="415"/>
        <v>2Q25E</v>
      </c>
      <c r="BW137" s="203" t="str">
        <f t="shared" si="415"/>
        <v>3Q25E</v>
      </c>
      <c r="BX137" s="203" t="str">
        <f t="shared" si="415"/>
        <v>4Q25E</v>
      </c>
      <c r="BY137" s="204" t="str">
        <f t="shared" si="415"/>
        <v>2025E</v>
      </c>
      <c r="BZ137" s="203" t="str">
        <f t="shared" ref="BZ137:CX137" si="416">BZ127</f>
        <v>1Q26E</v>
      </c>
      <c r="CA137" s="203" t="str">
        <f t="shared" si="416"/>
        <v>2Q26E</v>
      </c>
      <c r="CB137" s="203" t="str">
        <f t="shared" si="416"/>
        <v>3Q26E</v>
      </c>
      <c r="CC137" s="203" t="str">
        <f t="shared" si="416"/>
        <v>4Q26E</v>
      </c>
      <c r="CD137" s="204" t="str">
        <f t="shared" si="416"/>
        <v>2026E</v>
      </c>
      <c r="CE137" s="203" t="str">
        <f t="shared" si="416"/>
        <v>1Q27E</v>
      </c>
      <c r="CF137" s="203" t="str">
        <f t="shared" si="416"/>
        <v>2Q27E</v>
      </c>
      <c r="CG137" s="203" t="str">
        <f t="shared" si="416"/>
        <v>3Q27E</v>
      </c>
      <c r="CH137" s="203" t="str">
        <f t="shared" si="416"/>
        <v>4Q27E</v>
      </c>
      <c r="CI137" s="204" t="str">
        <f t="shared" si="416"/>
        <v>2027E</v>
      </c>
      <c r="CJ137" s="203" t="str">
        <f t="shared" si="416"/>
        <v>1Q28E</v>
      </c>
      <c r="CK137" s="203" t="str">
        <f t="shared" si="416"/>
        <v>2Q28E</v>
      </c>
      <c r="CL137" s="203" t="str">
        <f t="shared" si="416"/>
        <v>3Q28E</v>
      </c>
      <c r="CM137" s="203" t="str">
        <f t="shared" si="416"/>
        <v>4Q28E</v>
      </c>
      <c r="CN137" s="204" t="str">
        <f t="shared" si="416"/>
        <v>2028E</v>
      </c>
      <c r="CO137" s="203" t="str">
        <f t="shared" si="416"/>
        <v>1Q29E</v>
      </c>
      <c r="CP137" s="203" t="str">
        <f t="shared" si="416"/>
        <v>2Q29E</v>
      </c>
      <c r="CQ137" s="203" t="str">
        <f t="shared" si="416"/>
        <v>3Q29E</v>
      </c>
      <c r="CR137" s="203" t="str">
        <f t="shared" si="416"/>
        <v>4Q29E</v>
      </c>
      <c r="CS137" s="204" t="str">
        <f t="shared" si="416"/>
        <v>2029E</v>
      </c>
      <c r="CT137" s="203" t="str">
        <f t="shared" si="416"/>
        <v>1Q30E</v>
      </c>
      <c r="CU137" s="203" t="str">
        <f t="shared" si="416"/>
        <v>2Q30E</v>
      </c>
      <c r="CV137" s="203" t="str">
        <f t="shared" si="416"/>
        <v>3Q30E</v>
      </c>
      <c r="CW137" s="203" t="str">
        <f t="shared" si="416"/>
        <v>4Q30E</v>
      </c>
      <c r="CX137" s="204" t="str">
        <f t="shared" si="416"/>
        <v>2030E</v>
      </c>
    </row>
    <row r="138" spans="2:102">
      <c r="B138" s="205" t="s">
        <v>28</v>
      </c>
      <c r="C138" s="211"/>
      <c r="D138" s="211"/>
      <c r="E138" s="211"/>
      <c r="F138" s="211"/>
      <c r="G138" s="212"/>
      <c r="H138" s="211">
        <f t="shared" ref="H138:AM138" si="417">H22/C22-1</f>
        <v>6.5715904107586764E-2</v>
      </c>
      <c r="I138" s="211">
        <f t="shared" si="417"/>
        <v>0.12101490540626059</v>
      </c>
      <c r="J138" s="211">
        <f t="shared" si="417"/>
        <v>0.12953052677981014</v>
      </c>
      <c r="K138" s="211">
        <f t="shared" si="417"/>
        <v>0.22339261539602773</v>
      </c>
      <c r="L138" s="212">
        <f t="shared" si="417"/>
        <v>0.13450532221008782</v>
      </c>
      <c r="M138" s="211">
        <f t="shared" si="417"/>
        <v>9.6691784755977395E-2</v>
      </c>
      <c r="N138" s="211">
        <f t="shared" si="417"/>
        <v>0.10313742249171498</v>
      </c>
      <c r="O138" s="211">
        <f t="shared" si="417"/>
        <v>6.8351584879446259E-2</v>
      </c>
      <c r="P138" s="211">
        <f t="shared" si="417"/>
        <v>0.11353059770498297</v>
      </c>
      <c r="Q138" s="212">
        <f t="shared" si="417"/>
        <v>9.5473944675998457E-2</v>
      </c>
      <c r="R138" s="211">
        <f t="shared" si="417"/>
        <v>0.18466637483584503</v>
      </c>
      <c r="S138" s="211">
        <f t="shared" si="417"/>
        <v>0.40184928002339015</v>
      </c>
      <c r="T138" s="211">
        <f t="shared" si="417"/>
        <v>0.28986513143475023</v>
      </c>
      <c r="U138" s="211">
        <f t="shared" si="417"/>
        <v>0.56597943056283451</v>
      </c>
      <c r="V138" s="212">
        <f t="shared" si="417"/>
        <v>0.36721486010766968</v>
      </c>
      <c r="W138" s="211">
        <f t="shared" si="417"/>
        <v>0.33894636824324342</v>
      </c>
      <c r="X138" s="211">
        <f t="shared" si="417"/>
        <v>0.30423334219733333</v>
      </c>
      <c r="Y138" s="211">
        <f t="shared" si="417"/>
        <v>0.18326356988711323</v>
      </c>
      <c r="Z138" s="211">
        <f t="shared" si="417"/>
        <v>-9.2711317039672059E-3</v>
      </c>
      <c r="AA138" s="212">
        <f t="shared" si="417"/>
        <v>0.18659469809602425</v>
      </c>
      <c r="AB138" s="211">
        <f t="shared" si="417"/>
        <v>0.16664695446481348</v>
      </c>
      <c r="AC138" s="211">
        <f t="shared" si="417"/>
        <v>0.19987606692386128</v>
      </c>
      <c r="AD138" s="211">
        <f t="shared" si="417"/>
        <v>0.33983073564891075</v>
      </c>
      <c r="AE138" s="211">
        <f t="shared" si="417"/>
        <v>0.31655815667555798</v>
      </c>
      <c r="AF138" s="212">
        <f t="shared" si="417"/>
        <v>0.25504020137207206</v>
      </c>
      <c r="AG138" s="211">
        <f t="shared" si="417"/>
        <v>0.28305369694512028</v>
      </c>
      <c r="AH138" s="211">
        <f t="shared" si="417"/>
        <v>5.7698138479530536E-2</v>
      </c>
      <c r="AI138" s="211">
        <f t="shared" si="417"/>
        <v>8.1473118586903537E-2</v>
      </c>
      <c r="AJ138" s="211">
        <f t="shared" si="417"/>
        <v>0.19397116208083598</v>
      </c>
      <c r="AK138" s="212">
        <f t="shared" si="417"/>
        <v>0.14801666108551337</v>
      </c>
      <c r="AL138" s="211">
        <f t="shared" si="417"/>
        <v>0.13498586895922582</v>
      </c>
      <c r="AM138" s="211">
        <f t="shared" si="417"/>
        <v>0.14458822078404898</v>
      </c>
      <c r="AN138" s="211">
        <f t="shared" ref="AN138:BS138" si="418">AN22/AI22-1</f>
        <v>0.14136823123457543</v>
      </c>
      <c r="AO138" s="211">
        <f t="shared" si="418"/>
        <v>0.18973985306367602</v>
      </c>
      <c r="AP138" s="212">
        <f t="shared" si="418"/>
        <v>0.15419401468443339</v>
      </c>
      <c r="AQ138" s="211">
        <f t="shared" si="418"/>
        <v>-1</v>
      </c>
      <c r="AR138" s="211">
        <f t="shared" si="418"/>
        <v>-1</v>
      </c>
      <c r="AS138" s="211">
        <f t="shared" si="418"/>
        <v>-1</v>
      </c>
      <c r="AT138" s="211">
        <f t="shared" si="418"/>
        <v>-1</v>
      </c>
      <c r="AU138" s="212">
        <f t="shared" si="418"/>
        <v>0.13242048732195366</v>
      </c>
      <c r="AV138" s="211" t="e">
        <f t="shared" si="418"/>
        <v>#DIV/0!</v>
      </c>
      <c r="AW138" s="211" t="e">
        <f t="shared" si="418"/>
        <v>#DIV/0!</v>
      </c>
      <c r="AX138" s="211" t="e">
        <f t="shared" si="418"/>
        <v>#DIV/0!</v>
      </c>
      <c r="AY138" s="211" t="e">
        <f t="shared" si="418"/>
        <v>#DIV/0!</v>
      </c>
      <c r="AZ138" s="212">
        <f t="shared" si="418"/>
        <v>0.19929654864541346</v>
      </c>
      <c r="BA138" s="211" t="e">
        <f t="shared" si="418"/>
        <v>#DIV/0!</v>
      </c>
      <c r="BB138" s="211" t="e">
        <f t="shared" si="418"/>
        <v>#DIV/0!</v>
      </c>
      <c r="BC138" s="211" t="e">
        <f t="shared" si="418"/>
        <v>#DIV/0!</v>
      </c>
      <c r="BD138" s="211" t="e">
        <f t="shared" si="418"/>
        <v>#DIV/0!</v>
      </c>
      <c r="BE138" s="212">
        <f t="shared" si="418"/>
        <v>0.19005296172319963</v>
      </c>
      <c r="BF138" s="211" t="e">
        <f t="shared" si="418"/>
        <v>#DIV/0!</v>
      </c>
      <c r="BG138" s="211" t="e">
        <f t="shared" si="418"/>
        <v>#DIV/0!</v>
      </c>
      <c r="BH138" s="211" t="e">
        <f t="shared" si="418"/>
        <v>#DIV/0!</v>
      </c>
      <c r="BI138" s="211" t="e">
        <f t="shared" si="418"/>
        <v>#DIV/0!</v>
      </c>
      <c r="BJ138" s="212">
        <f t="shared" si="418"/>
        <v>0.16300051666583637</v>
      </c>
      <c r="BK138" s="211" t="e">
        <f t="shared" si="418"/>
        <v>#DIV/0!</v>
      </c>
      <c r="BL138" s="211" t="e">
        <f t="shared" si="418"/>
        <v>#DIV/0!</v>
      </c>
      <c r="BM138" s="211" t="e">
        <f t="shared" si="418"/>
        <v>#DIV/0!</v>
      </c>
      <c r="BN138" s="211" t="e">
        <f t="shared" si="418"/>
        <v>#DIV/0!</v>
      </c>
      <c r="BO138" s="212">
        <f t="shared" si="418"/>
        <v>0.15003830084169345</v>
      </c>
      <c r="BP138" s="211" t="e">
        <f t="shared" si="418"/>
        <v>#DIV/0!</v>
      </c>
      <c r="BQ138" s="211" t="e">
        <f t="shared" si="418"/>
        <v>#DIV/0!</v>
      </c>
      <c r="BR138" s="211" t="e">
        <f t="shared" si="418"/>
        <v>#DIV/0!</v>
      </c>
      <c r="BS138" s="211" t="e">
        <f t="shared" si="418"/>
        <v>#DIV/0!</v>
      </c>
      <c r="BT138" s="212">
        <f t="shared" ref="BT138:CX138" si="419">BT22/BO22-1</f>
        <v>0.1515837389137511</v>
      </c>
      <c r="BU138" s="211" t="e">
        <f t="shared" si="419"/>
        <v>#DIV/0!</v>
      </c>
      <c r="BV138" s="211" t="e">
        <f t="shared" si="419"/>
        <v>#DIV/0!</v>
      </c>
      <c r="BW138" s="211" t="e">
        <f t="shared" si="419"/>
        <v>#DIV/0!</v>
      </c>
      <c r="BX138" s="211" t="e">
        <f t="shared" si="419"/>
        <v>#DIV/0!</v>
      </c>
      <c r="BY138" s="212">
        <f t="shared" si="419"/>
        <v>0.14001983304535992</v>
      </c>
      <c r="BZ138" s="211" t="e">
        <f t="shared" si="419"/>
        <v>#DIV/0!</v>
      </c>
      <c r="CA138" s="211" t="e">
        <f t="shared" si="419"/>
        <v>#DIV/0!</v>
      </c>
      <c r="CB138" s="211" t="e">
        <f t="shared" si="419"/>
        <v>#DIV/0!</v>
      </c>
      <c r="CC138" s="211" t="e">
        <f t="shared" si="419"/>
        <v>#DIV/0!</v>
      </c>
      <c r="CD138" s="212">
        <f t="shared" si="419"/>
        <v>0.11199927247607477</v>
      </c>
      <c r="CE138" s="211" t="e">
        <f t="shared" si="419"/>
        <v>#DIV/0!</v>
      </c>
      <c r="CF138" s="211" t="e">
        <f t="shared" si="419"/>
        <v>#DIV/0!</v>
      </c>
      <c r="CG138" s="211" t="e">
        <f t="shared" si="419"/>
        <v>#DIV/0!</v>
      </c>
      <c r="CH138" s="211" t="e">
        <f t="shared" si="419"/>
        <v>#DIV/0!</v>
      </c>
      <c r="CI138" s="212">
        <f t="shared" si="419"/>
        <v>8.6862188266640272E-2</v>
      </c>
      <c r="CJ138" s="211" t="e">
        <f t="shared" si="419"/>
        <v>#DIV/0!</v>
      </c>
      <c r="CK138" s="211" t="e">
        <f t="shared" si="419"/>
        <v>#DIV/0!</v>
      </c>
      <c r="CL138" s="211" t="e">
        <f t="shared" si="419"/>
        <v>#DIV/0!</v>
      </c>
      <c r="CM138" s="211" t="e">
        <f t="shared" si="419"/>
        <v>#DIV/0!</v>
      </c>
      <c r="CN138" s="212">
        <f t="shared" si="419"/>
        <v>5.7365770145414219E-2</v>
      </c>
      <c r="CO138" s="211" t="e">
        <f t="shared" si="419"/>
        <v>#DIV/0!</v>
      </c>
      <c r="CP138" s="211" t="e">
        <f t="shared" si="419"/>
        <v>#DIV/0!</v>
      </c>
      <c r="CQ138" s="211" t="e">
        <f t="shared" si="419"/>
        <v>#DIV/0!</v>
      </c>
      <c r="CR138" s="211" t="e">
        <f t="shared" si="419"/>
        <v>#DIV/0!</v>
      </c>
      <c r="CS138" s="212">
        <f t="shared" si="419"/>
        <v>5.9048744016362731E-2</v>
      </c>
      <c r="CT138" s="211" t="e">
        <f t="shared" si="419"/>
        <v>#DIV/0!</v>
      </c>
      <c r="CU138" s="211" t="e">
        <f t="shared" si="419"/>
        <v>#DIV/0!</v>
      </c>
      <c r="CV138" s="211" t="e">
        <f t="shared" si="419"/>
        <v>#DIV/0!</v>
      </c>
      <c r="CW138" s="211" t="e">
        <f t="shared" si="419"/>
        <v>#DIV/0!</v>
      </c>
      <c r="CX138" s="212">
        <f t="shared" si="419"/>
        <v>5.4541579368300397E-2</v>
      </c>
    </row>
    <row r="139" spans="2:102">
      <c r="B139" s="205" t="s">
        <v>33</v>
      </c>
      <c r="C139" s="211"/>
      <c r="D139" s="211"/>
      <c r="E139" s="211"/>
      <c r="F139" s="211"/>
      <c r="G139" s="212"/>
      <c r="H139" s="211">
        <f t="shared" ref="H139:Q140" si="420">H28/C28-1</f>
        <v>-0.16304011549963904</v>
      </c>
      <c r="I139" s="211">
        <f t="shared" si="420"/>
        <v>0.22623511248345807</v>
      </c>
      <c r="J139" s="211">
        <f t="shared" si="420"/>
        <v>0.10331107005826357</v>
      </c>
      <c r="K139" s="211">
        <f t="shared" si="420"/>
        <v>0.24564615080150398</v>
      </c>
      <c r="L139" s="212">
        <f t="shared" si="420"/>
        <v>0.1025579242387733</v>
      </c>
      <c r="M139" s="211">
        <f t="shared" si="420"/>
        <v>0.19862000985707251</v>
      </c>
      <c r="N139" s="211">
        <f t="shared" si="420"/>
        <v>-3.6062772606681892E-2</v>
      </c>
      <c r="O139" s="211">
        <f t="shared" si="420"/>
        <v>0.14052035033487886</v>
      </c>
      <c r="P139" s="211">
        <f t="shared" si="420"/>
        <v>-6.96270405528856E-2</v>
      </c>
      <c r="Q139" s="212">
        <f t="shared" si="420"/>
        <v>4.5341614906832417E-2</v>
      </c>
      <c r="R139" s="211">
        <f t="shared" ref="R139:AA140" si="421">R28/M28-1</f>
        <v>0.11687911184210531</v>
      </c>
      <c r="S139" s="211">
        <f t="shared" si="421"/>
        <v>0.29075896813919866</v>
      </c>
      <c r="T139" s="211">
        <f t="shared" si="421"/>
        <v>1.0351966873706209E-2</v>
      </c>
      <c r="U139" s="211">
        <f t="shared" si="421"/>
        <v>0.78095116120218577</v>
      </c>
      <c r="V139" s="212">
        <f t="shared" si="421"/>
        <v>0.29791377830593513</v>
      </c>
      <c r="W139" s="211">
        <f t="shared" si="421"/>
        <v>0.36668200644270588</v>
      </c>
      <c r="X139" s="211">
        <f t="shared" si="421"/>
        <v>0.31235995663173122</v>
      </c>
      <c r="Y139" s="211">
        <f t="shared" si="421"/>
        <v>0.24880774962742169</v>
      </c>
      <c r="Z139" s="211">
        <f t="shared" si="421"/>
        <v>9.1737181484766284E-2</v>
      </c>
      <c r="AA139" s="212">
        <f t="shared" si="421"/>
        <v>0.22988038013852474</v>
      </c>
      <c r="AB139" s="211">
        <f t="shared" ref="AB139:AK140" si="422">AB28/W28-1</f>
        <v>0.39928614721530087</v>
      </c>
      <c r="AC139" s="211">
        <f t="shared" si="422"/>
        <v>0.35841158813647978</v>
      </c>
      <c r="AD139" s="211">
        <f t="shared" si="422"/>
        <v>0.45133957873381458</v>
      </c>
      <c r="AE139" s="211">
        <f t="shared" si="422"/>
        <v>0.34259177937818386</v>
      </c>
      <c r="AF139" s="212">
        <f t="shared" si="422"/>
        <v>0.38328289895431999</v>
      </c>
      <c r="AG139" s="211">
        <f t="shared" si="422"/>
        <v>0.15521224371931841</v>
      </c>
      <c r="AH139" s="211">
        <f t="shared" si="422"/>
        <v>9.0759811871553797E-2</v>
      </c>
      <c r="AI139" s="211">
        <f t="shared" si="422"/>
        <v>0.16104099000945604</v>
      </c>
      <c r="AJ139" s="211">
        <f t="shared" si="422"/>
        <v>0.19703337857948888</v>
      </c>
      <c r="AK139" s="212">
        <f t="shared" si="422"/>
        <v>0.15352531680262316</v>
      </c>
      <c r="AL139" s="211">
        <f t="shared" ref="AL139:AU140" si="423">AL28/AG28-1</f>
        <v>0.2930770000655869</v>
      </c>
      <c r="AM139" s="211">
        <f t="shared" si="423"/>
        <v>0.21640509722386714</v>
      </c>
      <c r="AN139" s="211">
        <f t="shared" si="423"/>
        <v>0.11805937590332816</v>
      </c>
      <c r="AO139" s="211">
        <f t="shared" si="423"/>
        <v>9.2812689436035045E-2</v>
      </c>
      <c r="AP139" s="212">
        <f t="shared" si="423"/>
        <v>0.16923074862224619</v>
      </c>
      <c r="AQ139" s="211">
        <f t="shared" si="423"/>
        <v>-1</v>
      </c>
      <c r="AR139" s="211">
        <f t="shared" si="423"/>
        <v>-1</v>
      </c>
      <c r="AS139" s="211">
        <f t="shared" si="423"/>
        <v>-1</v>
      </c>
      <c r="AT139" s="211">
        <f t="shared" si="423"/>
        <v>-1</v>
      </c>
      <c r="AU139" s="212">
        <f t="shared" si="423"/>
        <v>0.13898946664301404</v>
      </c>
      <c r="AV139" s="211" t="e">
        <f t="shared" ref="AV139:BE140" si="424">AV28/AQ28-1</f>
        <v>#DIV/0!</v>
      </c>
      <c r="AW139" s="211" t="e">
        <f t="shared" si="424"/>
        <v>#DIV/0!</v>
      </c>
      <c r="AX139" s="211" t="e">
        <f t="shared" si="424"/>
        <v>#DIV/0!</v>
      </c>
      <c r="AY139" s="211" t="e">
        <f t="shared" si="424"/>
        <v>#DIV/0!</v>
      </c>
      <c r="AZ139" s="212">
        <f t="shared" si="424"/>
        <v>0.21623494899404427</v>
      </c>
      <c r="BA139" s="211" t="e">
        <f t="shared" si="424"/>
        <v>#DIV/0!</v>
      </c>
      <c r="BB139" s="211" t="e">
        <f t="shared" si="424"/>
        <v>#DIV/0!</v>
      </c>
      <c r="BC139" s="211" t="e">
        <f t="shared" si="424"/>
        <v>#DIV/0!</v>
      </c>
      <c r="BD139" s="211" t="e">
        <f t="shared" si="424"/>
        <v>#DIV/0!</v>
      </c>
      <c r="BE139" s="212">
        <f t="shared" si="424"/>
        <v>0.20345321594835997</v>
      </c>
      <c r="BF139" s="211" t="e">
        <f t="shared" ref="BF139:BO140" si="425">BF28/BA28-1</f>
        <v>#DIV/0!</v>
      </c>
      <c r="BG139" s="211" t="e">
        <f t="shared" si="425"/>
        <v>#DIV/0!</v>
      </c>
      <c r="BH139" s="211" t="e">
        <f t="shared" si="425"/>
        <v>#DIV/0!</v>
      </c>
      <c r="BI139" s="211" t="e">
        <f t="shared" si="425"/>
        <v>#DIV/0!</v>
      </c>
      <c r="BJ139" s="212">
        <f t="shared" si="425"/>
        <v>0.16297059770773981</v>
      </c>
      <c r="BK139" s="211" t="e">
        <f t="shared" si="425"/>
        <v>#DIV/0!</v>
      </c>
      <c r="BL139" s="211" t="e">
        <f t="shared" si="425"/>
        <v>#DIV/0!</v>
      </c>
      <c r="BM139" s="211" t="e">
        <f t="shared" si="425"/>
        <v>#DIV/0!</v>
      </c>
      <c r="BN139" s="211" t="e">
        <f t="shared" si="425"/>
        <v>#DIV/0!</v>
      </c>
      <c r="BO139" s="212">
        <f t="shared" si="425"/>
        <v>0.14041703998777688</v>
      </c>
      <c r="BP139" s="211" t="e">
        <f t="shared" ref="BP139:BY140" si="426">BP28/BK28-1</f>
        <v>#DIV/0!</v>
      </c>
      <c r="BQ139" s="211" t="e">
        <f t="shared" si="426"/>
        <v>#DIV/0!</v>
      </c>
      <c r="BR139" s="211" t="e">
        <f t="shared" si="426"/>
        <v>#DIV/0!</v>
      </c>
      <c r="BS139" s="211" t="e">
        <f t="shared" si="426"/>
        <v>#DIV/0!</v>
      </c>
      <c r="BT139" s="212">
        <f t="shared" si="426"/>
        <v>0.13755888283982265</v>
      </c>
      <c r="BU139" s="211" t="e">
        <f t="shared" si="426"/>
        <v>#DIV/0!</v>
      </c>
      <c r="BV139" s="211" t="e">
        <f t="shared" si="426"/>
        <v>#DIV/0!</v>
      </c>
      <c r="BW139" s="211" t="e">
        <f t="shared" si="426"/>
        <v>#DIV/0!</v>
      </c>
      <c r="BX139" s="211" t="e">
        <f t="shared" si="426"/>
        <v>#DIV/0!</v>
      </c>
      <c r="BY139" s="212">
        <f t="shared" si="426"/>
        <v>0.12990076587958233</v>
      </c>
      <c r="BZ139" s="211" t="e">
        <f t="shared" ref="BZ139:CI140" si="427">BZ28/BU28-1</f>
        <v>#DIV/0!</v>
      </c>
      <c r="CA139" s="211" t="e">
        <f t="shared" si="427"/>
        <v>#DIV/0!</v>
      </c>
      <c r="CB139" s="211" t="e">
        <f t="shared" si="427"/>
        <v>#DIV/0!</v>
      </c>
      <c r="CC139" s="211" t="e">
        <f t="shared" si="427"/>
        <v>#DIV/0!</v>
      </c>
      <c r="CD139" s="212">
        <f t="shared" si="427"/>
        <v>0.11412632985905025</v>
      </c>
      <c r="CE139" s="211" t="e">
        <f t="shared" si="427"/>
        <v>#DIV/0!</v>
      </c>
      <c r="CF139" s="211" t="e">
        <f t="shared" si="427"/>
        <v>#DIV/0!</v>
      </c>
      <c r="CG139" s="211" t="e">
        <f t="shared" si="427"/>
        <v>#DIV/0!</v>
      </c>
      <c r="CH139" s="211" t="e">
        <f t="shared" si="427"/>
        <v>#DIV/0!</v>
      </c>
      <c r="CI139" s="212">
        <f t="shared" si="427"/>
        <v>8.8992306894000173E-2</v>
      </c>
      <c r="CJ139" s="211" t="e">
        <f t="shared" ref="CJ139:CS140" si="428">CJ28/CE28-1</f>
        <v>#DIV/0!</v>
      </c>
      <c r="CK139" s="211" t="e">
        <f t="shared" si="428"/>
        <v>#DIV/0!</v>
      </c>
      <c r="CL139" s="211" t="e">
        <f t="shared" si="428"/>
        <v>#DIV/0!</v>
      </c>
      <c r="CM139" s="211" t="e">
        <f t="shared" si="428"/>
        <v>#DIV/0!</v>
      </c>
      <c r="CN139" s="212">
        <f t="shared" si="428"/>
        <v>5.7807792553358217E-2</v>
      </c>
      <c r="CO139" s="211" t="e">
        <f t="shared" si="428"/>
        <v>#DIV/0!</v>
      </c>
      <c r="CP139" s="211" t="e">
        <f t="shared" si="428"/>
        <v>#DIV/0!</v>
      </c>
      <c r="CQ139" s="211" t="e">
        <f t="shared" si="428"/>
        <v>#DIV/0!</v>
      </c>
      <c r="CR139" s="211" t="e">
        <f t="shared" si="428"/>
        <v>#DIV/0!</v>
      </c>
      <c r="CS139" s="212">
        <f t="shared" si="428"/>
        <v>5.9325080876613701E-2</v>
      </c>
      <c r="CT139" s="211" t="e">
        <f t="shared" ref="CT139:DC140" si="429">CT28/CO28-1</f>
        <v>#DIV/0!</v>
      </c>
      <c r="CU139" s="211" t="e">
        <f t="shared" si="429"/>
        <v>#DIV/0!</v>
      </c>
      <c r="CV139" s="211" t="e">
        <f t="shared" si="429"/>
        <v>#DIV/0!</v>
      </c>
      <c r="CW139" s="211" t="e">
        <f t="shared" si="429"/>
        <v>#DIV/0!</v>
      </c>
      <c r="CX139" s="212">
        <f t="shared" si="429"/>
        <v>5.4880397912578038E-2</v>
      </c>
    </row>
    <row r="140" spans="2:102">
      <c r="B140" s="205" t="s">
        <v>29</v>
      </c>
      <c r="C140" s="211"/>
      <c r="D140" s="211"/>
      <c r="E140" s="211"/>
      <c r="F140" s="211"/>
      <c r="G140" s="212"/>
      <c r="H140" s="211">
        <f t="shared" si="420"/>
        <v>0.1149763496258136</v>
      </c>
      <c r="I140" s="211">
        <f t="shared" si="420"/>
        <v>0.10038380452997453</v>
      </c>
      <c r="J140" s="211">
        <f t="shared" si="420"/>
        <v>0.13552657235088916</v>
      </c>
      <c r="K140" s="211">
        <f t="shared" si="420"/>
        <v>0.21826003605906408</v>
      </c>
      <c r="L140" s="212">
        <f t="shared" si="420"/>
        <v>0.14145460062619808</v>
      </c>
      <c r="M140" s="211">
        <f t="shared" si="420"/>
        <v>8.0215501359331531E-2</v>
      </c>
      <c r="N140" s="211">
        <f t="shared" si="420"/>
        <v>0.13355276085674994</v>
      </c>
      <c r="O140" s="211">
        <f t="shared" si="420"/>
        <v>5.2315764369186724E-2</v>
      </c>
      <c r="P140" s="211">
        <f t="shared" si="420"/>
        <v>0.1567238973033227</v>
      </c>
      <c r="Q140" s="212">
        <f t="shared" si="420"/>
        <v>0.10600725501047648</v>
      </c>
      <c r="R140" s="211">
        <f t="shared" si="421"/>
        <v>0.19682498709344354</v>
      </c>
      <c r="S140" s="211">
        <f t="shared" si="421"/>
        <v>0.42249053071342524</v>
      </c>
      <c r="T140" s="211">
        <f t="shared" si="421"/>
        <v>0.35717847138492775</v>
      </c>
      <c r="U140" s="211">
        <f t="shared" si="421"/>
        <v>0.52520385770853406</v>
      </c>
      <c r="V140" s="212">
        <f t="shared" si="421"/>
        <v>0.38097704125668908</v>
      </c>
      <c r="W140" s="211">
        <f t="shared" si="421"/>
        <v>0.33430389302275421</v>
      </c>
      <c r="X140" s="211">
        <f t="shared" si="421"/>
        <v>0.30286320125276456</v>
      </c>
      <c r="Y140" s="211">
        <f t="shared" si="421"/>
        <v>0.17151273470532802</v>
      </c>
      <c r="Z140" s="211">
        <f t="shared" si="421"/>
        <v>-3.1642881413523782E-2</v>
      </c>
      <c r="AA140" s="212">
        <f t="shared" si="421"/>
        <v>0.17851582278481004</v>
      </c>
      <c r="AB140" s="211">
        <f t="shared" si="422"/>
        <v>0.12676218956021734</v>
      </c>
      <c r="AC140" s="211">
        <f t="shared" si="422"/>
        <v>0.17295226870948754</v>
      </c>
      <c r="AD140" s="211">
        <f t="shared" si="422"/>
        <v>0.31852029238365676</v>
      </c>
      <c r="AE140" s="211">
        <f t="shared" si="422"/>
        <v>0.31005745866046741</v>
      </c>
      <c r="AF140" s="212">
        <f t="shared" si="422"/>
        <v>0.23006167916629749</v>
      </c>
      <c r="AG140" s="211">
        <f t="shared" si="422"/>
        <v>0.31027256891074928</v>
      </c>
      <c r="AH140" s="211">
        <f t="shared" si="422"/>
        <v>5.1195559861723972E-2</v>
      </c>
      <c r="AI140" s="211">
        <f t="shared" si="422"/>
        <v>6.4735135135135069E-2</v>
      </c>
      <c r="AJ140" s="211">
        <f t="shared" si="422"/>
        <v>0.19318752511048665</v>
      </c>
      <c r="AK140" s="212">
        <f t="shared" si="422"/>
        <v>0.14681005962821581</v>
      </c>
      <c r="AL140" s="211">
        <f t="shared" si="423"/>
        <v>0.10530982095758334</v>
      </c>
      <c r="AM140" s="211">
        <f t="shared" si="423"/>
        <v>0.12993163199980495</v>
      </c>
      <c r="AN140" s="211">
        <f t="shared" si="423"/>
        <v>0.1467150111432296</v>
      </c>
      <c r="AO140" s="211">
        <f t="shared" si="423"/>
        <v>0.21462396152099927</v>
      </c>
      <c r="AP140" s="212">
        <f t="shared" si="423"/>
        <v>0.15088112200594384</v>
      </c>
      <c r="AQ140" s="211">
        <f t="shared" si="423"/>
        <v>-1</v>
      </c>
      <c r="AR140" s="211">
        <f t="shared" si="423"/>
        <v>-1</v>
      </c>
      <c r="AS140" s="211">
        <f t="shared" si="423"/>
        <v>-1</v>
      </c>
      <c r="AT140" s="211">
        <f t="shared" si="423"/>
        <v>-1</v>
      </c>
      <c r="AU140" s="212">
        <f t="shared" si="423"/>
        <v>0.13095013467361194</v>
      </c>
      <c r="AV140" s="211" t="e">
        <f t="shared" si="424"/>
        <v>#DIV/0!</v>
      </c>
      <c r="AW140" s="211" t="e">
        <f t="shared" si="424"/>
        <v>#DIV/0!</v>
      </c>
      <c r="AX140" s="211" t="e">
        <f t="shared" si="424"/>
        <v>#DIV/0!</v>
      </c>
      <c r="AY140" s="211" t="e">
        <f t="shared" si="424"/>
        <v>#DIV/0!</v>
      </c>
      <c r="AZ140" s="212">
        <f t="shared" si="424"/>
        <v>0.19547822921094071</v>
      </c>
      <c r="BA140" s="211" t="e">
        <f t="shared" si="424"/>
        <v>#DIV/0!</v>
      </c>
      <c r="BB140" s="211" t="e">
        <f t="shared" si="424"/>
        <v>#DIV/0!</v>
      </c>
      <c r="BC140" s="211" t="e">
        <f t="shared" si="424"/>
        <v>#DIV/0!</v>
      </c>
      <c r="BD140" s="211" t="e">
        <f t="shared" si="424"/>
        <v>#DIV/0!</v>
      </c>
      <c r="BE140" s="212">
        <f t="shared" si="424"/>
        <v>0.18697977668956933</v>
      </c>
      <c r="BF140" s="211" t="e">
        <f t="shared" si="425"/>
        <v>#DIV/0!</v>
      </c>
      <c r="BG140" s="211" t="e">
        <f t="shared" si="425"/>
        <v>#DIV/0!</v>
      </c>
      <c r="BH140" s="211" t="e">
        <f t="shared" si="425"/>
        <v>#DIV/0!</v>
      </c>
      <c r="BI140" s="211" t="e">
        <f t="shared" si="425"/>
        <v>#DIV/0!</v>
      </c>
      <c r="BJ140" s="212">
        <f t="shared" si="425"/>
        <v>0.16300747344199018</v>
      </c>
      <c r="BK140" s="211" t="e">
        <f t="shared" si="425"/>
        <v>#DIV/0!</v>
      </c>
      <c r="BL140" s="211" t="e">
        <f t="shared" si="425"/>
        <v>#DIV/0!</v>
      </c>
      <c r="BM140" s="211" t="e">
        <f t="shared" si="425"/>
        <v>#DIV/0!</v>
      </c>
      <c r="BN140" s="211" t="e">
        <f t="shared" si="425"/>
        <v>#DIV/0!</v>
      </c>
      <c r="BO140" s="212">
        <f t="shared" si="425"/>
        <v>0.15227537191900198</v>
      </c>
      <c r="BP140" s="211" t="e">
        <f t="shared" si="426"/>
        <v>#DIV/0!</v>
      </c>
      <c r="BQ140" s="211" t="e">
        <f t="shared" si="426"/>
        <v>#DIV/0!</v>
      </c>
      <c r="BR140" s="211" t="e">
        <f t="shared" si="426"/>
        <v>#DIV/0!</v>
      </c>
      <c r="BS140" s="211" t="e">
        <f t="shared" si="426"/>
        <v>#DIV/0!</v>
      </c>
      <c r="BT140" s="212">
        <f t="shared" si="426"/>
        <v>0.1548111450828118</v>
      </c>
      <c r="BU140" s="211" t="e">
        <f t="shared" si="426"/>
        <v>#DIV/0!</v>
      </c>
      <c r="BV140" s="211" t="e">
        <f t="shared" si="426"/>
        <v>#DIV/0!</v>
      </c>
      <c r="BW140" s="211" t="e">
        <f t="shared" si="426"/>
        <v>#DIV/0!</v>
      </c>
      <c r="BX140" s="211" t="e">
        <f t="shared" si="426"/>
        <v>#DIV/0!</v>
      </c>
      <c r="BY140" s="212">
        <f t="shared" si="426"/>
        <v>0.14231364921416434</v>
      </c>
      <c r="BZ140" s="211" t="e">
        <f t="shared" si="427"/>
        <v>#DIV/0!</v>
      </c>
      <c r="CA140" s="211" t="e">
        <f t="shared" si="427"/>
        <v>#DIV/0!</v>
      </c>
      <c r="CB140" s="211" t="e">
        <f t="shared" si="427"/>
        <v>#DIV/0!</v>
      </c>
      <c r="CC140" s="211" t="e">
        <f t="shared" si="427"/>
        <v>#DIV/0!</v>
      </c>
      <c r="CD140" s="212">
        <f t="shared" si="427"/>
        <v>0.11152234507551961</v>
      </c>
      <c r="CE140" s="211" t="e">
        <f t="shared" si="427"/>
        <v>#DIV/0!</v>
      </c>
      <c r="CF140" s="211" t="e">
        <f t="shared" si="427"/>
        <v>#DIV/0!</v>
      </c>
      <c r="CG140" s="211" t="e">
        <f t="shared" si="427"/>
        <v>#DIV/0!</v>
      </c>
      <c r="CH140" s="211" t="e">
        <f t="shared" si="427"/>
        <v>#DIV/0!</v>
      </c>
      <c r="CI140" s="212">
        <f t="shared" si="427"/>
        <v>8.6383455560875788E-2</v>
      </c>
      <c r="CJ140" s="211" t="e">
        <f t="shared" si="428"/>
        <v>#DIV/0!</v>
      </c>
      <c r="CK140" s="211" t="e">
        <f t="shared" si="428"/>
        <v>#DIV/0!</v>
      </c>
      <c r="CL140" s="211" t="e">
        <f t="shared" si="428"/>
        <v>#DIV/0!</v>
      </c>
      <c r="CM140" s="211" t="e">
        <f t="shared" si="428"/>
        <v>#DIV/0!</v>
      </c>
      <c r="CN140" s="212">
        <f t="shared" si="428"/>
        <v>5.7266189425231762E-2</v>
      </c>
      <c r="CO140" s="211" t="e">
        <f t="shared" si="428"/>
        <v>#DIV/0!</v>
      </c>
      <c r="CP140" s="211" t="e">
        <f t="shared" si="428"/>
        <v>#DIV/0!</v>
      </c>
      <c r="CQ140" s="211" t="e">
        <f t="shared" si="428"/>
        <v>#DIV/0!</v>
      </c>
      <c r="CR140" s="211" t="e">
        <f t="shared" si="428"/>
        <v>#DIV/0!</v>
      </c>
      <c r="CS140" s="212">
        <f t="shared" si="428"/>
        <v>5.8986457762206568E-2</v>
      </c>
      <c r="CT140" s="211" t="e">
        <f t="shared" si="429"/>
        <v>#DIV/0!</v>
      </c>
      <c r="CU140" s="211" t="e">
        <f t="shared" si="429"/>
        <v>#DIV/0!</v>
      </c>
      <c r="CV140" s="211" t="e">
        <f t="shared" si="429"/>
        <v>#DIV/0!</v>
      </c>
      <c r="CW140" s="211" t="e">
        <f t="shared" si="429"/>
        <v>#DIV/0!</v>
      </c>
      <c r="CX140" s="212">
        <f t="shared" si="429"/>
        <v>5.4465185339267252E-2</v>
      </c>
    </row>
    <row r="141" spans="2:102">
      <c r="B141" s="205" t="s">
        <v>35</v>
      </c>
      <c r="C141" s="211"/>
      <c r="D141" s="211"/>
      <c r="E141" s="211"/>
      <c r="F141" s="211"/>
      <c r="G141" s="212"/>
      <c r="H141" s="211">
        <f t="shared" ref="H141:AM141" si="430">H66/C66-1</f>
        <v>-0.23399595128264705</v>
      </c>
      <c r="I141" s="211">
        <f t="shared" si="430"/>
        <v>0.26702997275204354</v>
      </c>
      <c r="J141" s="211">
        <f t="shared" si="430"/>
        <v>-1.510885885885882E-2</v>
      </c>
      <c r="K141" s="211">
        <f t="shared" si="430"/>
        <v>0.13690943777353826</v>
      </c>
      <c r="L141" s="212">
        <f t="shared" si="430"/>
        <v>3.8824164312244003E-2</v>
      </c>
      <c r="M141" s="211">
        <f t="shared" si="430"/>
        <v>0.60960921930508594</v>
      </c>
      <c r="N141" s="211">
        <f t="shared" si="430"/>
        <v>-4.9350649350649256E-2</v>
      </c>
      <c r="O141" s="211">
        <f t="shared" si="430"/>
        <v>0.44008257900587577</v>
      </c>
      <c r="P141" s="211">
        <f t="shared" si="430"/>
        <v>0.24049945711183507</v>
      </c>
      <c r="Q141" s="212">
        <f t="shared" si="430"/>
        <v>0.27430937538198252</v>
      </c>
      <c r="R141" s="211">
        <f t="shared" si="430"/>
        <v>0.22105886469464142</v>
      </c>
      <c r="S141" s="211">
        <f t="shared" si="430"/>
        <v>0.63267524531406094</v>
      </c>
      <c r="T141" s="211">
        <f t="shared" si="430"/>
        <v>0.31799033986899272</v>
      </c>
      <c r="U141" s="211">
        <f t="shared" si="430"/>
        <v>0.47937139446986299</v>
      </c>
      <c r="V141" s="212">
        <f t="shared" si="430"/>
        <v>0.40925168762964481</v>
      </c>
      <c r="W141" s="211">
        <f t="shared" si="430"/>
        <v>0.69951064673984908</v>
      </c>
      <c r="X141" s="211">
        <f t="shared" si="430"/>
        <v>0.46842891332121717</v>
      </c>
      <c r="Y141" s="211">
        <f t="shared" si="430"/>
        <v>0.24510115631118334</v>
      </c>
      <c r="Z141" s="211">
        <f t="shared" si="430"/>
        <v>0.27070783132530107</v>
      </c>
      <c r="AA141" s="212">
        <f t="shared" si="430"/>
        <v>0.39369794015297832</v>
      </c>
      <c r="AB141" s="211">
        <f t="shared" si="430"/>
        <v>9.8469520103761532E-2</v>
      </c>
      <c r="AC141" s="211">
        <f t="shared" si="430"/>
        <v>6.4947000796519827E-2</v>
      </c>
      <c r="AD141" s="211">
        <f t="shared" si="430"/>
        <v>0.10011289412144175</v>
      </c>
      <c r="AE141" s="211">
        <f t="shared" si="430"/>
        <v>0.24823280423280414</v>
      </c>
      <c r="AF141" s="212">
        <f t="shared" si="430"/>
        <v>0.13369209214586797</v>
      </c>
      <c r="AG141" s="211">
        <f t="shared" si="430"/>
        <v>0.14555093751475923</v>
      </c>
      <c r="AH141" s="211">
        <f t="shared" si="430"/>
        <v>0.32449226166503631</v>
      </c>
      <c r="AI141" s="211">
        <f t="shared" si="430"/>
        <v>0.29169873556899395</v>
      </c>
      <c r="AJ141" s="211">
        <f t="shared" si="430"/>
        <v>0.1521049865206261</v>
      </c>
      <c r="AK141" s="212">
        <f t="shared" si="430"/>
        <v>0.22171185482351041</v>
      </c>
      <c r="AL141" s="211">
        <f t="shared" si="430"/>
        <v>0.18533483132169981</v>
      </c>
      <c r="AM141" s="211">
        <f t="shared" si="430"/>
        <v>2.4064984144911206E-2</v>
      </c>
      <c r="AN141" s="211">
        <f t="shared" ref="AN141:BS141" si="431">AN66/AI66-1</f>
        <v>0.14271814587825782</v>
      </c>
      <c r="AO141" s="211">
        <f t="shared" si="431"/>
        <v>7.0159860191317147E-2</v>
      </c>
      <c r="AP141" s="212">
        <f t="shared" si="431"/>
        <v>0.10000000000000009</v>
      </c>
      <c r="AQ141" s="211">
        <f t="shared" si="431"/>
        <v>-1</v>
      </c>
      <c r="AR141" s="211">
        <f t="shared" si="431"/>
        <v>-1</v>
      </c>
      <c r="AS141" s="211">
        <f t="shared" si="431"/>
        <v>-1</v>
      </c>
      <c r="AT141" s="211">
        <f t="shared" si="431"/>
        <v>-1</v>
      </c>
      <c r="AU141" s="212">
        <f t="shared" si="431"/>
        <v>9.000000000000008E-2</v>
      </c>
      <c r="AV141" s="211" t="e">
        <f t="shared" si="431"/>
        <v>#DIV/0!</v>
      </c>
      <c r="AW141" s="211" t="e">
        <f t="shared" si="431"/>
        <v>#DIV/0!</v>
      </c>
      <c r="AX141" s="211" t="e">
        <f t="shared" si="431"/>
        <v>#DIV/0!</v>
      </c>
      <c r="AY141" s="211" t="e">
        <f t="shared" si="431"/>
        <v>#DIV/0!</v>
      </c>
      <c r="AZ141" s="212">
        <f t="shared" si="431"/>
        <v>5.0000000000000044E-2</v>
      </c>
      <c r="BA141" s="211" t="e">
        <f t="shared" si="431"/>
        <v>#DIV/0!</v>
      </c>
      <c r="BB141" s="211" t="e">
        <f t="shared" si="431"/>
        <v>#DIV/0!</v>
      </c>
      <c r="BC141" s="211" t="e">
        <f t="shared" si="431"/>
        <v>#DIV/0!</v>
      </c>
      <c r="BD141" s="211" t="e">
        <f t="shared" si="431"/>
        <v>#DIV/0!</v>
      </c>
      <c r="BE141" s="212">
        <f t="shared" si="431"/>
        <v>5.0000000000000044E-2</v>
      </c>
      <c r="BF141" s="211" t="e">
        <f t="shared" si="431"/>
        <v>#DIV/0!</v>
      </c>
      <c r="BG141" s="211" t="e">
        <f t="shared" si="431"/>
        <v>#DIV/0!</v>
      </c>
      <c r="BH141" s="211" t="e">
        <f t="shared" si="431"/>
        <v>#DIV/0!</v>
      </c>
      <c r="BI141" s="211" t="e">
        <f t="shared" si="431"/>
        <v>#DIV/0!</v>
      </c>
      <c r="BJ141" s="212">
        <f t="shared" si="431"/>
        <v>2.4999999999999911E-2</v>
      </c>
      <c r="BK141" s="211" t="e">
        <f t="shared" si="431"/>
        <v>#DIV/0!</v>
      </c>
      <c r="BL141" s="211" t="e">
        <f t="shared" si="431"/>
        <v>#DIV/0!</v>
      </c>
      <c r="BM141" s="211" t="e">
        <f t="shared" si="431"/>
        <v>#DIV/0!</v>
      </c>
      <c r="BN141" s="211" t="e">
        <f t="shared" si="431"/>
        <v>#DIV/0!</v>
      </c>
      <c r="BO141" s="212">
        <f t="shared" si="431"/>
        <v>2.4999999999999911E-2</v>
      </c>
      <c r="BP141" s="211" t="e">
        <f t="shared" si="431"/>
        <v>#DIV/0!</v>
      </c>
      <c r="BQ141" s="211" t="e">
        <f t="shared" si="431"/>
        <v>#DIV/0!</v>
      </c>
      <c r="BR141" s="211" t="e">
        <f t="shared" si="431"/>
        <v>#DIV/0!</v>
      </c>
      <c r="BS141" s="211" t="e">
        <f t="shared" si="431"/>
        <v>#DIV/0!</v>
      </c>
      <c r="BT141" s="212">
        <f t="shared" ref="BT141:CX141" si="432">BT66/BO66-1</f>
        <v>2.4999999999999911E-2</v>
      </c>
      <c r="BU141" s="211" t="e">
        <f t="shared" si="432"/>
        <v>#DIV/0!</v>
      </c>
      <c r="BV141" s="211" t="e">
        <f t="shared" si="432"/>
        <v>#DIV/0!</v>
      </c>
      <c r="BW141" s="211" t="e">
        <f t="shared" si="432"/>
        <v>#DIV/0!</v>
      </c>
      <c r="BX141" s="211" t="e">
        <f t="shared" si="432"/>
        <v>#DIV/0!</v>
      </c>
      <c r="BY141" s="212">
        <f t="shared" si="432"/>
        <v>2.4999999999999911E-2</v>
      </c>
      <c r="BZ141" s="211" t="e">
        <f t="shared" si="432"/>
        <v>#DIV/0!</v>
      </c>
      <c r="CA141" s="211" t="e">
        <f t="shared" si="432"/>
        <v>#DIV/0!</v>
      </c>
      <c r="CB141" s="211" t="e">
        <f t="shared" si="432"/>
        <v>#DIV/0!</v>
      </c>
      <c r="CC141" s="211" t="e">
        <f t="shared" si="432"/>
        <v>#DIV/0!</v>
      </c>
      <c r="CD141" s="212">
        <f t="shared" si="432"/>
        <v>2.4999999999999911E-2</v>
      </c>
      <c r="CE141" s="211" t="e">
        <f t="shared" si="432"/>
        <v>#DIV/0!</v>
      </c>
      <c r="CF141" s="211" t="e">
        <f t="shared" si="432"/>
        <v>#DIV/0!</v>
      </c>
      <c r="CG141" s="211" t="e">
        <f t="shared" si="432"/>
        <v>#DIV/0!</v>
      </c>
      <c r="CH141" s="211" t="e">
        <f t="shared" si="432"/>
        <v>#DIV/0!</v>
      </c>
      <c r="CI141" s="212">
        <f t="shared" si="432"/>
        <v>2.4999999999999911E-2</v>
      </c>
      <c r="CJ141" s="211" t="e">
        <f t="shared" si="432"/>
        <v>#DIV/0!</v>
      </c>
      <c r="CK141" s="211" t="e">
        <f t="shared" si="432"/>
        <v>#DIV/0!</v>
      </c>
      <c r="CL141" s="211" t="e">
        <f t="shared" si="432"/>
        <v>#DIV/0!</v>
      </c>
      <c r="CM141" s="211" t="e">
        <f t="shared" si="432"/>
        <v>#DIV/0!</v>
      </c>
      <c r="CN141" s="212">
        <f t="shared" si="432"/>
        <v>2.4999999999999911E-2</v>
      </c>
      <c r="CO141" s="211" t="e">
        <f t="shared" si="432"/>
        <v>#DIV/0!</v>
      </c>
      <c r="CP141" s="211" t="e">
        <f t="shared" si="432"/>
        <v>#DIV/0!</v>
      </c>
      <c r="CQ141" s="211" t="e">
        <f t="shared" si="432"/>
        <v>#DIV/0!</v>
      </c>
      <c r="CR141" s="211" t="e">
        <f t="shared" si="432"/>
        <v>#DIV/0!</v>
      </c>
      <c r="CS141" s="212">
        <f t="shared" si="432"/>
        <v>2.4999999999999911E-2</v>
      </c>
      <c r="CT141" s="211" t="e">
        <f t="shared" si="432"/>
        <v>#DIV/0!</v>
      </c>
      <c r="CU141" s="211" t="e">
        <f t="shared" si="432"/>
        <v>#DIV/0!</v>
      </c>
      <c r="CV141" s="211" t="e">
        <f t="shared" si="432"/>
        <v>#DIV/0!</v>
      </c>
      <c r="CW141" s="211" t="e">
        <f t="shared" si="432"/>
        <v>#DIV/0!</v>
      </c>
      <c r="CX141" s="212">
        <f t="shared" si="432"/>
        <v>2.4999999999999911E-2</v>
      </c>
    </row>
    <row r="142" spans="2:102">
      <c r="B142" s="205" t="s">
        <v>34</v>
      </c>
      <c r="C142" s="211"/>
      <c r="D142" s="211"/>
      <c r="E142" s="211"/>
      <c r="F142" s="211"/>
      <c r="G142" s="212"/>
      <c r="H142" s="211">
        <f t="shared" ref="H142:AM142" si="433">H53/C53-1</f>
        <v>0.67232663328737652</v>
      </c>
      <c r="I142" s="211">
        <f t="shared" si="433"/>
        <v>0.47988135419862932</v>
      </c>
      <c r="J142" s="211">
        <f t="shared" si="433"/>
        <v>0.12810626325984686</v>
      </c>
      <c r="K142" s="211">
        <f t="shared" si="433"/>
        <v>0.47311286441721223</v>
      </c>
      <c r="L142" s="212">
        <f t="shared" si="433"/>
        <v>0.42194237702352</v>
      </c>
      <c r="M142" s="211">
        <f t="shared" si="433"/>
        <v>0.13422236364425277</v>
      </c>
      <c r="N142" s="211">
        <f t="shared" si="433"/>
        <v>9.5875262634081748E-2</v>
      </c>
      <c r="O142" s="211">
        <f t="shared" si="433"/>
        <v>0.32378289097123414</v>
      </c>
      <c r="P142" s="211">
        <f t="shared" si="433"/>
        <v>0.11891919268657114</v>
      </c>
      <c r="Q142" s="212">
        <f t="shared" si="433"/>
        <v>0.16124072298568937</v>
      </c>
      <c r="R142" s="211">
        <f t="shared" si="433"/>
        <v>8.5846542292046468E-2</v>
      </c>
      <c r="S142" s="211">
        <f t="shared" si="433"/>
        <v>0.21982845610494439</v>
      </c>
      <c r="T142" s="211">
        <f t="shared" si="433"/>
        <v>0.3972797351386077</v>
      </c>
      <c r="U142" s="211">
        <f t="shared" si="433"/>
        <v>0.41867149485119382</v>
      </c>
      <c r="V142" s="212">
        <f t="shared" si="433"/>
        <v>0.28535825354645183</v>
      </c>
      <c r="W142" s="211">
        <f t="shared" si="433"/>
        <v>0.50908386278493478</v>
      </c>
      <c r="X142" s="211">
        <f t="shared" si="433"/>
        <v>0.36013566612896564</v>
      </c>
      <c r="Y142" s="211">
        <f t="shared" si="433"/>
        <v>0.16811514760359647</v>
      </c>
      <c r="Z142" s="211">
        <f t="shared" si="433"/>
        <v>0.2004658286005998</v>
      </c>
      <c r="AA142" s="212">
        <f t="shared" si="433"/>
        <v>0.29101619188550032</v>
      </c>
      <c r="AB142" s="211">
        <f t="shared" si="433"/>
        <v>7.1540856031128808E-2</v>
      </c>
      <c r="AC142" s="211">
        <f t="shared" si="433"/>
        <v>2.3947816567327695E-2</v>
      </c>
      <c r="AD142" s="211">
        <f t="shared" si="433"/>
        <v>-6.0451703728372497E-2</v>
      </c>
      <c r="AE142" s="211">
        <f t="shared" si="433"/>
        <v>1.1574750830564806E-2</v>
      </c>
      <c r="AF142" s="212">
        <f t="shared" si="433"/>
        <v>1.1237280202263777E-2</v>
      </c>
      <c r="AG142" s="211">
        <f t="shared" si="433"/>
        <v>-7.763648115735744E-2</v>
      </c>
      <c r="AH142" s="211">
        <f t="shared" si="433"/>
        <v>-9.2414950328913337E-2</v>
      </c>
      <c r="AI142" s="211">
        <f t="shared" si="433"/>
        <v>6.902162967736758E-2</v>
      </c>
      <c r="AJ142" s="211">
        <f t="shared" si="433"/>
        <v>-3.1752078926971405E-2</v>
      </c>
      <c r="AK142" s="212">
        <f t="shared" si="433"/>
        <v>-3.5358155537251523E-2</v>
      </c>
      <c r="AL142" s="211">
        <f t="shared" si="433"/>
        <v>0.10233616528743417</v>
      </c>
      <c r="AM142" s="211">
        <f t="shared" si="433"/>
        <v>0.20256219373522377</v>
      </c>
      <c r="AN142" s="211">
        <f t="shared" ref="AN142:BS142" si="434">AN53/AI53-1</f>
        <v>0.16312366713638715</v>
      </c>
      <c r="AO142" s="211">
        <f t="shared" si="434"/>
        <v>0.13566393954195033</v>
      </c>
      <c r="AP142" s="212">
        <f t="shared" si="434"/>
        <v>0.14999999999999991</v>
      </c>
      <c r="AQ142" s="211">
        <f t="shared" si="434"/>
        <v>-1</v>
      </c>
      <c r="AR142" s="211">
        <f t="shared" si="434"/>
        <v>-1</v>
      </c>
      <c r="AS142" s="211">
        <f t="shared" si="434"/>
        <v>-1</v>
      </c>
      <c r="AT142" s="211">
        <f t="shared" si="434"/>
        <v>-1</v>
      </c>
      <c r="AU142" s="212">
        <f t="shared" si="434"/>
        <v>7.4999999999999956E-2</v>
      </c>
      <c r="AV142" s="211" t="e">
        <f t="shared" si="434"/>
        <v>#DIV/0!</v>
      </c>
      <c r="AW142" s="211" t="e">
        <f t="shared" si="434"/>
        <v>#DIV/0!</v>
      </c>
      <c r="AX142" s="211" t="e">
        <f t="shared" si="434"/>
        <v>#DIV/0!</v>
      </c>
      <c r="AY142" s="211" t="e">
        <f t="shared" si="434"/>
        <v>#DIV/0!</v>
      </c>
      <c r="AZ142" s="212">
        <f t="shared" si="434"/>
        <v>5.0000000000000044E-2</v>
      </c>
      <c r="BA142" s="211" t="e">
        <f t="shared" si="434"/>
        <v>#DIV/0!</v>
      </c>
      <c r="BB142" s="211" t="e">
        <f t="shared" si="434"/>
        <v>#DIV/0!</v>
      </c>
      <c r="BC142" s="211" t="e">
        <f t="shared" si="434"/>
        <v>#DIV/0!</v>
      </c>
      <c r="BD142" s="211" t="e">
        <f t="shared" si="434"/>
        <v>#DIV/0!</v>
      </c>
      <c r="BE142" s="212">
        <f t="shared" si="434"/>
        <v>2.4999999999999911E-2</v>
      </c>
      <c r="BF142" s="211" t="e">
        <f t="shared" si="434"/>
        <v>#DIV/0!</v>
      </c>
      <c r="BG142" s="211" t="e">
        <f t="shared" si="434"/>
        <v>#DIV/0!</v>
      </c>
      <c r="BH142" s="211" t="e">
        <f t="shared" si="434"/>
        <v>#DIV/0!</v>
      </c>
      <c r="BI142" s="211" t="e">
        <f t="shared" si="434"/>
        <v>#DIV/0!</v>
      </c>
      <c r="BJ142" s="212">
        <f t="shared" si="434"/>
        <v>2.4999999999999911E-2</v>
      </c>
      <c r="BK142" s="211" t="e">
        <f t="shared" si="434"/>
        <v>#DIV/0!</v>
      </c>
      <c r="BL142" s="211" t="e">
        <f t="shared" si="434"/>
        <v>#DIV/0!</v>
      </c>
      <c r="BM142" s="211" t="e">
        <f t="shared" si="434"/>
        <v>#DIV/0!</v>
      </c>
      <c r="BN142" s="211" t="e">
        <f t="shared" si="434"/>
        <v>#DIV/0!</v>
      </c>
      <c r="BO142" s="212">
        <f t="shared" si="434"/>
        <v>2.4999999999999911E-2</v>
      </c>
      <c r="BP142" s="211" t="e">
        <f t="shared" si="434"/>
        <v>#DIV/0!</v>
      </c>
      <c r="BQ142" s="211" t="e">
        <f t="shared" si="434"/>
        <v>#DIV/0!</v>
      </c>
      <c r="BR142" s="211" t="e">
        <f t="shared" si="434"/>
        <v>#DIV/0!</v>
      </c>
      <c r="BS142" s="211" t="e">
        <f t="shared" si="434"/>
        <v>#DIV/0!</v>
      </c>
      <c r="BT142" s="212">
        <f t="shared" ref="BT142:CX142" si="435">BT53/BO53-1</f>
        <v>1.4999999999999902E-2</v>
      </c>
      <c r="BU142" s="211" t="e">
        <f t="shared" si="435"/>
        <v>#DIV/0!</v>
      </c>
      <c r="BV142" s="211" t="e">
        <f t="shared" si="435"/>
        <v>#DIV/0!</v>
      </c>
      <c r="BW142" s="211" t="e">
        <f t="shared" si="435"/>
        <v>#DIV/0!</v>
      </c>
      <c r="BX142" s="211" t="e">
        <f t="shared" si="435"/>
        <v>#DIV/0!</v>
      </c>
      <c r="BY142" s="212">
        <f t="shared" si="435"/>
        <v>1.4999999999999902E-2</v>
      </c>
      <c r="BZ142" s="211" t="e">
        <f t="shared" si="435"/>
        <v>#DIV/0!</v>
      </c>
      <c r="CA142" s="211" t="e">
        <f t="shared" si="435"/>
        <v>#DIV/0!</v>
      </c>
      <c r="CB142" s="211" t="e">
        <f t="shared" si="435"/>
        <v>#DIV/0!</v>
      </c>
      <c r="CC142" s="211" t="e">
        <f t="shared" si="435"/>
        <v>#DIV/0!</v>
      </c>
      <c r="CD142" s="212">
        <f t="shared" si="435"/>
        <v>1.4999999999999902E-2</v>
      </c>
      <c r="CE142" s="211" t="e">
        <f t="shared" si="435"/>
        <v>#DIV/0!</v>
      </c>
      <c r="CF142" s="211" t="e">
        <f t="shared" si="435"/>
        <v>#DIV/0!</v>
      </c>
      <c r="CG142" s="211" t="e">
        <f t="shared" si="435"/>
        <v>#DIV/0!</v>
      </c>
      <c r="CH142" s="211" t="e">
        <f t="shared" si="435"/>
        <v>#DIV/0!</v>
      </c>
      <c r="CI142" s="212">
        <f t="shared" si="435"/>
        <v>1.4999999999999902E-2</v>
      </c>
      <c r="CJ142" s="211" t="e">
        <f t="shared" si="435"/>
        <v>#DIV/0!</v>
      </c>
      <c r="CK142" s="211" t="e">
        <f t="shared" si="435"/>
        <v>#DIV/0!</v>
      </c>
      <c r="CL142" s="211" t="e">
        <f t="shared" si="435"/>
        <v>#DIV/0!</v>
      </c>
      <c r="CM142" s="211" t="e">
        <f t="shared" si="435"/>
        <v>#DIV/0!</v>
      </c>
      <c r="CN142" s="212">
        <f t="shared" si="435"/>
        <v>1.4999999999999902E-2</v>
      </c>
      <c r="CO142" s="211" t="e">
        <f t="shared" si="435"/>
        <v>#DIV/0!</v>
      </c>
      <c r="CP142" s="211" t="e">
        <f t="shared" si="435"/>
        <v>#DIV/0!</v>
      </c>
      <c r="CQ142" s="211" t="e">
        <f t="shared" si="435"/>
        <v>#DIV/0!</v>
      </c>
      <c r="CR142" s="211" t="e">
        <f t="shared" si="435"/>
        <v>#DIV/0!</v>
      </c>
      <c r="CS142" s="212">
        <f t="shared" si="435"/>
        <v>1.4999999999999902E-2</v>
      </c>
      <c r="CT142" s="211" t="e">
        <f t="shared" si="435"/>
        <v>#DIV/0!</v>
      </c>
      <c r="CU142" s="211" t="e">
        <f t="shared" si="435"/>
        <v>#DIV/0!</v>
      </c>
      <c r="CV142" s="211" t="e">
        <f t="shared" si="435"/>
        <v>#DIV/0!</v>
      </c>
      <c r="CW142" s="211" t="e">
        <f t="shared" si="435"/>
        <v>#DIV/0!</v>
      </c>
      <c r="CX142" s="212">
        <f t="shared" si="435"/>
        <v>1.4999999999999902E-2</v>
      </c>
    </row>
    <row r="143" spans="2:102">
      <c r="B143" s="205" t="s">
        <v>37</v>
      </c>
      <c r="C143" s="211"/>
      <c r="D143" s="211"/>
      <c r="E143" s="211"/>
      <c r="F143" s="211"/>
      <c r="G143" s="212"/>
      <c r="H143" s="211">
        <f t="shared" ref="H143:AM143" si="436">H69/C69-1</f>
        <v>-0.96241701361539356</v>
      </c>
      <c r="I143" s="211">
        <f t="shared" si="436"/>
        <v>-1.4951629502572885</v>
      </c>
      <c r="J143" s="211">
        <f t="shared" si="436"/>
        <v>1.1407281644972596</v>
      </c>
      <c r="K143" s="211">
        <f t="shared" si="436"/>
        <v>4.587701196863363</v>
      </c>
      <c r="L143" s="212">
        <f t="shared" si="436"/>
        <v>-1.2481051466204891</v>
      </c>
      <c r="M143" s="211">
        <f t="shared" si="436"/>
        <v>-12.760479041916266</v>
      </c>
      <c r="N143" s="211">
        <f t="shared" si="436"/>
        <v>-1.0383815990023566</v>
      </c>
      <c r="O143" s="211">
        <f t="shared" si="436"/>
        <v>-2.4821113852661281</v>
      </c>
      <c r="P143" s="211">
        <f t="shared" si="436"/>
        <v>0.18088485117069109</v>
      </c>
      <c r="Q143" s="212">
        <f t="shared" si="436"/>
        <v>3.620823798627006</v>
      </c>
      <c r="R143" s="211">
        <f t="shared" si="436"/>
        <v>-0.80244399185336102</v>
      </c>
      <c r="S143" s="211">
        <f t="shared" si="436"/>
        <v>41.72924187725534</v>
      </c>
      <c r="T143" s="211">
        <f t="shared" si="436"/>
        <v>0.3768357215054412</v>
      </c>
      <c r="U143" s="211">
        <f t="shared" si="436"/>
        <v>-0.28796597448086059</v>
      </c>
      <c r="V143" s="212">
        <f t="shared" si="436"/>
        <v>-0.39937106918239007</v>
      </c>
      <c r="W143" s="211">
        <f t="shared" si="436"/>
        <v>19.862113402061905</v>
      </c>
      <c r="X143" s="211">
        <f t="shared" si="436"/>
        <v>-0.94626563028050048</v>
      </c>
      <c r="Y143" s="211">
        <f t="shared" si="436"/>
        <v>0.34551107656432345</v>
      </c>
      <c r="Z143" s="211">
        <f t="shared" si="436"/>
        <v>4.4996486296556641</v>
      </c>
      <c r="AA143" s="212">
        <f t="shared" si="436"/>
        <v>4.1740940759368437</v>
      </c>
      <c r="AB143" s="211">
        <f t="shared" si="436"/>
        <v>-0.1584718018407536</v>
      </c>
      <c r="AC143" s="211">
        <f t="shared" si="436"/>
        <v>44.930817610063102</v>
      </c>
      <c r="AD143" s="211">
        <f t="shared" si="436"/>
        <v>-1.8107067205854026</v>
      </c>
      <c r="AE143" s="211">
        <f t="shared" si="436"/>
        <v>-0.5007666751852794</v>
      </c>
      <c r="AF143" s="212">
        <f t="shared" si="436"/>
        <v>-0.96788252541670716</v>
      </c>
      <c r="AG143" s="211">
        <f t="shared" si="436"/>
        <v>-2.164054758322016</v>
      </c>
      <c r="AH143" s="211">
        <f t="shared" si="436"/>
        <v>-9.9719293441051904E-2</v>
      </c>
      <c r="AI143" s="211">
        <f t="shared" si="436"/>
        <v>-0.69180522565320757</v>
      </c>
      <c r="AJ143" s="211">
        <f t="shared" si="436"/>
        <v>-1.0574929613514221</v>
      </c>
      <c r="AK143" s="212">
        <f t="shared" si="436"/>
        <v>-17.763086082858162</v>
      </c>
      <c r="AL143" s="211">
        <f t="shared" si="436"/>
        <v>-0.12757107223661046</v>
      </c>
      <c r="AM143" s="211">
        <f t="shared" si="436"/>
        <v>0.25569661414215661</v>
      </c>
      <c r="AN143" s="211">
        <f t="shared" ref="AN143:BS143" si="437">AN69/AI69-1</f>
        <v>-7.8703269918297902E-2</v>
      </c>
      <c r="AO143" s="211">
        <f t="shared" si="437"/>
        <v>17.616966916774459</v>
      </c>
      <c r="AP143" s="212">
        <f t="shared" si="437"/>
        <v>0.49945803217792961</v>
      </c>
      <c r="AQ143" s="211">
        <f t="shared" si="437"/>
        <v>-1</v>
      </c>
      <c r="AR143" s="211">
        <f t="shared" si="437"/>
        <v>-1</v>
      </c>
      <c r="AS143" s="211">
        <f t="shared" si="437"/>
        <v>-1</v>
      </c>
      <c r="AT143" s="211">
        <f t="shared" si="437"/>
        <v>-1</v>
      </c>
      <c r="AU143" s="212">
        <f t="shared" si="437"/>
        <v>0.66883744553173075</v>
      </c>
      <c r="AV143" s="211" t="e">
        <f t="shared" si="437"/>
        <v>#DIV/0!</v>
      </c>
      <c r="AW143" s="211" t="e">
        <f t="shared" si="437"/>
        <v>#DIV/0!</v>
      </c>
      <c r="AX143" s="211" t="e">
        <f t="shared" si="437"/>
        <v>#DIV/0!</v>
      </c>
      <c r="AY143" s="211" t="e">
        <f t="shared" si="437"/>
        <v>#DIV/0!</v>
      </c>
      <c r="AZ143" s="212">
        <f t="shared" si="437"/>
        <v>1.2265968560457914</v>
      </c>
      <c r="BA143" s="211" t="e">
        <f t="shared" si="437"/>
        <v>#DIV/0!</v>
      </c>
      <c r="BB143" s="211" t="e">
        <f t="shared" si="437"/>
        <v>#DIV/0!</v>
      </c>
      <c r="BC143" s="211" t="e">
        <f t="shared" si="437"/>
        <v>#DIV/0!</v>
      </c>
      <c r="BD143" s="211" t="e">
        <f t="shared" si="437"/>
        <v>#DIV/0!</v>
      </c>
      <c r="BE143" s="212">
        <f t="shared" si="437"/>
        <v>0.69044813663807902</v>
      </c>
      <c r="BF143" s="211" t="e">
        <f t="shared" si="437"/>
        <v>#DIV/0!</v>
      </c>
      <c r="BG143" s="211" t="e">
        <f t="shared" si="437"/>
        <v>#DIV/0!</v>
      </c>
      <c r="BH143" s="211" t="e">
        <f t="shared" si="437"/>
        <v>#DIV/0!</v>
      </c>
      <c r="BI143" s="211" t="e">
        <f t="shared" si="437"/>
        <v>#DIV/0!</v>
      </c>
      <c r="BJ143" s="212">
        <f t="shared" si="437"/>
        <v>0.44579815925101718</v>
      </c>
      <c r="BK143" s="211" t="e">
        <f t="shared" si="437"/>
        <v>#DIV/0!</v>
      </c>
      <c r="BL143" s="211" t="e">
        <f t="shared" si="437"/>
        <v>#DIV/0!</v>
      </c>
      <c r="BM143" s="211" t="e">
        <f t="shared" si="437"/>
        <v>#DIV/0!</v>
      </c>
      <c r="BN143" s="211" t="e">
        <f t="shared" si="437"/>
        <v>#DIV/0!</v>
      </c>
      <c r="BO143" s="212">
        <f t="shared" si="437"/>
        <v>0.33716947860968238</v>
      </c>
      <c r="BP143" s="211" t="e">
        <f t="shared" si="437"/>
        <v>#DIV/0!</v>
      </c>
      <c r="BQ143" s="211" t="e">
        <f t="shared" si="437"/>
        <v>#DIV/0!</v>
      </c>
      <c r="BR143" s="211" t="e">
        <f t="shared" si="437"/>
        <v>#DIV/0!</v>
      </c>
      <c r="BS143" s="211" t="e">
        <f t="shared" si="437"/>
        <v>#DIV/0!</v>
      </c>
      <c r="BT143" s="212">
        <f t="shared" ref="BT143:CX143" si="438">BT69/BO69-1</f>
        <v>0.30537842093188083</v>
      </c>
      <c r="BU143" s="211" t="e">
        <f t="shared" si="438"/>
        <v>#DIV/0!</v>
      </c>
      <c r="BV143" s="211" t="e">
        <f t="shared" si="438"/>
        <v>#DIV/0!</v>
      </c>
      <c r="BW143" s="211" t="e">
        <f t="shared" si="438"/>
        <v>#DIV/0!</v>
      </c>
      <c r="BX143" s="211" t="e">
        <f t="shared" si="438"/>
        <v>#DIV/0!</v>
      </c>
      <c r="BY143" s="212">
        <f t="shared" si="438"/>
        <v>0.24902683418138549</v>
      </c>
      <c r="BZ143" s="211" t="e">
        <f t="shared" si="438"/>
        <v>#DIV/0!</v>
      </c>
      <c r="CA143" s="211" t="e">
        <f t="shared" si="438"/>
        <v>#DIV/0!</v>
      </c>
      <c r="CB143" s="211" t="e">
        <f t="shared" si="438"/>
        <v>#DIV/0!</v>
      </c>
      <c r="CC143" s="211" t="e">
        <f t="shared" si="438"/>
        <v>#DIV/0!</v>
      </c>
      <c r="CD143" s="212">
        <f t="shared" si="438"/>
        <v>0.17675590744123082</v>
      </c>
      <c r="CE143" s="211" t="e">
        <f t="shared" si="438"/>
        <v>#DIV/0!</v>
      </c>
      <c r="CF143" s="211" t="e">
        <f t="shared" si="438"/>
        <v>#DIV/0!</v>
      </c>
      <c r="CG143" s="211" t="e">
        <f t="shared" si="438"/>
        <v>#DIV/0!</v>
      </c>
      <c r="CH143" s="211" t="e">
        <f t="shared" si="438"/>
        <v>#DIV/0!</v>
      </c>
      <c r="CI143" s="212">
        <f t="shared" si="438"/>
        <v>0.12742638909774873</v>
      </c>
      <c r="CJ143" s="211" t="e">
        <f t="shared" si="438"/>
        <v>#DIV/0!</v>
      </c>
      <c r="CK143" s="211" t="e">
        <f t="shared" si="438"/>
        <v>#DIV/0!</v>
      </c>
      <c r="CL143" s="211" t="e">
        <f t="shared" si="438"/>
        <v>#DIV/0!</v>
      </c>
      <c r="CM143" s="211" t="e">
        <f t="shared" si="438"/>
        <v>#DIV/0!</v>
      </c>
      <c r="CN143" s="212">
        <f t="shared" si="438"/>
        <v>7.8171012800084538E-2</v>
      </c>
      <c r="CO143" s="211" t="e">
        <f t="shared" si="438"/>
        <v>#DIV/0!</v>
      </c>
      <c r="CP143" s="211" t="e">
        <f t="shared" si="438"/>
        <v>#DIV/0!</v>
      </c>
      <c r="CQ143" s="211" t="e">
        <f t="shared" si="438"/>
        <v>#DIV/0!</v>
      </c>
      <c r="CR143" s="211" t="e">
        <f t="shared" si="438"/>
        <v>#DIV/0!</v>
      </c>
      <c r="CS143" s="212">
        <f t="shared" si="438"/>
        <v>7.9649965357532659E-2</v>
      </c>
      <c r="CT143" s="211" t="e">
        <f t="shared" si="438"/>
        <v>#DIV/0!</v>
      </c>
      <c r="CU143" s="211" t="e">
        <f t="shared" si="438"/>
        <v>#DIV/0!</v>
      </c>
      <c r="CV143" s="211" t="e">
        <f t="shared" si="438"/>
        <v>#DIV/0!</v>
      </c>
      <c r="CW143" s="211" t="e">
        <f t="shared" si="438"/>
        <v>#DIV/0!</v>
      </c>
      <c r="CX143" s="212">
        <f t="shared" si="438"/>
        <v>7.1722289867296229E-2</v>
      </c>
    </row>
    <row r="144" spans="2:102">
      <c r="B144" s="205" t="s">
        <v>38</v>
      </c>
      <c r="C144" s="211"/>
      <c r="D144" s="211"/>
      <c r="E144" s="211"/>
      <c r="F144" s="211"/>
      <c r="G144" s="212"/>
      <c r="H144" s="211">
        <f t="shared" ref="H144:AM144" si="439">H74/C74-1</f>
        <v>-1.0038300835654599</v>
      </c>
      <c r="I144" s="211">
        <f t="shared" si="439"/>
        <v>-1.524230658613746</v>
      </c>
      <c r="J144" s="211">
        <f t="shared" si="439"/>
        <v>1.5145631067961096</v>
      </c>
      <c r="K144" s="211">
        <f t="shared" si="439"/>
        <v>4.4457662701189395</v>
      </c>
      <c r="L144" s="212">
        <f t="shared" si="439"/>
        <v>-1.3602457888783579</v>
      </c>
      <c r="M144" s="211">
        <f t="shared" si="439"/>
        <v>120.65151515150392</v>
      </c>
      <c r="N144" s="211">
        <f t="shared" si="439"/>
        <v>-0.99876560142641702</v>
      </c>
      <c r="O144" s="211">
        <f t="shared" si="439"/>
        <v>-2.5019305019305031</v>
      </c>
      <c r="P144" s="211">
        <f t="shared" si="439"/>
        <v>1.4392187098431375E-2</v>
      </c>
      <c r="Q144" s="212">
        <f t="shared" si="439"/>
        <v>2.441361167684998</v>
      </c>
      <c r="R144" s="211">
        <f t="shared" si="439"/>
        <v>-0.7836592352721391</v>
      </c>
      <c r="S144" s="211">
        <f t="shared" si="439"/>
        <v>-1165.0000000008806</v>
      </c>
      <c r="T144" s="211">
        <f t="shared" si="439"/>
        <v>0.40228373288695063</v>
      </c>
      <c r="U144" s="211">
        <f t="shared" si="439"/>
        <v>-0.31517608310108924</v>
      </c>
      <c r="V144" s="212">
        <f t="shared" si="439"/>
        <v>-0.37047813971839338</v>
      </c>
      <c r="W144" s="211">
        <f t="shared" si="439"/>
        <v>17.640184225676496</v>
      </c>
      <c r="X144" s="211">
        <f t="shared" si="439"/>
        <v>-0.6029018709431091</v>
      </c>
      <c r="Y144" s="211">
        <f t="shared" si="439"/>
        <v>0.3482690995907245</v>
      </c>
      <c r="Z144" s="211">
        <f t="shared" si="439"/>
        <v>4.8342582315945322</v>
      </c>
      <c r="AA144" s="212">
        <f t="shared" si="439"/>
        <v>3.8150338830349808</v>
      </c>
      <c r="AB144" s="211">
        <f t="shared" si="439"/>
        <v>-0.16041756748409186</v>
      </c>
      <c r="AC144" s="211">
        <f t="shared" si="439"/>
        <v>5.6490384615384688</v>
      </c>
      <c r="AD144" s="211">
        <f t="shared" si="439"/>
        <v>-1.8499288537549399</v>
      </c>
      <c r="AE144" s="211">
        <f t="shared" si="439"/>
        <v>-0.57205136334812901</v>
      </c>
      <c r="AF144" s="212">
        <f t="shared" si="439"/>
        <v>-1.0029286626587381</v>
      </c>
      <c r="AG144" s="211">
        <f t="shared" si="439"/>
        <v>-2.2752354326074142</v>
      </c>
      <c r="AH144" s="211">
        <f t="shared" si="439"/>
        <v>-3.9587852494577191E-2</v>
      </c>
      <c r="AI144" s="211">
        <f t="shared" si="439"/>
        <v>-0.70984783660106487</v>
      </c>
      <c r="AJ144" s="211">
        <f t="shared" si="439"/>
        <v>-1.1907019818484923</v>
      </c>
      <c r="AK144" s="212">
        <f t="shared" si="439"/>
        <v>204.97777777773103</v>
      </c>
      <c r="AL144" s="211">
        <f t="shared" si="439"/>
        <v>-0.21109795471437631</v>
      </c>
      <c r="AM144" s="211">
        <f t="shared" si="439"/>
        <v>0.23097365915018164</v>
      </c>
      <c r="AN144" s="211">
        <f t="shared" ref="AN144:BS144" si="440">AN74/AI74-1</f>
        <v>-0.12174060216873317</v>
      </c>
      <c r="AO144" s="211">
        <f t="shared" si="440"/>
        <v>5.4358856933652593</v>
      </c>
      <c r="AP144" s="212">
        <f t="shared" si="440"/>
        <v>0.34899096653262274</v>
      </c>
      <c r="AQ144" s="211">
        <f t="shared" si="440"/>
        <v>-1</v>
      </c>
      <c r="AR144" s="211">
        <f t="shared" si="440"/>
        <v>-1</v>
      </c>
      <c r="AS144" s="211">
        <f t="shared" si="440"/>
        <v>-1</v>
      </c>
      <c r="AT144" s="211">
        <f t="shared" si="440"/>
        <v>-1</v>
      </c>
      <c r="AU144" s="212">
        <f t="shared" si="440"/>
        <v>0.67746951469060002</v>
      </c>
      <c r="AV144" s="211" t="e">
        <f t="shared" si="440"/>
        <v>#DIV/0!</v>
      </c>
      <c r="AW144" s="211" t="e">
        <f t="shared" si="440"/>
        <v>#DIV/0!</v>
      </c>
      <c r="AX144" s="211" t="e">
        <f t="shared" si="440"/>
        <v>#DIV/0!</v>
      </c>
      <c r="AY144" s="211" t="e">
        <f t="shared" si="440"/>
        <v>#DIV/0!</v>
      </c>
      <c r="AZ144" s="212">
        <f t="shared" si="440"/>
        <v>1.2360340209198464</v>
      </c>
      <c r="BA144" s="211" t="e">
        <f t="shared" si="440"/>
        <v>#DIV/0!</v>
      </c>
      <c r="BB144" s="211" t="e">
        <f t="shared" si="440"/>
        <v>#DIV/0!</v>
      </c>
      <c r="BC144" s="211" t="e">
        <f t="shared" si="440"/>
        <v>#DIV/0!</v>
      </c>
      <c r="BD144" s="211" t="e">
        <f t="shared" si="440"/>
        <v>#DIV/0!</v>
      </c>
      <c r="BE144" s="212">
        <f t="shared" si="440"/>
        <v>0.69282384075486392</v>
      </c>
      <c r="BF144" s="211" t="e">
        <f t="shared" si="440"/>
        <v>#DIV/0!</v>
      </c>
      <c r="BG144" s="211" t="e">
        <f t="shared" si="440"/>
        <v>#DIV/0!</v>
      </c>
      <c r="BH144" s="211" t="e">
        <f t="shared" si="440"/>
        <v>#DIV/0!</v>
      </c>
      <c r="BI144" s="211" t="e">
        <f t="shared" si="440"/>
        <v>#DIV/0!</v>
      </c>
      <c r="BJ144" s="212">
        <f t="shared" si="440"/>
        <v>0.44670428358285763</v>
      </c>
      <c r="BK144" s="211" t="e">
        <f t="shared" si="440"/>
        <v>#DIV/0!</v>
      </c>
      <c r="BL144" s="211" t="e">
        <f t="shared" si="440"/>
        <v>#DIV/0!</v>
      </c>
      <c r="BM144" s="211" t="e">
        <f t="shared" si="440"/>
        <v>#DIV/0!</v>
      </c>
      <c r="BN144" s="211" t="e">
        <f t="shared" si="440"/>
        <v>#DIV/0!</v>
      </c>
      <c r="BO144" s="212">
        <f t="shared" si="440"/>
        <v>0.33764319456070924</v>
      </c>
      <c r="BP144" s="211" t="e">
        <f t="shared" si="440"/>
        <v>#DIV/0!</v>
      </c>
      <c r="BQ144" s="211" t="e">
        <f t="shared" si="440"/>
        <v>#DIV/0!</v>
      </c>
      <c r="BR144" s="211" t="e">
        <f t="shared" si="440"/>
        <v>#DIV/0!</v>
      </c>
      <c r="BS144" s="211" t="e">
        <f t="shared" si="440"/>
        <v>#DIV/0!</v>
      </c>
      <c r="BT144" s="212">
        <f t="shared" ref="BT144:CX144" si="441">BT74/BO74-1</f>
        <v>0.30569917178116701</v>
      </c>
      <c r="BU144" s="211" t="e">
        <f t="shared" si="441"/>
        <v>#DIV/0!</v>
      </c>
      <c r="BV144" s="211" t="e">
        <f t="shared" si="441"/>
        <v>#DIV/0!</v>
      </c>
      <c r="BW144" s="211" t="e">
        <f t="shared" si="441"/>
        <v>#DIV/0!</v>
      </c>
      <c r="BX144" s="211" t="e">
        <f t="shared" si="441"/>
        <v>#DIV/0!</v>
      </c>
      <c r="BY144" s="212">
        <f t="shared" si="441"/>
        <v>0.24922715795320927</v>
      </c>
      <c r="BZ144" s="211" t="e">
        <f t="shared" si="441"/>
        <v>#DIV/0!</v>
      </c>
      <c r="CA144" s="211" t="e">
        <f t="shared" si="441"/>
        <v>#DIV/0!</v>
      </c>
      <c r="CB144" s="211" t="e">
        <f t="shared" si="441"/>
        <v>#DIV/0!</v>
      </c>
      <c r="CC144" s="211" t="e">
        <f t="shared" si="441"/>
        <v>#DIV/0!</v>
      </c>
      <c r="CD144" s="212">
        <f t="shared" si="441"/>
        <v>0.17686972751469354</v>
      </c>
      <c r="CE144" s="211" t="e">
        <f t="shared" si="441"/>
        <v>#DIV/0!</v>
      </c>
      <c r="CF144" s="211" t="e">
        <f t="shared" si="441"/>
        <v>#DIV/0!</v>
      </c>
      <c r="CG144" s="211" t="e">
        <f t="shared" si="441"/>
        <v>#DIV/0!</v>
      </c>
      <c r="CH144" s="211" t="e">
        <f t="shared" si="441"/>
        <v>#DIV/0!</v>
      </c>
      <c r="CI144" s="212">
        <f t="shared" si="441"/>
        <v>0.12749611207264389</v>
      </c>
      <c r="CJ144" s="211" t="e">
        <f t="shared" si="441"/>
        <v>#DIV/0!</v>
      </c>
      <c r="CK144" s="211" t="e">
        <f t="shared" si="441"/>
        <v>#DIV/0!</v>
      </c>
      <c r="CL144" s="211" t="e">
        <f t="shared" si="441"/>
        <v>#DIV/0!</v>
      </c>
      <c r="CM144" s="211" t="e">
        <f t="shared" si="441"/>
        <v>#DIV/0!</v>
      </c>
      <c r="CN144" s="212">
        <f t="shared" si="441"/>
        <v>7.8208948422871627E-2</v>
      </c>
      <c r="CO144" s="211" t="e">
        <f t="shared" si="441"/>
        <v>#DIV/0!</v>
      </c>
      <c r="CP144" s="211" t="e">
        <f t="shared" si="441"/>
        <v>#DIV/0!</v>
      </c>
      <c r="CQ144" s="211" t="e">
        <f t="shared" si="441"/>
        <v>#DIV/0!</v>
      </c>
      <c r="CR144" s="211" t="e">
        <f t="shared" si="441"/>
        <v>#DIV/0!</v>
      </c>
      <c r="CS144" s="212">
        <f t="shared" si="441"/>
        <v>7.9685814943048605E-2</v>
      </c>
      <c r="CT144" s="211" t="e">
        <f t="shared" si="441"/>
        <v>#DIV/0!</v>
      </c>
      <c r="CU144" s="211" t="e">
        <f t="shared" si="441"/>
        <v>#DIV/0!</v>
      </c>
      <c r="CV144" s="211" t="e">
        <f t="shared" si="441"/>
        <v>#DIV/0!</v>
      </c>
      <c r="CW144" s="211" t="e">
        <f t="shared" si="441"/>
        <v>#DIV/0!</v>
      </c>
      <c r="CX144" s="212">
        <f t="shared" si="441"/>
        <v>7.1752188773362535E-2</v>
      </c>
    </row>
    <row r="145" spans="2:102">
      <c r="B145" s="205" t="s">
        <v>85</v>
      </c>
      <c r="C145" s="211"/>
      <c r="D145" s="211"/>
      <c r="E145" s="211"/>
      <c r="F145" s="211"/>
      <c r="G145" s="212"/>
      <c r="H145" s="211">
        <f t="shared" ref="H145:AM145" si="442">H77/C77-1</f>
        <v>-1.0038300835654599</v>
      </c>
      <c r="I145" s="211">
        <f t="shared" si="442"/>
        <v>-1.524230658613746</v>
      </c>
      <c r="J145" s="211">
        <f t="shared" si="442"/>
        <v>1.5145631067961096</v>
      </c>
      <c r="K145" s="211">
        <f t="shared" si="442"/>
        <v>4.4457662701189395</v>
      </c>
      <c r="L145" s="212">
        <f t="shared" si="442"/>
        <v>-1.3602457888783579</v>
      </c>
      <c r="M145" s="211">
        <f t="shared" si="442"/>
        <v>120.65151515150392</v>
      </c>
      <c r="N145" s="211">
        <f t="shared" si="442"/>
        <v>-0.99876560142641702</v>
      </c>
      <c r="O145" s="211">
        <f t="shared" si="442"/>
        <v>-2.5019305019305031</v>
      </c>
      <c r="P145" s="211">
        <f t="shared" si="442"/>
        <v>1.4392187098431375E-2</v>
      </c>
      <c r="Q145" s="212">
        <f t="shared" si="442"/>
        <v>2.441361167684998</v>
      </c>
      <c r="R145" s="211">
        <f t="shared" si="442"/>
        <v>-0.7836592352721391</v>
      </c>
      <c r="S145" s="211">
        <f t="shared" si="442"/>
        <v>-1165.0000000008806</v>
      </c>
      <c r="T145" s="211">
        <f t="shared" si="442"/>
        <v>0.40228373288695063</v>
      </c>
      <c r="U145" s="211">
        <f t="shared" si="442"/>
        <v>-0.31517608310108924</v>
      </c>
      <c r="V145" s="212">
        <f t="shared" si="442"/>
        <v>-0.37047813971839338</v>
      </c>
      <c r="W145" s="211">
        <f t="shared" si="442"/>
        <v>17.640184225676496</v>
      </c>
      <c r="X145" s="211">
        <f t="shared" si="442"/>
        <v>-0.6029018709431091</v>
      </c>
      <c r="Y145" s="211">
        <f t="shared" si="442"/>
        <v>0.3482690995907245</v>
      </c>
      <c r="Z145" s="211">
        <f t="shared" si="442"/>
        <v>4.8342582315945322</v>
      </c>
      <c r="AA145" s="212">
        <f t="shared" si="442"/>
        <v>3.8150338830349808</v>
      </c>
      <c r="AB145" s="211">
        <f t="shared" si="442"/>
        <v>-0.16041756748409186</v>
      </c>
      <c r="AC145" s="211">
        <f t="shared" si="442"/>
        <v>5.6490384615384688</v>
      </c>
      <c r="AD145" s="211">
        <f t="shared" si="442"/>
        <v>-1.8499288537549399</v>
      </c>
      <c r="AE145" s="211">
        <f t="shared" si="442"/>
        <v>-0.57205136334812901</v>
      </c>
      <c r="AF145" s="212">
        <f t="shared" si="442"/>
        <v>-1.0029286626587381</v>
      </c>
      <c r="AG145" s="211">
        <f t="shared" si="442"/>
        <v>-2.2752354326074142</v>
      </c>
      <c r="AH145" s="211">
        <f t="shared" si="442"/>
        <v>-3.9117859725235182E-2</v>
      </c>
      <c r="AI145" s="211">
        <f t="shared" si="442"/>
        <v>-0.70984783660106487</v>
      </c>
      <c r="AJ145" s="211">
        <f t="shared" si="442"/>
        <v>-1.1907019818484923</v>
      </c>
      <c r="AK145" s="212">
        <f t="shared" si="442"/>
        <v>205.01388888884216</v>
      </c>
      <c r="AL145" s="211">
        <f t="shared" si="442"/>
        <v>-0.36887836377150107</v>
      </c>
      <c r="AM145" s="211">
        <f t="shared" si="442"/>
        <v>-1.570275399730392E-2</v>
      </c>
      <c r="AN145" s="211">
        <f t="shared" ref="AN145:BS145" si="443">AN77/AI77-1</f>
        <v>-0.29739248173498667</v>
      </c>
      <c r="AO145" s="211">
        <f t="shared" si="443"/>
        <v>4.1487085546922078</v>
      </c>
      <c r="AP145" s="212">
        <f t="shared" si="443"/>
        <v>7.9003607095821993E-2</v>
      </c>
      <c r="AQ145" s="211">
        <f t="shared" si="443"/>
        <v>-1</v>
      </c>
      <c r="AR145" s="211">
        <f t="shared" si="443"/>
        <v>-1</v>
      </c>
      <c r="AS145" s="211">
        <f t="shared" si="443"/>
        <v>-1</v>
      </c>
      <c r="AT145" s="211">
        <f t="shared" si="443"/>
        <v>-1</v>
      </c>
      <c r="AU145" s="212">
        <f t="shared" si="443"/>
        <v>0.67746951469060024</v>
      </c>
      <c r="AV145" s="211" t="e">
        <f t="shared" si="443"/>
        <v>#DIV/0!</v>
      </c>
      <c r="AW145" s="211" t="e">
        <f t="shared" si="443"/>
        <v>#DIV/0!</v>
      </c>
      <c r="AX145" s="211" t="e">
        <f t="shared" si="443"/>
        <v>#DIV/0!</v>
      </c>
      <c r="AY145" s="211" t="e">
        <f t="shared" si="443"/>
        <v>#DIV/0!</v>
      </c>
      <c r="AZ145" s="212">
        <f t="shared" si="443"/>
        <v>1.2360340209198459</v>
      </c>
      <c r="BA145" s="211" t="e">
        <f t="shared" si="443"/>
        <v>#DIV/0!</v>
      </c>
      <c r="BB145" s="211" t="e">
        <f t="shared" si="443"/>
        <v>#DIV/0!</v>
      </c>
      <c r="BC145" s="211" t="e">
        <f t="shared" si="443"/>
        <v>#DIV/0!</v>
      </c>
      <c r="BD145" s="211" t="e">
        <f t="shared" si="443"/>
        <v>#DIV/0!</v>
      </c>
      <c r="BE145" s="212">
        <f t="shared" si="443"/>
        <v>0.69282384075486414</v>
      </c>
      <c r="BF145" s="211" t="e">
        <f t="shared" si="443"/>
        <v>#DIV/0!</v>
      </c>
      <c r="BG145" s="211" t="e">
        <f t="shared" si="443"/>
        <v>#DIV/0!</v>
      </c>
      <c r="BH145" s="211" t="e">
        <f t="shared" si="443"/>
        <v>#DIV/0!</v>
      </c>
      <c r="BI145" s="211" t="e">
        <f t="shared" si="443"/>
        <v>#DIV/0!</v>
      </c>
      <c r="BJ145" s="212">
        <f t="shared" si="443"/>
        <v>0.44670428358285763</v>
      </c>
      <c r="BK145" s="211" t="e">
        <f t="shared" si="443"/>
        <v>#DIV/0!</v>
      </c>
      <c r="BL145" s="211" t="e">
        <f t="shared" si="443"/>
        <v>#DIV/0!</v>
      </c>
      <c r="BM145" s="211" t="e">
        <f t="shared" si="443"/>
        <v>#DIV/0!</v>
      </c>
      <c r="BN145" s="211" t="e">
        <f t="shared" si="443"/>
        <v>#DIV/0!</v>
      </c>
      <c r="BO145" s="212">
        <f t="shared" si="443"/>
        <v>0.33764319456070924</v>
      </c>
      <c r="BP145" s="211" t="e">
        <f t="shared" si="443"/>
        <v>#DIV/0!</v>
      </c>
      <c r="BQ145" s="211" t="e">
        <f t="shared" si="443"/>
        <v>#DIV/0!</v>
      </c>
      <c r="BR145" s="211" t="e">
        <f t="shared" si="443"/>
        <v>#DIV/0!</v>
      </c>
      <c r="BS145" s="211" t="e">
        <f t="shared" si="443"/>
        <v>#DIV/0!</v>
      </c>
      <c r="BT145" s="212">
        <f t="shared" ref="BT145:CX145" si="444">BT77/BO77-1</f>
        <v>0.30569917178116679</v>
      </c>
      <c r="BU145" s="211" t="e">
        <f t="shared" si="444"/>
        <v>#DIV/0!</v>
      </c>
      <c r="BV145" s="211" t="e">
        <f t="shared" si="444"/>
        <v>#DIV/0!</v>
      </c>
      <c r="BW145" s="211" t="e">
        <f t="shared" si="444"/>
        <v>#DIV/0!</v>
      </c>
      <c r="BX145" s="211" t="e">
        <f t="shared" si="444"/>
        <v>#DIV/0!</v>
      </c>
      <c r="BY145" s="212">
        <f t="shared" si="444"/>
        <v>0.24922715795320927</v>
      </c>
      <c r="BZ145" s="211" t="e">
        <f t="shared" si="444"/>
        <v>#DIV/0!</v>
      </c>
      <c r="CA145" s="211" t="e">
        <f t="shared" si="444"/>
        <v>#DIV/0!</v>
      </c>
      <c r="CB145" s="211" t="e">
        <f t="shared" si="444"/>
        <v>#DIV/0!</v>
      </c>
      <c r="CC145" s="211" t="e">
        <f t="shared" si="444"/>
        <v>#DIV/0!</v>
      </c>
      <c r="CD145" s="212">
        <f t="shared" si="444"/>
        <v>0.17686972751469354</v>
      </c>
      <c r="CE145" s="211" t="e">
        <f t="shared" si="444"/>
        <v>#DIV/0!</v>
      </c>
      <c r="CF145" s="211" t="e">
        <f t="shared" si="444"/>
        <v>#DIV/0!</v>
      </c>
      <c r="CG145" s="211" t="e">
        <f t="shared" si="444"/>
        <v>#DIV/0!</v>
      </c>
      <c r="CH145" s="211" t="e">
        <f t="shared" si="444"/>
        <v>#DIV/0!</v>
      </c>
      <c r="CI145" s="212">
        <f t="shared" si="444"/>
        <v>0.12749611207264411</v>
      </c>
      <c r="CJ145" s="211" t="e">
        <f t="shared" si="444"/>
        <v>#DIV/0!</v>
      </c>
      <c r="CK145" s="211" t="e">
        <f t="shared" si="444"/>
        <v>#DIV/0!</v>
      </c>
      <c r="CL145" s="211" t="e">
        <f t="shared" si="444"/>
        <v>#DIV/0!</v>
      </c>
      <c r="CM145" s="211" t="e">
        <f t="shared" si="444"/>
        <v>#DIV/0!</v>
      </c>
      <c r="CN145" s="212">
        <f t="shared" si="444"/>
        <v>7.8208948422871405E-2</v>
      </c>
      <c r="CO145" s="211" t="e">
        <f t="shared" si="444"/>
        <v>#DIV/0!</v>
      </c>
      <c r="CP145" s="211" t="e">
        <f t="shared" si="444"/>
        <v>#DIV/0!</v>
      </c>
      <c r="CQ145" s="211" t="e">
        <f t="shared" si="444"/>
        <v>#DIV/0!</v>
      </c>
      <c r="CR145" s="211" t="e">
        <f t="shared" si="444"/>
        <v>#DIV/0!</v>
      </c>
      <c r="CS145" s="212">
        <f t="shared" si="444"/>
        <v>7.9685814943048605E-2</v>
      </c>
      <c r="CT145" s="211" t="e">
        <f t="shared" si="444"/>
        <v>#DIV/0!</v>
      </c>
      <c r="CU145" s="211" t="e">
        <f t="shared" si="444"/>
        <v>#DIV/0!</v>
      </c>
      <c r="CV145" s="211" t="e">
        <f t="shared" si="444"/>
        <v>#DIV/0!</v>
      </c>
      <c r="CW145" s="211" t="e">
        <f t="shared" si="444"/>
        <v>#DIV/0!</v>
      </c>
      <c r="CX145" s="212">
        <f t="shared" si="444"/>
        <v>7.1752188773362535E-2</v>
      </c>
    </row>
    <row r="146" spans="2:102">
      <c r="B146" s="213" t="s">
        <v>84</v>
      </c>
      <c r="C146" s="211"/>
      <c r="D146" s="211"/>
      <c r="E146" s="211"/>
      <c r="F146" s="211"/>
      <c r="G146" s="212"/>
      <c r="H146" s="211">
        <f t="shared" ref="H146:AM146" si="445">H80/C80-1</f>
        <v>-1.0036860601745872</v>
      </c>
      <c r="I146" s="211">
        <f t="shared" si="445"/>
        <v>-1.4940071019167496</v>
      </c>
      <c r="J146" s="211">
        <f t="shared" si="445"/>
        <v>1.2875406392252962</v>
      </c>
      <c r="K146" s="211">
        <f t="shared" si="445"/>
        <v>4.0016243050022755</v>
      </c>
      <c r="L146" s="212">
        <f t="shared" si="445"/>
        <v>-1.3358372204489797</v>
      </c>
      <c r="M146" s="211">
        <f t="shared" si="445"/>
        <v>108.38930403834958</v>
      </c>
      <c r="N146" s="211">
        <f t="shared" si="445"/>
        <v>-0.99895734544966686</v>
      </c>
      <c r="O146" s="211">
        <f t="shared" si="445"/>
        <v>-2.3167227021739949</v>
      </c>
      <c r="P146" s="211">
        <f t="shared" si="445"/>
        <v>-0.1153928071865491</v>
      </c>
      <c r="Q146" s="212">
        <f t="shared" si="445"/>
        <v>2.004580225753275</v>
      </c>
      <c r="R146" s="211">
        <f t="shared" si="445"/>
        <v>-0.80772097177125335</v>
      </c>
      <c r="S146" s="211">
        <f t="shared" si="445"/>
        <v>-1111.2742311301115</v>
      </c>
      <c r="T146" s="211">
        <f t="shared" si="445"/>
        <v>0.23936586937899285</v>
      </c>
      <c r="U146" s="211">
        <f t="shared" si="445"/>
        <v>-0.33989780045584272</v>
      </c>
      <c r="V146" s="212">
        <f t="shared" si="445"/>
        <v>-0.40744532683453438</v>
      </c>
      <c r="W146" s="211">
        <f t="shared" si="445"/>
        <v>16.028333155886475</v>
      </c>
      <c r="X146" s="211">
        <f t="shared" si="445"/>
        <v>-0.63769616918565997</v>
      </c>
      <c r="Y146" s="211">
        <f t="shared" si="445"/>
        <v>0.33295679770377951</v>
      </c>
      <c r="Z146" s="211">
        <f t="shared" si="445"/>
        <v>3.9610342561666485</v>
      </c>
      <c r="AA146" s="212">
        <f t="shared" si="445"/>
        <v>3.4035331588707152</v>
      </c>
      <c r="AB146" s="211">
        <f t="shared" si="445"/>
        <v>-0.18087338528674268</v>
      </c>
      <c r="AC146" s="211">
        <f t="shared" si="445"/>
        <v>5.5598458884261346</v>
      </c>
      <c r="AD146" s="211">
        <f t="shared" si="445"/>
        <v>-1.8165832066550704</v>
      </c>
      <c r="AE146" s="211">
        <f t="shared" si="445"/>
        <v>-0.56696288908046144</v>
      </c>
      <c r="AF146" s="212">
        <f t="shared" si="445"/>
        <v>-1.0028228700789479</v>
      </c>
      <c r="AG146" s="211">
        <f t="shared" si="445"/>
        <v>-2.1913084637001381</v>
      </c>
      <c r="AH146" s="211">
        <f t="shared" si="445"/>
        <v>-0.10406973206525516</v>
      </c>
      <c r="AI146" s="211">
        <f t="shared" si="445"/>
        <v>-0.72209168356744891</v>
      </c>
      <c r="AJ146" s="211">
        <f t="shared" si="445"/>
        <v>-1.1869412330530396</v>
      </c>
      <c r="AK146" s="212">
        <f t="shared" si="445"/>
        <v>194.97394296502992</v>
      </c>
      <c r="AL146" s="211">
        <f t="shared" si="445"/>
        <v>-0.38238007004181307</v>
      </c>
      <c r="AM146" s="211">
        <f t="shared" si="445"/>
        <v>-2.8710926478681786E-2</v>
      </c>
      <c r="AN146" s="211">
        <f t="shared" ref="AN146:BS146" si="446">AN80/AI80-1</f>
        <v>-0.30377937842178748</v>
      </c>
      <c r="AO146" s="211">
        <f t="shared" si="446"/>
        <v>4.1194456005573485</v>
      </c>
      <c r="AP146" s="212">
        <f t="shared" si="446"/>
        <v>6.5682574909453839E-2</v>
      </c>
      <c r="AQ146" s="211">
        <f t="shared" si="446"/>
        <v>-1</v>
      </c>
      <c r="AR146" s="211">
        <f t="shared" si="446"/>
        <v>-1</v>
      </c>
      <c r="AS146" s="211">
        <f t="shared" si="446"/>
        <v>-1</v>
      </c>
      <c r="AT146" s="211">
        <f t="shared" si="446"/>
        <v>-1</v>
      </c>
      <c r="AU146" s="212">
        <f t="shared" si="446"/>
        <v>0.65676001450923494</v>
      </c>
      <c r="AV146" s="211" t="e">
        <f t="shared" si="446"/>
        <v>#DIV/0!</v>
      </c>
      <c r="AW146" s="211" t="e">
        <f t="shared" si="446"/>
        <v>#DIV/0!</v>
      </c>
      <c r="AX146" s="211" t="e">
        <f t="shared" si="446"/>
        <v>#DIV/0!</v>
      </c>
      <c r="AY146" s="211" t="e">
        <f t="shared" si="446"/>
        <v>#DIV/0!</v>
      </c>
      <c r="AZ146" s="212">
        <f t="shared" si="446"/>
        <v>1.208428662636885</v>
      </c>
      <c r="BA146" s="211" t="e">
        <f t="shared" si="446"/>
        <v>#DIV/0!</v>
      </c>
      <c r="BB146" s="211" t="e">
        <f t="shared" si="446"/>
        <v>#DIV/0!</v>
      </c>
      <c r="BC146" s="211" t="e">
        <f t="shared" si="446"/>
        <v>#DIV/0!</v>
      </c>
      <c r="BD146" s="211" t="e">
        <f t="shared" si="446"/>
        <v>#DIV/0!</v>
      </c>
      <c r="BE146" s="212">
        <f t="shared" si="446"/>
        <v>0.67192478099245823</v>
      </c>
      <c r="BF146" s="211" t="e">
        <f t="shared" si="446"/>
        <v>#DIV/0!</v>
      </c>
      <c r="BG146" s="211" t="e">
        <f t="shared" si="446"/>
        <v>#DIV/0!</v>
      </c>
      <c r="BH146" s="211" t="e">
        <f t="shared" si="446"/>
        <v>#DIV/0!</v>
      </c>
      <c r="BI146" s="211" t="e">
        <f t="shared" si="446"/>
        <v>#DIV/0!</v>
      </c>
      <c r="BJ146" s="212">
        <f t="shared" si="446"/>
        <v>0.4288437368719582</v>
      </c>
      <c r="BK146" s="211" t="e">
        <f t="shared" si="446"/>
        <v>#DIV/0!</v>
      </c>
      <c r="BL146" s="211" t="e">
        <f t="shared" si="446"/>
        <v>#DIV/0!</v>
      </c>
      <c r="BM146" s="211" t="e">
        <f t="shared" si="446"/>
        <v>#DIV/0!</v>
      </c>
      <c r="BN146" s="211" t="e">
        <f t="shared" si="446"/>
        <v>#DIV/0!</v>
      </c>
      <c r="BO146" s="212">
        <f t="shared" si="446"/>
        <v>0.32112908104761373</v>
      </c>
      <c r="BP146" s="211" t="e">
        <f t="shared" si="446"/>
        <v>#DIV/0!</v>
      </c>
      <c r="BQ146" s="211" t="e">
        <f t="shared" si="446"/>
        <v>#DIV/0!</v>
      </c>
      <c r="BR146" s="211" t="e">
        <f t="shared" si="446"/>
        <v>#DIV/0!</v>
      </c>
      <c r="BS146" s="211" t="e">
        <f t="shared" si="446"/>
        <v>#DIV/0!</v>
      </c>
      <c r="BT146" s="212">
        <f t="shared" ref="BT146:CX146" si="447">BT80/BO80-1</f>
        <v>0.28957942891967114</v>
      </c>
      <c r="BU146" s="211" t="e">
        <f t="shared" si="447"/>
        <v>#DIV/0!</v>
      </c>
      <c r="BV146" s="211" t="e">
        <f t="shared" si="447"/>
        <v>#DIV/0!</v>
      </c>
      <c r="BW146" s="211" t="e">
        <f t="shared" si="447"/>
        <v>#DIV/0!</v>
      </c>
      <c r="BX146" s="211" t="e">
        <f t="shared" si="447"/>
        <v>#DIV/0!</v>
      </c>
      <c r="BY146" s="212">
        <f t="shared" si="447"/>
        <v>0.2338046004476142</v>
      </c>
      <c r="BZ146" s="211" t="e">
        <f t="shared" si="447"/>
        <v>#DIV/0!</v>
      </c>
      <c r="CA146" s="211" t="e">
        <f t="shared" si="447"/>
        <v>#DIV/0!</v>
      </c>
      <c r="CB146" s="211" t="e">
        <f t="shared" si="447"/>
        <v>#DIV/0!</v>
      </c>
      <c r="CC146" s="211" t="e">
        <f t="shared" si="447"/>
        <v>#DIV/0!</v>
      </c>
      <c r="CD146" s="212">
        <f t="shared" si="447"/>
        <v>0.16234047161945031</v>
      </c>
      <c r="CE146" s="211" t="e">
        <f t="shared" si="447"/>
        <v>#DIV/0!</v>
      </c>
      <c r="CF146" s="211" t="e">
        <f t="shared" si="447"/>
        <v>#DIV/0!</v>
      </c>
      <c r="CG146" s="211" t="e">
        <f t="shared" si="447"/>
        <v>#DIV/0!</v>
      </c>
      <c r="CH146" s="211" t="e">
        <f t="shared" si="447"/>
        <v>#DIV/0!</v>
      </c>
      <c r="CI146" s="212">
        <f t="shared" si="447"/>
        <v>0.11357640698532756</v>
      </c>
      <c r="CJ146" s="211" t="e">
        <f t="shared" si="447"/>
        <v>#DIV/0!</v>
      </c>
      <c r="CK146" s="211" t="e">
        <f t="shared" si="447"/>
        <v>#DIV/0!</v>
      </c>
      <c r="CL146" s="211" t="e">
        <f t="shared" si="447"/>
        <v>#DIV/0!</v>
      </c>
      <c r="CM146" s="211" t="e">
        <f t="shared" si="447"/>
        <v>#DIV/0!</v>
      </c>
      <c r="CN146" s="212">
        <f t="shared" si="447"/>
        <v>6.4897726837404024E-2</v>
      </c>
      <c r="CO146" s="211" t="e">
        <f t="shared" si="447"/>
        <v>#DIV/0!</v>
      </c>
      <c r="CP146" s="211" t="e">
        <f t="shared" si="447"/>
        <v>#DIV/0!</v>
      </c>
      <c r="CQ146" s="211" t="e">
        <f t="shared" si="447"/>
        <v>#DIV/0!</v>
      </c>
      <c r="CR146" s="211" t="e">
        <f t="shared" si="447"/>
        <v>#DIV/0!</v>
      </c>
      <c r="CS146" s="212">
        <f t="shared" si="447"/>
        <v>6.6356360437578976E-2</v>
      </c>
      <c r="CT146" s="211" t="e">
        <f t="shared" si="447"/>
        <v>#DIV/0!</v>
      </c>
      <c r="CU146" s="211" t="e">
        <f t="shared" si="447"/>
        <v>#DIV/0!</v>
      </c>
      <c r="CV146" s="211" t="e">
        <f t="shared" si="447"/>
        <v>#DIV/0!</v>
      </c>
      <c r="CW146" s="211" t="e">
        <f t="shared" si="447"/>
        <v>#DIV/0!</v>
      </c>
      <c r="CX146" s="212">
        <f t="shared" si="447"/>
        <v>5.8520680269987801E-2</v>
      </c>
    </row>
    <row r="147" spans="2:102" ht="14.25" thickBot="1">
      <c r="B147" s="214" t="s">
        <v>42</v>
      </c>
      <c r="C147" s="215"/>
      <c r="D147" s="215"/>
      <c r="E147" s="215"/>
      <c r="F147" s="215"/>
      <c r="G147" s="216"/>
      <c r="H147" s="215">
        <f t="shared" ref="H147:AM147" si="448">H85/C85-1</f>
        <v>3.9072447016967216E-2</v>
      </c>
      <c r="I147" s="215">
        <f t="shared" si="448"/>
        <v>6.1180409309357975E-2</v>
      </c>
      <c r="J147" s="215">
        <f t="shared" si="448"/>
        <v>9.9243031436459184E-2</v>
      </c>
      <c r="K147" s="215">
        <f t="shared" si="448"/>
        <v>8.8799545514137046E-2</v>
      </c>
      <c r="L147" s="216">
        <f t="shared" si="448"/>
        <v>7.2679759547635614E-2</v>
      </c>
      <c r="M147" s="215">
        <f t="shared" si="448"/>
        <v>0.11209698444425142</v>
      </c>
      <c r="N147" s="215">
        <f t="shared" si="448"/>
        <v>0.18389985752086302</v>
      </c>
      <c r="O147" s="215">
        <f t="shared" si="448"/>
        <v>0.14065816549735066</v>
      </c>
      <c r="P147" s="215">
        <f t="shared" si="448"/>
        <v>0.1467148304234398</v>
      </c>
      <c r="Q147" s="216">
        <f t="shared" si="448"/>
        <v>0.14537170223910989</v>
      </c>
      <c r="R147" s="215">
        <f t="shared" si="448"/>
        <v>0.12649938657018511</v>
      </c>
      <c r="S147" s="215">
        <f t="shared" si="448"/>
        <v>4.8389638671595181E-2</v>
      </c>
      <c r="T147" s="215">
        <f t="shared" si="448"/>
        <v>0.13145259808517284</v>
      </c>
      <c r="U147" s="215">
        <f t="shared" si="448"/>
        <v>3.7451348248536798E-2</v>
      </c>
      <c r="V147" s="216">
        <f t="shared" si="448"/>
        <v>6.2386120286014979E-2</v>
      </c>
      <c r="W147" s="215">
        <f t="shared" si="448"/>
        <v>9.3335738118856426E-2</v>
      </c>
      <c r="X147" s="215">
        <f t="shared" si="448"/>
        <v>9.6036241638253195E-2</v>
      </c>
      <c r="Y147" s="215">
        <f t="shared" si="448"/>
        <v>1.1487470496660324E-2</v>
      </c>
      <c r="Z147" s="215">
        <f t="shared" si="448"/>
        <v>0.17601651799570872</v>
      </c>
      <c r="AA147" s="216">
        <f t="shared" si="448"/>
        <v>9.3447854102180594E-2</v>
      </c>
      <c r="AB147" s="215">
        <f t="shared" si="448"/>
        <v>2.497271781336452E-2</v>
      </c>
      <c r="AC147" s="215">
        <f t="shared" si="448"/>
        <v>1.3596748251312185E-2</v>
      </c>
      <c r="AD147" s="215">
        <f t="shared" si="448"/>
        <v>4.0835577842044612E-2</v>
      </c>
      <c r="AE147" s="215">
        <f t="shared" si="448"/>
        <v>-1.1750665565041785E-2</v>
      </c>
      <c r="AF147" s="216">
        <f t="shared" si="448"/>
        <v>3.7476956725511545E-2</v>
      </c>
      <c r="AG147" s="215">
        <f t="shared" si="448"/>
        <v>6.9094015400995357E-2</v>
      </c>
      <c r="AH147" s="215">
        <f t="shared" si="448"/>
        <v>7.2496571066567483E-2</v>
      </c>
      <c r="AI147" s="215">
        <f t="shared" si="448"/>
        <v>4.4057144901439305E-2</v>
      </c>
      <c r="AJ147" s="215">
        <f t="shared" si="448"/>
        <v>2.0117278216442269E-2</v>
      </c>
      <c r="AK147" s="216">
        <f t="shared" si="448"/>
        <v>5.0901309914785697E-2</v>
      </c>
      <c r="AL147" s="215">
        <f t="shared" si="448"/>
        <v>2.2835461177696859E-2</v>
      </c>
      <c r="AM147" s="215">
        <f t="shared" si="448"/>
        <v>1.3074842006262521E-2</v>
      </c>
      <c r="AN147" s="215">
        <f t="shared" ref="AN147:BS147" si="449">AN85/AI85-1</f>
        <v>8.8571440809124269E-3</v>
      </c>
      <c r="AO147" s="215">
        <f t="shared" si="449"/>
        <v>5.4006004382345374E-3</v>
      </c>
      <c r="AP147" s="216">
        <f t="shared" si="449"/>
        <v>1.2499999999999956E-2</v>
      </c>
      <c r="AQ147" s="215">
        <f t="shared" si="449"/>
        <v>-1</v>
      </c>
      <c r="AR147" s="215">
        <f t="shared" si="449"/>
        <v>-1</v>
      </c>
      <c r="AS147" s="215">
        <f t="shared" si="449"/>
        <v>-1</v>
      </c>
      <c r="AT147" s="215">
        <f t="shared" si="449"/>
        <v>-1</v>
      </c>
      <c r="AU147" s="216">
        <f t="shared" si="449"/>
        <v>1.2499999999999956E-2</v>
      </c>
      <c r="AV147" s="215" t="e">
        <f t="shared" si="449"/>
        <v>#DIV/0!</v>
      </c>
      <c r="AW147" s="215" t="e">
        <f t="shared" si="449"/>
        <v>#DIV/0!</v>
      </c>
      <c r="AX147" s="215" t="e">
        <f t="shared" si="449"/>
        <v>#DIV/0!</v>
      </c>
      <c r="AY147" s="215" t="e">
        <f t="shared" si="449"/>
        <v>#DIV/0!</v>
      </c>
      <c r="AZ147" s="216">
        <f t="shared" si="449"/>
        <v>1.2499999999999956E-2</v>
      </c>
      <c r="BA147" s="215" t="e">
        <f t="shared" si="449"/>
        <v>#DIV/0!</v>
      </c>
      <c r="BB147" s="215" t="e">
        <f t="shared" si="449"/>
        <v>#DIV/0!</v>
      </c>
      <c r="BC147" s="215" t="e">
        <f t="shared" si="449"/>
        <v>#DIV/0!</v>
      </c>
      <c r="BD147" s="215" t="e">
        <f t="shared" si="449"/>
        <v>#DIV/0!</v>
      </c>
      <c r="BE147" s="216">
        <f t="shared" si="449"/>
        <v>1.2499999999999956E-2</v>
      </c>
      <c r="BF147" s="215" t="e">
        <f t="shared" si="449"/>
        <v>#DIV/0!</v>
      </c>
      <c r="BG147" s="215" t="e">
        <f t="shared" si="449"/>
        <v>#DIV/0!</v>
      </c>
      <c r="BH147" s="215" t="e">
        <f t="shared" si="449"/>
        <v>#DIV/0!</v>
      </c>
      <c r="BI147" s="215" t="e">
        <f t="shared" si="449"/>
        <v>#DIV/0!</v>
      </c>
      <c r="BJ147" s="216">
        <f t="shared" si="449"/>
        <v>1.2499999999999956E-2</v>
      </c>
      <c r="BK147" s="215" t="e">
        <f t="shared" si="449"/>
        <v>#DIV/0!</v>
      </c>
      <c r="BL147" s="215" t="e">
        <f t="shared" si="449"/>
        <v>#DIV/0!</v>
      </c>
      <c r="BM147" s="215" t="e">
        <f t="shared" si="449"/>
        <v>#DIV/0!</v>
      </c>
      <c r="BN147" s="215" t="e">
        <f t="shared" si="449"/>
        <v>#DIV/0!</v>
      </c>
      <c r="BO147" s="216">
        <f t="shared" si="449"/>
        <v>1.2499999999999956E-2</v>
      </c>
      <c r="BP147" s="215" t="e">
        <f t="shared" si="449"/>
        <v>#DIV/0!</v>
      </c>
      <c r="BQ147" s="215" t="e">
        <f t="shared" si="449"/>
        <v>#DIV/0!</v>
      </c>
      <c r="BR147" s="215" t="e">
        <f t="shared" si="449"/>
        <v>#DIV/0!</v>
      </c>
      <c r="BS147" s="215" t="e">
        <f t="shared" si="449"/>
        <v>#DIV/0!</v>
      </c>
      <c r="BT147" s="216">
        <f t="shared" ref="BT147:CX147" si="450">BT85/BO85-1</f>
        <v>1.2499999999999956E-2</v>
      </c>
      <c r="BU147" s="215" t="e">
        <f t="shared" si="450"/>
        <v>#DIV/0!</v>
      </c>
      <c r="BV147" s="215" t="e">
        <f t="shared" si="450"/>
        <v>#DIV/0!</v>
      </c>
      <c r="BW147" s="215" t="e">
        <f t="shared" si="450"/>
        <v>#DIV/0!</v>
      </c>
      <c r="BX147" s="215" t="e">
        <f t="shared" si="450"/>
        <v>#DIV/0!</v>
      </c>
      <c r="BY147" s="216">
        <f t="shared" si="450"/>
        <v>1.2499999999999956E-2</v>
      </c>
      <c r="BZ147" s="215" t="e">
        <f t="shared" si="450"/>
        <v>#DIV/0!</v>
      </c>
      <c r="CA147" s="215" t="e">
        <f t="shared" si="450"/>
        <v>#DIV/0!</v>
      </c>
      <c r="CB147" s="215" t="e">
        <f t="shared" si="450"/>
        <v>#DIV/0!</v>
      </c>
      <c r="CC147" s="215" t="e">
        <f t="shared" si="450"/>
        <v>#DIV/0!</v>
      </c>
      <c r="CD147" s="216">
        <f t="shared" si="450"/>
        <v>1.2499999999999956E-2</v>
      </c>
      <c r="CE147" s="215" t="e">
        <f t="shared" si="450"/>
        <v>#DIV/0!</v>
      </c>
      <c r="CF147" s="215" t="e">
        <f t="shared" si="450"/>
        <v>#DIV/0!</v>
      </c>
      <c r="CG147" s="215" t="e">
        <f t="shared" si="450"/>
        <v>#DIV/0!</v>
      </c>
      <c r="CH147" s="215" t="e">
        <f t="shared" si="450"/>
        <v>#DIV/0!</v>
      </c>
      <c r="CI147" s="216">
        <f t="shared" si="450"/>
        <v>1.2499999999999956E-2</v>
      </c>
      <c r="CJ147" s="215" t="e">
        <f t="shared" si="450"/>
        <v>#DIV/0!</v>
      </c>
      <c r="CK147" s="215" t="e">
        <f t="shared" si="450"/>
        <v>#DIV/0!</v>
      </c>
      <c r="CL147" s="215" t="e">
        <f t="shared" si="450"/>
        <v>#DIV/0!</v>
      </c>
      <c r="CM147" s="215" t="e">
        <f t="shared" si="450"/>
        <v>#DIV/0!</v>
      </c>
      <c r="CN147" s="216">
        <f t="shared" si="450"/>
        <v>1.2499999999999956E-2</v>
      </c>
      <c r="CO147" s="215" t="e">
        <f t="shared" si="450"/>
        <v>#DIV/0!</v>
      </c>
      <c r="CP147" s="215" t="e">
        <f t="shared" si="450"/>
        <v>#DIV/0!</v>
      </c>
      <c r="CQ147" s="215" t="e">
        <f t="shared" si="450"/>
        <v>#DIV/0!</v>
      </c>
      <c r="CR147" s="215" t="e">
        <f t="shared" si="450"/>
        <v>#DIV/0!</v>
      </c>
      <c r="CS147" s="216">
        <f t="shared" si="450"/>
        <v>1.2499999999999956E-2</v>
      </c>
      <c r="CT147" s="215" t="e">
        <f t="shared" si="450"/>
        <v>#DIV/0!</v>
      </c>
      <c r="CU147" s="215" t="e">
        <f t="shared" si="450"/>
        <v>#DIV/0!</v>
      </c>
      <c r="CV147" s="215" t="e">
        <f t="shared" si="450"/>
        <v>#DIV/0!</v>
      </c>
      <c r="CW147" s="215" t="e">
        <f t="shared" si="450"/>
        <v>#DIV/0!</v>
      </c>
      <c r="CX147" s="216">
        <f t="shared" si="450"/>
        <v>1.2499999999999956E-2</v>
      </c>
    </row>
    <row r="150" spans="2:102">
      <c r="B150" s="413" t="s">
        <v>152</v>
      </c>
      <c r="C150" s="443">
        <v>110.873519</v>
      </c>
      <c r="D150" s="443">
        <v>111.56480000000001</v>
      </c>
      <c r="E150" s="443">
        <v>114.14978000000001</v>
      </c>
      <c r="F150" s="134">
        <f>G150</f>
        <v>114.789732</v>
      </c>
      <c r="G150" s="443">
        <v>114.789732</v>
      </c>
      <c r="H150" s="443">
        <v>115.681825</v>
      </c>
      <c r="I150" s="443">
        <v>123.235882</v>
      </c>
      <c r="J150" s="443">
        <v>123.79015</v>
      </c>
      <c r="K150" s="134">
        <f>L150</f>
        <v>125.809162</v>
      </c>
      <c r="L150" s="443">
        <v>125.809162</v>
      </c>
      <c r="M150" s="443">
        <v>138.87320700000001</v>
      </c>
      <c r="N150" s="443">
        <v>140.05000899999999</v>
      </c>
      <c r="O150" s="443">
        <v>142.20099500000001</v>
      </c>
      <c r="P150" s="134">
        <f>Q150</f>
        <v>143.46366800000001</v>
      </c>
      <c r="Q150" s="443">
        <v>143.46366800000001</v>
      </c>
      <c r="R150" s="443">
        <v>145.73839599999999</v>
      </c>
      <c r="S150" s="443">
        <v>147.06795</v>
      </c>
      <c r="T150" s="443">
        <v>147.43395100000001</v>
      </c>
      <c r="U150" s="134">
        <f>V150</f>
        <v>149.093647</v>
      </c>
      <c r="V150" s="443">
        <v>149.093647</v>
      </c>
      <c r="W150" s="443">
        <v>160.28231299999999</v>
      </c>
      <c r="X150" s="443">
        <v>161.00851399999999</v>
      </c>
      <c r="Y150" s="443">
        <v>161.22640999999999</v>
      </c>
      <c r="Z150" s="134">
        <f>AA150</f>
        <v>161.5260466</v>
      </c>
      <c r="AA150" s="443">
        <v>161.5260466</v>
      </c>
      <c r="AB150" s="443">
        <v>162.24301600000001</v>
      </c>
      <c r="AC150" s="443">
        <v>163.28208100000001</v>
      </c>
      <c r="AD150" s="443">
        <v>171.69764900000001</v>
      </c>
      <c r="AE150" s="134"/>
      <c r="AF150" s="217"/>
      <c r="AG150" s="217"/>
      <c r="AH150" s="217"/>
      <c r="AI150" s="217"/>
      <c r="AJ150" s="134"/>
      <c r="AK150" s="217"/>
      <c r="AL150" s="217"/>
      <c r="AM150" s="217"/>
      <c r="AN150" s="217"/>
      <c r="AO150" s="134"/>
      <c r="AP150" s="217"/>
      <c r="AQ150" s="217"/>
      <c r="AR150" s="217"/>
      <c r="AS150" s="217"/>
      <c r="AT150" s="134"/>
      <c r="AU150" s="217"/>
      <c r="AV150" s="217"/>
      <c r="AW150" s="217"/>
      <c r="AX150" s="217"/>
      <c r="AY150" s="134"/>
      <c r="AZ150" s="217"/>
      <c r="BA150" s="217"/>
      <c r="BB150" s="217"/>
      <c r="BC150" s="217"/>
      <c r="BD150" s="134"/>
      <c r="BE150" s="217"/>
      <c r="BF150" s="217"/>
      <c r="BG150" s="217"/>
      <c r="BH150" s="217"/>
      <c r="BI150" s="134"/>
      <c r="BJ150" s="217"/>
      <c r="BK150" s="217"/>
      <c r="BL150" s="217"/>
      <c r="BM150" s="217"/>
      <c r="BN150" s="134"/>
      <c r="BO150" s="217"/>
      <c r="BP150" s="217"/>
      <c r="BQ150" s="217"/>
      <c r="BR150" s="217"/>
      <c r="BS150" s="134"/>
      <c r="BT150" s="217"/>
      <c r="BU150" s="217"/>
      <c r="BV150" s="217"/>
      <c r="BW150" s="217"/>
      <c r="BX150" s="134"/>
      <c r="BY150" s="217"/>
      <c r="BZ150" s="217"/>
      <c r="CA150" s="217"/>
      <c r="CB150" s="217"/>
      <c r="CC150" s="134"/>
      <c r="CD150" s="217"/>
      <c r="CE150" s="217"/>
      <c r="CF150" s="217"/>
      <c r="CG150" s="217"/>
      <c r="CH150" s="134"/>
      <c r="CI150" s="217"/>
      <c r="CJ150" s="217"/>
      <c r="CK150" s="217"/>
      <c r="CL150" s="217"/>
      <c r="CM150" s="134"/>
      <c r="CN150" s="217"/>
      <c r="CO150" s="217"/>
      <c r="CP150" s="217"/>
      <c r="CQ150" s="217"/>
      <c r="CR150" s="134"/>
      <c r="CS150" s="217"/>
      <c r="CT150" s="217"/>
      <c r="CU150" s="217"/>
      <c r="CV150" s="217"/>
      <c r="CW150" s="134"/>
      <c r="CX150" s="217"/>
    </row>
    <row r="153" spans="2:102">
      <c r="B153" s="482" t="s">
        <v>420</v>
      </c>
    </row>
    <row r="154" spans="2:102">
      <c r="B154" s="483" t="s">
        <v>421</v>
      </c>
      <c r="C154" s="448"/>
      <c r="D154" s="448"/>
      <c r="E154" s="448"/>
      <c r="F154" s="448"/>
      <c r="G154" s="486"/>
      <c r="H154" s="486"/>
      <c r="I154" s="486"/>
      <c r="J154" s="486"/>
      <c r="K154" s="486"/>
      <c r="L154" s="486"/>
      <c r="M154" s="486"/>
      <c r="N154" s="486"/>
      <c r="O154" s="486"/>
      <c r="P154" s="486"/>
      <c r="Q154" s="486"/>
      <c r="R154" s="486"/>
      <c r="S154" s="486"/>
      <c r="T154" s="486"/>
      <c r="U154" s="486"/>
      <c r="V154" s="486">
        <f>BS!F6+BS!F5+BS!F12</f>
        <v>1053.239</v>
      </c>
      <c r="W154" s="486"/>
      <c r="X154" s="486"/>
      <c r="Y154" s="486"/>
      <c r="Z154" s="486"/>
      <c r="AA154" s="486">
        <f>BS!G6+BS!G5+BS!G12</f>
        <v>1043.048</v>
      </c>
      <c r="AB154" s="486"/>
      <c r="AC154" s="486"/>
      <c r="AD154" s="486"/>
      <c r="AE154" s="486"/>
      <c r="AF154" s="486">
        <f>BS!H6+BS!H5+BS!H12</f>
        <v>1018.271</v>
      </c>
      <c r="AG154" s="486"/>
      <c r="AH154" s="486"/>
      <c r="AI154" s="486"/>
      <c r="AJ154" s="486"/>
      <c r="AK154" s="486">
        <f>BS!I6+BS!I5+BS!I12</f>
        <v>1362.3879999999999</v>
      </c>
      <c r="AL154" s="486"/>
      <c r="AM154" s="486"/>
      <c r="AN154" s="486"/>
      <c r="AO154" s="486"/>
      <c r="AP154" s="486">
        <f>BS!J6+BS!J5+BS!J12</f>
        <v>1781.7530000000002</v>
      </c>
      <c r="AQ154" s="486"/>
      <c r="AR154" s="486"/>
      <c r="AS154" s="486"/>
      <c r="AT154" s="486"/>
      <c r="AU154" s="486">
        <f>BS!K6+BS!K5+BS!K12</f>
        <v>1648.4974101127989</v>
      </c>
      <c r="AV154" s="486"/>
      <c r="AW154" s="486"/>
      <c r="AX154" s="486"/>
      <c r="AY154" s="486"/>
      <c r="AZ154" s="486">
        <f>BS!L6+BS!L5+BS!L12</f>
        <v>1590.2696716462929</v>
      </c>
      <c r="BA154" s="486"/>
      <c r="BB154" s="486"/>
      <c r="BC154" s="486"/>
      <c r="BD154" s="486"/>
      <c r="BE154" s="486">
        <f>BS!M6+BS!M5+BS!M12</f>
        <v>1326.3923712195465</v>
      </c>
      <c r="BF154" s="486"/>
      <c r="BG154" s="486"/>
      <c r="BH154" s="486"/>
      <c r="BI154" s="486"/>
      <c r="BJ154" s="486">
        <f>BS!N6+BS!N5+BS!N12</f>
        <v>1645.4414084420966</v>
      </c>
      <c r="BK154" s="486"/>
      <c r="BL154" s="486"/>
      <c r="BM154" s="486"/>
      <c r="BN154" s="486"/>
      <c r="BO154" s="486">
        <f>BS!O6+BS!O5+BS!O12</f>
        <v>2209.5116408679605</v>
      </c>
      <c r="BP154" s="486"/>
      <c r="BQ154" s="486"/>
      <c r="BR154" s="486"/>
      <c r="BS154" s="486"/>
      <c r="BT154" s="486">
        <f>BS!P6+BS!P5+BS!P12</f>
        <v>3009.6468125638798</v>
      </c>
      <c r="BU154" s="486"/>
      <c r="BV154" s="486"/>
      <c r="BW154" s="486"/>
      <c r="BX154" s="486"/>
      <c r="BY154" s="486">
        <f>BS!Q6+BS!Q5+BS!Q12</f>
        <v>3623.4391023451894</v>
      </c>
      <c r="BZ154" s="486"/>
      <c r="CA154" s="486"/>
      <c r="CB154" s="486"/>
      <c r="CC154" s="486"/>
      <c r="CD154" s="486">
        <f>BS!R6+BS!R5+BS!R12</f>
        <v>5057.363377363401</v>
      </c>
      <c r="CE154" s="486"/>
      <c r="CF154" s="486"/>
      <c r="CG154" s="486"/>
      <c r="CH154" s="486"/>
      <c r="CI154" s="486">
        <f>BS!S6+BS!S5+BS!S12</f>
        <v>6774.02377376002</v>
      </c>
      <c r="CJ154" s="486"/>
      <c r="CK154" s="486"/>
      <c r="CL154" s="486"/>
      <c r="CM154" s="486"/>
      <c r="CN154" s="486">
        <f>BS!T6+BS!T5+BS!T12</f>
        <v>8743.0423332979317</v>
      </c>
      <c r="CO154" s="486"/>
      <c r="CP154" s="486"/>
      <c r="CQ154" s="486"/>
      <c r="CR154" s="486"/>
      <c r="CS154" s="486">
        <f>BS!U6+BS!U5+BS!U12</f>
        <v>10675.35124043524</v>
      </c>
      <c r="CT154" s="486"/>
      <c r="CU154" s="486"/>
      <c r="CV154" s="486"/>
      <c r="CW154" s="486"/>
      <c r="CX154" s="486">
        <f>BS!V6+BS!V5+BS!V12</f>
        <v>12945.840110863486</v>
      </c>
    </row>
    <row r="155" spans="2:102">
      <c r="B155" s="484" t="s">
        <v>83</v>
      </c>
      <c r="C155" s="70"/>
      <c r="D155" s="70"/>
      <c r="E155" s="70"/>
      <c r="F155" s="70"/>
      <c r="G155" s="70"/>
      <c r="H155" s="70"/>
      <c r="I155" s="70"/>
      <c r="J155" s="70"/>
      <c r="K155" s="70"/>
      <c r="L155" s="70"/>
      <c r="M155" s="70"/>
      <c r="N155" s="70"/>
      <c r="O155" s="70"/>
      <c r="P155" s="70"/>
      <c r="Q155" s="70"/>
      <c r="R155" s="70"/>
      <c r="S155" s="70"/>
      <c r="T155" s="70"/>
      <c r="U155" s="70"/>
      <c r="V155" s="70"/>
      <c r="W155" s="70"/>
      <c r="X155" s="70"/>
      <c r="Y155" s="70"/>
      <c r="Z155" s="70"/>
      <c r="AA155" s="460">
        <f>AA156/AA154</f>
        <v>4.3152376496575417E-3</v>
      </c>
      <c r="AB155" s="70"/>
      <c r="AC155" s="70"/>
      <c r="AD155" s="70"/>
      <c r="AE155" s="70"/>
      <c r="AF155" s="458">
        <v>6.0000000000000001E-3</v>
      </c>
      <c r="AG155" s="70"/>
      <c r="AH155" s="70"/>
      <c r="AI155" s="70"/>
      <c r="AJ155" s="70"/>
      <c r="AK155" s="459">
        <v>5.0000000000000001E-3</v>
      </c>
      <c r="AL155" s="70"/>
      <c r="AM155" s="70"/>
      <c r="AN155" s="70"/>
      <c r="AO155" s="70"/>
      <c r="AP155" s="459">
        <f>AK155</f>
        <v>5.0000000000000001E-3</v>
      </c>
      <c r="AQ155" s="70"/>
      <c r="AR155" s="70"/>
      <c r="AS155" s="70"/>
      <c r="AT155" s="70"/>
      <c r="AU155" s="459">
        <f>AP155</f>
        <v>5.0000000000000001E-3</v>
      </c>
      <c r="AV155" s="70"/>
      <c r="AW155" s="70"/>
      <c r="AX155" s="70"/>
      <c r="AY155" s="70"/>
      <c r="AZ155" s="459">
        <f>AU155</f>
        <v>5.0000000000000001E-3</v>
      </c>
      <c r="BA155" s="70"/>
      <c r="BB155" s="70"/>
      <c r="BC155" s="70"/>
      <c r="BD155" s="70"/>
      <c r="BE155" s="459">
        <f>AZ155</f>
        <v>5.0000000000000001E-3</v>
      </c>
      <c r="BF155" s="70"/>
      <c r="BG155" s="70"/>
      <c r="BH155" s="70"/>
      <c r="BI155" s="70"/>
      <c r="BJ155" s="459">
        <f>BE155</f>
        <v>5.0000000000000001E-3</v>
      </c>
      <c r="BK155" s="70"/>
      <c r="BL155" s="70"/>
      <c r="BM155" s="70"/>
      <c r="BN155" s="70"/>
      <c r="BO155" s="459">
        <f>BJ155</f>
        <v>5.0000000000000001E-3</v>
      </c>
      <c r="BP155" s="70"/>
      <c r="BQ155" s="70"/>
      <c r="BR155" s="70"/>
      <c r="BS155" s="70"/>
      <c r="BT155" s="459">
        <f>BO155</f>
        <v>5.0000000000000001E-3</v>
      </c>
      <c r="BU155" s="70"/>
      <c r="BV155" s="70"/>
      <c r="BW155" s="70"/>
      <c r="BX155" s="70"/>
      <c r="BY155" s="459">
        <f>BT155</f>
        <v>5.0000000000000001E-3</v>
      </c>
      <c r="BZ155" s="70"/>
      <c r="CA155" s="70"/>
      <c r="CB155" s="70"/>
      <c r="CC155" s="70"/>
      <c r="CD155" s="459">
        <f>BY155</f>
        <v>5.0000000000000001E-3</v>
      </c>
      <c r="CE155" s="70"/>
      <c r="CF155" s="70"/>
      <c r="CG155" s="70"/>
      <c r="CH155" s="70"/>
      <c r="CI155" s="459">
        <f>CD155</f>
        <v>5.0000000000000001E-3</v>
      </c>
      <c r="CJ155" s="70"/>
      <c r="CK155" s="70"/>
      <c r="CL155" s="70"/>
      <c r="CM155" s="70"/>
      <c r="CN155" s="459">
        <f>CI155</f>
        <v>5.0000000000000001E-3</v>
      </c>
      <c r="CO155" s="70"/>
      <c r="CP155" s="70"/>
      <c r="CQ155" s="70"/>
      <c r="CR155" s="70"/>
      <c r="CS155" s="459">
        <f>CN155</f>
        <v>5.0000000000000001E-3</v>
      </c>
      <c r="CT155" s="70"/>
      <c r="CU155" s="70"/>
      <c r="CV155" s="70"/>
      <c r="CW155" s="70"/>
      <c r="CX155" s="459">
        <f>CS155</f>
        <v>5.0000000000000001E-3</v>
      </c>
    </row>
    <row r="156" spans="2:102">
      <c r="B156" s="485" t="s">
        <v>420</v>
      </c>
      <c r="C156" s="67"/>
      <c r="D156" s="67"/>
      <c r="E156" s="67"/>
      <c r="F156" s="67"/>
      <c r="G156" s="235"/>
      <c r="H156" s="235"/>
      <c r="I156" s="235"/>
      <c r="J156" s="235"/>
      <c r="K156" s="235"/>
      <c r="L156" s="235"/>
      <c r="M156" s="235"/>
      <c r="N156" s="235"/>
      <c r="O156" s="235"/>
      <c r="P156" s="235"/>
      <c r="Q156" s="235"/>
      <c r="R156" s="235"/>
      <c r="S156" s="235"/>
      <c r="T156" s="235"/>
      <c r="U156" s="235"/>
      <c r="V156" s="235"/>
      <c r="W156" s="235"/>
      <c r="X156" s="235"/>
      <c r="Y156" s="235"/>
      <c r="Z156" s="235"/>
      <c r="AA156" s="235">
        <f>-AA110</f>
        <v>4.5009999999999994</v>
      </c>
      <c r="AB156" s="235"/>
      <c r="AC156" s="235"/>
      <c r="AD156" s="235"/>
      <c r="AE156" s="235"/>
      <c r="AF156" s="235">
        <f>AF154*AF155</f>
        <v>6.1096259999999996</v>
      </c>
      <c r="AG156" s="235"/>
      <c r="AH156" s="235"/>
      <c r="AI156" s="235"/>
      <c r="AJ156" s="235"/>
      <c r="AK156" s="235">
        <f>AK154*AK155</f>
        <v>6.8119399999999999</v>
      </c>
      <c r="AL156" s="235"/>
      <c r="AM156" s="235"/>
      <c r="AN156" s="235"/>
      <c r="AO156" s="235"/>
      <c r="AP156" s="235">
        <f>AP154*AP155</f>
        <v>8.9087650000000007</v>
      </c>
      <c r="AQ156" s="235"/>
      <c r="AR156" s="235"/>
      <c r="AS156" s="235"/>
      <c r="AT156" s="235"/>
      <c r="AU156" s="235">
        <f>AU154*AU155</f>
        <v>8.2424870505639944</v>
      </c>
      <c r="AV156" s="235"/>
      <c r="AW156" s="235"/>
      <c r="AX156" s="235"/>
      <c r="AY156" s="235"/>
      <c r="AZ156" s="235">
        <f>AZ154*AZ155</f>
        <v>7.9513483582314644</v>
      </c>
      <c r="BA156" s="235"/>
      <c r="BB156" s="235"/>
      <c r="BC156" s="235"/>
      <c r="BD156" s="235"/>
      <c r="BE156" s="235">
        <f>BE154*BE155</f>
        <v>6.6319618560977327</v>
      </c>
      <c r="BF156" s="235"/>
      <c r="BG156" s="235"/>
      <c r="BH156" s="235"/>
      <c r="BI156" s="235"/>
      <c r="BJ156" s="235">
        <f>BJ154*BJ155</f>
        <v>8.2272070422104839</v>
      </c>
      <c r="BK156" s="235"/>
      <c r="BL156" s="235"/>
      <c r="BM156" s="235"/>
      <c r="BN156" s="235"/>
      <c r="BO156" s="235">
        <f>BO154*BO155</f>
        <v>11.047558204339802</v>
      </c>
      <c r="BP156" s="235"/>
      <c r="BQ156" s="235"/>
      <c r="BR156" s="235"/>
      <c r="BS156" s="235"/>
      <c r="BT156" s="235">
        <f>BT154*BT155</f>
        <v>15.0482340628194</v>
      </c>
      <c r="BU156" s="235"/>
      <c r="BV156" s="235"/>
      <c r="BW156" s="235"/>
      <c r="BX156" s="235"/>
      <c r="BY156" s="235">
        <f>BY154*BY155</f>
        <v>18.117195511725949</v>
      </c>
      <c r="BZ156" s="235"/>
      <c r="CA156" s="235"/>
      <c r="CB156" s="235"/>
      <c r="CC156" s="235"/>
      <c r="CD156" s="235">
        <f>CD154*CD155</f>
        <v>25.286816886817007</v>
      </c>
      <c r="CE156" s="235"/>
      <c r="CF156" s="235"/>
      <c r="CG156" s="235"/>
      <c r="CH156" s="235"/>
      <c r="CI156" s="235">
        <f>CI154*CI155</f>
        <v>33.870118868800098</v>
      </c>
      <c r="CJ156" s="235"/>
      <c r="CK156" s="235"/>
      <c r="CL156" s="235"/>
      <c r="CM156" s="235"/>
      <c r="CN156" s="235">
        <f>CN154*CN155</f>
        <v>43.715211666489658</v>
      </c>
      <c r="CO156" s="235"/>
      <c r="CP156" s="235"/>
      <c r="CQ156" s="235"/>
      <c r="CR156" s="235"/>
      <c r="CS156" s="235">
        <f>CS154*CS155</f>
        <v>53.376756202176203</v>
      </c>
      <c r="CT156" s="235"/>
      <c r="CU156" s="235"/>
      <c r="CV156" s="235"/>
      <c r="CW156" s="235"/>
      <c r="CX156" s="235">
        <f>CX154*CX155</f>
        <v>64.72920055431743</v>
      </c>
    </row>
    <row r="159" spans="2:102">
      <c r="B159" s="452" t="s">
        <v>410</v>
      </c>
    </row>
    <row r="160" spans="2:102">
      <c r="B160" s="453"/>
      <c r="C160" s="448"/>
      <c r="D160" s="448"/>
      <c r="E160" s="448"/>
      <c r="F160" s="448"/>
      <c r="G160" s="448"/>
      <c r="H160" s="448"/>
      <c r="I160" s="448"/>
      <c r="J160" s="448"/>
      <c r="K160" s="448"/>
      <c r="L160" s="448"/>
      <c r="M160" s="448"/>
      <c r="N160" s="448"/>
      <c r="O160" s="448"/>
      <c r="P160" s="448"/>
      <c r="Q160" s="448"/>
      <c r="R160" s="448"/>
      <c r="S160" s="448"/>
      <c r="T160" s="448"/>
      <c r="U160" s="448"/>
      <c r="V160" s="448"/>
      <c r="W160" s="448"/>
      <c r="X160" s="448"/>
      <c r="Y160" s="448"/>
      <c r="Z160" s="448"/>
      <c r="AA160" s="448"/>
      <c r="AB160" s="448"/>
      <c r="AC160" s="448"/>
      <c r="AD160" s="448"/>
      <c r="AE160" s="448"/>
      <c r="AF160" s="448"/>
      <c r="AG160" s="448"/>
      <c r="AH160" s="448"/>
      <c r="AI160" s="448"/>
      <c r="AJ160" s="448"/>
      <c r="AK160" s="448"/>
      <c r="AL160" s="448"/>
      <c r="AM160" s="448"/>
      <c r="AN160" s="448"/>
      <c r="AO160" s="448"/>
      <c r="AP160" s="448"/>
      <c r="AQ160" s="448"/>
      <c r="AR160" s="448"/>
      <c r="AS160" s="448"/>
      <c r="AT160" s="448"/>
      <c r="AU160" s="448"/>
      <c r="AV160" s="448"/>
      <c r="AW160" s="448"/>
      <c r="AX160" s="448"/>
      <c r="AY160" s="448"/>
      <c r="AZ160" s="448"/>
      <c r="BA160" s="448"/>
      <c r="BB160" s="448"/>
      <c r="BC160" s="448"/>
      <c r="BD160" s="448"/>
      <c r="BE160" s="448"/>
      <c r="BF160" s="448"/>
      <c r="BG160" s="448"/>
      <c r="BH160" s="448"/>
      <c r="BI160" s="448"/>
      <c r="BJ160" s="448"/>
      <c r="BK160" s="448"/>
      <c r="BL160" s="448"/>
      <c r="BM160" s="448"/>
      <c r="BN160" s="448"/>
      <c r="BO160" s="448"/>
      <c r="BP160" s="448"/>
      <c r="BQ160" s="448"/>
      <c r="BR160" s="448"/>
      <c r="BS160" s="448"/>
      <c r="BT160" s="448"/>
      <c r="BU160" s="448"/>
      <c r="BV160" s="448"/>
      <c r="BW160" s="448"/>
      <c r="BX160" s="448"/>
      <c r="BY160" s="448"/>
      <c r="BZ160" s="448"/>
      <c r="CA160" s="448"/>
      <c r="CB160" s="448"/>
      <c r="CC160" s="448"/>
      <c r="CD160" s="448"/>
      <c r="CE160" s="448"/>
      <c r="CF160" s="448"/>
      <c r="CG160" s="448"/>
      <c r="CH160" s="448"/>
      <c r="CI160" s="448"/>
      <c r="CJ160" s="448"/>
      <c r="CK160" s="448"/>
      <c r="CL160" s="448"/>
      <c r="CM160" s="448"/>
      <c r="CN160" s="448"/>
      <c r="CO160" s="448"/>
      <c r="CP160" s="448"/>
      <c r="CQ160" s="448"/>
      <c r="CR160" s="448"/>
      <c r="CS160" s="448"/>
      <c r="CT160" s="448"/>
      <c r="CU160" s="448"/>
      <c r="CV160" s="448"/>
      <c r="CW160" s="448"/>
      <c r="CX160" s="448"/>
    </row>
    <row r="161" spans="1:102">
      <c r="B161" s="454" t="s">
        <v>419</v>
      </c>
      <c r="C161" s="70"/>
      <c r="D161" s="70"/>
      <c r="E161" s="70"/>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70"/>
      <c r="AS161" s="70"/>
      <c r="AT161" s="70"/>
      <c r="AU161" s="70"/>
      <c r="AV161" s="70"/>
      <c r="AW161" s="70"/>
      <c r="AX161" s="70"/>
      <c r="AY161" s="70"/>
      <c r="AZ161" s="70"/>
      <c r="BA161" s="70"/>
      <c r="BB161" s="70"/>
      <c r="BC161" s="70"/>
      <c r="BD161" s="70"/>
      <c r="BE161" s="70"/>
      <c r="BF161" s="70"/>
      <c r="BG161" s="70"/>
      <c r="BH161" s="70"/>
      <c r="BI161" s="70"/>
      <c r="BJ161" s="70"/>
      <c r="BK161" s="70"/>
      <c r="BL161" s="70"/>
      <c r="BM161" s="70"/>
      <c r="BN161" s="70"/>
      <c r="BO161" s="70"/>
      <c r="BP161" s="70"/>
      <c r="BQ161" s="70"/>
      <c r="BR161" s="70"/>
      <c r="BS161" s="70"/>
      <c r="BT161" s="70"/>
      <c r="BU161" s="70"/>
      <c r="BV161" s="70"/>
      <c r="BW161" s="70"/>
      <c r="BX161" s="70"/>
      <c r="BY161" s="70"/>
      <c r="BZ161" s="70"/>
      <c r="CA161" s="70"/>
      <c r="CB161" s="70"/>
      <c r="CC161" s="70"/>
      <c r="CD161" s="70"/>
      <c r="CE161" s="70"/>
      <c r="CF161" s="70"/>
      <c r="CG161" s="70"/>
      <c r="CH161" s="70"/>
      <c r="CI161" s="70"/>
      <c r="CJ161" s="70"/>
      <c r="CK161" s="70"/>
      <c r="CL161" s="70"/>
      <c r="CM161" s="70"/>
      <c r="CN161" s="70"/>
      <c r="CO161" s="70"/>
      <c r="CP161" s="70"/>
      <c r="CQ161" s="70"/>
      <c r="CR161" s="70"/>
      <c r="CS161" s="70"/>
      <c r="CT161" s="70"/>
      <c r="CU161" s="70"/>
      <c r="CV161" s="70"/>
      <c r="CW161" s="70"/>
      <c r="CX161" s="70"/>
    </row>
    <row r="162" spans="1:102">
      <c r="B162" s="446" t="s">
        <v>411</v>
      </c>
      <c r="C162" s="70"/>
      <c r="D162" s="70"/>
      <c r="E162" s="70"/>
      <c r="F162" s="70"/>
      <c r="G162" s="70"/>
      <c r="H162" s="70"/>
      <c r="I162" s="70"/>
      <c r="J162" s="70"/>
      <c r="K162" s="70"/>
      <c r="L162" s="450"/>
      <c r="M162" s="450"/>
      <c r="N162" s="450"/>
      <c r="O162" s="450"/>
      <c r="P162" s="450"/>
      <c r="Q162" s="450"/>
      <c r="R162" s="450"/>
      <c r="S162" s="450"/>
      <c r="T162" s="450"/>
      <c r="U162" s="450"/>
      <c r="V162" s="450"/>
      <c r="W162" s="450"/>
      <c r="X162" s="450"/>
      <c r="Y162" s="450"/>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450"/>
      <c r="BA162" s="450"/>
      <c r="BB162" s="450"/>
      <c r="BC162" s="450"/>
      <c r="BD162" s="450"/>
      <c r="BE162" s="450"/>
      <c r="BF162" s="450"/>
      <c r="BG162" s="450"/>
      <c r="BH162" s="450"/>
      <c r="BI162" s="450"/>
      <c r="BJ162" s="450"/>
      <c r="BK162" s="450"/>
      <c r="BL162" s="450"/>
      <c r="BM162" s="450"/>
      <c r="BN162" s="450"/>
      <c r="BO162" s="450"/>
      <c r="BP162" s="450"/>
      <c r="BQ162" s="450"/>
      <c r="BR162" s="450"/>
      <c r="BS162" s="450"/>
      <c r="BT162" s="450"/>
      <c r="BU162" s="450"/>
      <c r="BV162" s="450"/>
      <c r="BW162" s="450"/>
      <c r="BX162" s="450"/>
      <c r="BY162" s="450"/>
      <c r="BZ162" s="450"/>
      <c r="CA162" s="450"/>
      <c r="CB162" s="450"/>
      <c r="CC162" s="450"/>
      <c r="CD162" s="450"/>
      <c r="CE162" s="450"/>
      <c r="CF162" s="450"/>
      <c r="CG162" s="450"/>
      <c r="CH162" s="450"/>
      <c r="CI162" s="450"/>
      <c r="CJ162" s="450"/>
      <c r="CK162" s="450"/>
      <c r="CL162" s="450"/>
      <c r="CM162" s="450"/>
      <c r="CN162" s="450"/>
      <c r="CO162" s="450"/>
      <c r="CP162" s="450"/>
      <c r="CQ162" s="450"/>
      <c r="CR162" s="450"/>
      <c r="CS162" s="450"/>
      <c r="CT162" s="450"/>
      <c r="CU162" s="450"/>
      <c r="CV162" s="450"/>
      <c r="CW162" s="450"/>
      <c r="CX162" s="450"/>
    </row>
    <row r="163" spans="1:102">
      <c r="B163" s="446" t="s">
        <v>417</v>
      </c>
      <c r="C163" s="70"/>
      <c r="D163" s="70"/>
      <c r="E163" s="70"/>
      <c r="F163" s="70"/>
      <c r="G163" s="70"/>
      <c r="H163" s="70"/>
      <c r="I163" s="70"/>
      <c r="J163" s="70"/>
      <c r="K163" s="70"/>
      <c r="L163" s="450"/>
      <c r="M163" s="450"/>
      <c r="N163" s="450"/>
      <c r="O163" s="450"/>
      <c r="P163" s="450"/>
      <c r="Q163" s="450"/>
      <c r="R163" s="450"/>
      <c r="S163" s="450"/>
      <c r="T163" s="450"/>
      <c r="U163" s="450"/>
      <c r="V163" s="450"/>
      <c r="W163" s="450"/>
      <c r="X163" s="450"/>
      <c r="Y163" s="450"/>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450"/>
      <c r="BA163" s="450"/>
      <c r="BB163" s="450"/>
      <c r="BC163" s="450"/>
      <c r="BD163" s="450"/>
      <c r="BE163" s="450"/>
      <c r="BF163" s="450"/>
      <c r="BG163" s="450"/>
      <c r="BH163" s="450"/>
      <c r="BI163" s="450"/>
      <c r="BJ163" s="450"/>
      <c r="BK163" s="450"/>
      <c r="BL163" s="450"/>
      <c r="BM163" s="450"/>
      <c r="BN163" s="450"/>
      <c r="BO163" s="450"/>
      <c r="BP163" s="450"/>
      <c r="BQ163" s="450"/>
      <c r="BR163" s="450"/>
      <c r="BS163" s="450"/>
      <c r="BT163" s="450"/>
      <c r="BU163" s="450"/>
      <c r="BV163" s="450"/>
      <c r="BW163" s="450"/>
      <c r="BX163" s="450"/>
      <c r="BY163" s="450"/>
      <c r="BZ163" s="450"/>
      <c r="CA163" s="450"/>
      <c r="CB163" s="450"/>
      <c r="CC163" s="450"/>
      <c r="CD163" s="450"/>
      <c r="CE163" s="450"/>
      <c r="CF163" s="450"/>
      <c r="CG163" s="450"/>
      <c r="CH163" s="450"/>
      <c r="CI163" s="450"/>
      <c r="CJ163" s="450"/>
      <c r="CK163" s="450"/>
      <c r="CL163" s="450"/>
      <c r="CM163" s="450"/>
      <c r="CN163" s="450"/>
      <c r="CO163" s="450"/>
      <c r="CP163" s="450"/>
      <c r="CQ163" s="450"/>
      <c r="CR163" s="450"/>
      <c r="CS163" s="450"/>
      <c r="CT163" s="450"/>
      <c r="CU163" s="450"/>
      <c r="CV163" s="450"/>
      <c r="CW163" s="450"/>
      <c r="CX163" s="450"/>
    </row>
    <row r="164" spans="1:102">
      <c r="B164" s="454"/>
      <c r="C164" s="70"/>
      <c r="D164" s="70"/>
      <c r="E164" s="70"/>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70"/>
      <c r="AS164" s="70"/>
      <c r="AT164" s="70"/>
      <c r="AU164" s="70"/>
      <c r="AV164" s="70"/>
      <c r="AW164" s="70"/>
      <c r="AX164" s="70"/>
      <c r="AY164" s="70"/>
      <c r="AZ164" s="70"/>
      <c r="BA164" s="70"/>
      <c r="BB164" s="70"/>
      <c r="BC164" s="70"/>
      <c r="BD164" s="70"/>
      <c r="BE164" s="70"/>
      <c r="BF164" s="70"/>
      <c r="BG164" s="70"/>
      <c r="BH164" s="70"/>
      <c r="BI164" s="70"/>
      <c r="BJ164" s="70"/>
      <c r="BK164" s="70"/>
      <c r="BL164" s="70"/>
      <c r="BM164" s="70"/>
      <c r="BN164" s="70"/>
      <c r="BO164" s="70"/>
      <c r="BP164" s="70"/>
      <c r="BQ164" s="70"/>
      <c r="BR164" s="70"/>
      <c r="BS164" s="70"/>
      <c r="BT164" s="70"/>
      <c r="BU164" s="70"/>
      <c r="BV164" s="70"/>
      <c r="BW164" s="70"/>
      <c r="BX164" s="70"/>
      <c r="BY164" s="70"/>
      <c r="BZ164" s="70"/>
      <c r="CA164" s="70"/>
      <c r="CB164" s="70"/>
      <c r="CC164" s="70"/>
      <c r="CD164" s="70"/>
      <c r="CE164" s="70"/>
      <c r="CF164" s="70"/>
      <c r="CG164" s="70"/>
      <c r="CH164" s="70"/>
      <c r="CI164" s="70"/>
      <c r="CJ164" s="70"/>
      <c r="CK164" s="70"/>
      <c r="CL164" s="70"/>
      <c r="CM164" s="70"/>
      <c r="CN164" s="70"/>
      <c r="CO164" s="70"/>
      <c r="CP164" s="70"/>
      <c r="CQ164" s="70"/>
      <c r="CR164" s="70"/>
      <c r="CS164" s="70"/>
      <c r="CT164" s="70"/>
      <c r="CU164" s="70"/>
      <c r="CV164" s="70"/>
      <c r="CW164" s="70"/>
      <c r="CX164" s="70"/>
    </row>
    <row r="165" spans="1:102">
      <c r="B165" s="446" t="s">
        <v>412</v>
      </c>
      <c r="C165" s="70"/>
      <c r="D165" s="70"/>
      <c r="E165" s="70"/>
      <c r="F165" s="70"/>
      <c r="G165" s="70"/>
      <c r="H165" s="70"/>
      <c r="I165" s="70"/>
      <c r="J165" s="70"/>
      <c r="K165" s="70"/>
      <c r="L165" s="450"/>
      <c r="M165" s="450"/>
      <c r="N165" s="450"/>
      <c r="O165" s="450"/>
      <c r="P165" s="450"/>
      <c r="Q165" s="450"/>
      <c r="R165" s="450"/>
      <c r="S165" s="450"/>
      <c r="T165" s="450"/>
      <c r="U165" s="450"/>
      <c r="V165" s="450"/>
      <c r="W165" s="450"/>
      <c r="X165" s="450"/>
      <c r="Y165" s="450"/>
      <c r="Z165" s="450"/>
      <c r="AA165" s="450">
        <f>V167</f>
        <v>40.558</v>
      </c>
      <c r="AB165" s="450"/>
      <c r="AC165" s="450"/>
      <c r="AD165" s="450"/>
      <c r="AE165" s="450"/>
      <c r="AF165" s="450">
        <f>AA167</f>
        <v>31.43</v>
      </c>
      <c r="AG165" s="450"/>
      <c r="AH165" s="450"/>
      <c r="AI165" s="450"/>
      <c r="AJ165" s="450"/>
      <c r="AK165" s="450">
        <f>AF167</f>
        <v>16.93</v>
      </c>
      <c r="AL165" s="450"/>
      <c r="AM165" s="450"/>
      <c r="AN165" s="450"/>
      <c r="AO165" s="450"/>
      <c r="AP165" s="450"/>
      <c r="AQ165" s="450"/>
      <c r="AR165" s="450"/>
      <c r="AS165" s="450"/>
      <c r="AT165" s="450"/>
      <c r="AU165" s="450"/>
      <c r="AV165" s="450"/>
      <c r="AW165" s="450"/>
      <c r="AX165" s="450"/>
      <c r="AY165" s="450"/>
      <c r="AZ165" s="450"/>
      <c r="BA165" s="450"/>
      <c r="BB165" s="450"/>
      <c r="BC165" s="450"/>
      <c r="BD165" s="450"/>
      <c r="BE165" s="450"/>
      <c r="BF165" s="450"/>
      <c r="BG165" s="450"/>
      <c r="BH165" s="450"/>
      <c r="BI165" s="450"/>
      <c r="BJ165" s="450"/>
      <c r="BK165" s="450"/>
      <c r="BL165" s="450"/>
      <c r="BM165" s="450"/>
      <c r="BN165" s="450"/>
      <c r="BO165" s="450"/>
      <c r="BP165" s="450"/>
      <c r="BQ165" s="450"/>
      <c r="BR165" s="450"/>
      <c r="BS165" s="450"/>
      <c r="BT165" s="450"/>
      <c r="BU165" s="450"/>
      <c r="BV165" s="450"/>
      <c r="BW165" s="450"/>
      <c r="BX165" s="450"/>
      <c r="BY165" s="450"/>
      <c r="BZ165" s="450"/>
      <c r="CA165" s="450"/>
      <c r="CB165" s="450"/>
      <c r="CC165" s="450"/>
      <c r="CD165" s="450"/>
      <c r="CE165" s="450"/>
      <c r="CF165" s="450"/>
      <c r="CG165" s="450"/>
      <c r="CH165" s="450"/>
      <c r="CI165" s="450"/>
      <c r="CJ165" s="450"/>
      <c r="CK165" s="450"/>
      <c r="CL165" s="450"/>
      <c r="CM165" s="450"/>
      <c r="CN165" s="450"/>
      <c r="CO165" s="450"/>
      <c r="CP165" s="450"/>
      <c r="CQ165" s="450"/>
      <c r="CR165" s="450"/>
      <c r="CS165" s="450"/>
      <c r="CT165" s="450"/>
      <c r="CU165" s="450"/>
      <c r="CV165" s="450"/>
      <c r="CW165" s="450"/>
      <c r="CX165" s="450"/>
    </row>
    <row r="166" spans="1:102">
      <c r="B166" s="446" t="s">
        <v>413</v>
      </c>
      <c r="C166" s="70"/>
      <c r="D166" s="70"/>
      <c r="E166" s="70"/>
      <c r="F166" s="70"/>
      <c r="G166" s="70"/>
      <c r="H166" s="70"/>
      <c r="I166" s="70"/>
      <c r="J166" s="70"/>
      <c r="K166" s="70"/>
      <c r="L166" s="450"/>
      <c r="M166" s="450"/>
      <c r="N166" s="450"/>
      <c r="O166" s="450"/>
      <c r="P166" s="450"/>
      <c r="Q166" s="450"/>
      <c r="R166" s="450"/>
      <c r="S166" s="450"/>
      <c r="T166" s="450"/>
      <c r="U166" s="450"/>
      <c r="V166" s="450"/>
      <c r="W166" s="450"/>
      <c r="X166" s="450"/>
      <c r="Y166" s="450"/>
      <c r="Z166" s="450"/>
      <c r="AA166" s="450">
        <f>AA165-AA167</f>
        <v>9.1280000000000001</v>
      </c>
      <c r="AB166" s="450"/>
      <c r="AC166" s="450"/>
      <c r="AD166" s="450"/>
      <c r="AE166" s="450"/>
      <c r="AF166" s="475">
        <v>14.5</v>
      </c>
      <c r="AG166" s="450"/>
      <c r="AH166" s="450"/>
      <c r="AI166" s="450"/>
      <c r="AJ166" s="450"/>
      <c r="AK166" s="450">
        <f>AK165</f>
        <v>16.93</v>
      </c>
      <c r="AL166" s="450"/>
      <c r="AM166" s="450"/>
      <c r="AN166" s="450"/>
      <c r="AO166" s="450"/>
      <c r="AP166" s="450"/>
      <c r="AQ166" s="450"/>
      <c r="AR166" s="450"/>
      <c r="AS166" s="450"/>
      <c r="AT166" s="450"/>
      <c r="AU166" s="450"/>
      <c r="AV166" s="450"/>
      <c r="AW166" s="450"/>
      <c r="AX166" s="450"/>
      <c r="AY166" s="450"/>
      <c r="AZ166" s="450"/>
      <c r="BA166" s="450"/>
      <c r="BB166" s="450"/>
      <c r="BC166" s="450"/>
      <c r="BD166" s="450"/>
      <c r="BE166" s="450"/>
      <c r="BF166" s="450"/>
      <c r="BG166" s="450"/>
      <c r="BH166" s="450"/>
      <c r="BI166" s="450"/>
      <c r="BJ166" s="450"/>
      <c r="BK166" s="450"/>
      <c r="BL166" s="450"/>
      <c r="BM166" s="450"/>
      <c r="BN166" s="450"/>
      <c r="BO166" s="450"/>
      <c r="BP166" s="450"/>
      <c r="BQ166" s="450"/>
      <c r="BR166" s="450"/>
      <c r="BS166" s="450"/>
      <c r="BT166" s="450"/>
      <c r="BU166" s="450"/>
      <c r="BV166" s="450"/>
      <c r="BW166" s="450"/>
      <c r="BX166" s="450"/>
      <c r="BY166" s="450"/>
      <c r="BZ166" s="450"/>
      <c r="CA166" s="450"/>
      <c r="CB166" s="450"/>
      <c r="CC166" s="450"/>
      <c r="CD166" s="450"/>
      <c r="CE166" s="450"/>
      <c r="CF166" s="450"/>
      <c r="CG166" s="450"/>
      <c r="CH166" s="450"/>
      <c r="CI166" s="450"/>
      <c r="CJ166" s="450"/>
      <c r="CK166" s="450"/>
      <c r="CL166" s="450"/>
      <c r="CM166" s="450"/>
      <c r="CN166" s="450"/>
      <c r="CO166" s="450"/>
      <c r="CP166" s="450"/>
      <c r="CQ166" s="450"/>
      <c r="CR166" s="450"/>
      <c r="CS166" s="450"/>
      <c r="CT166" s="450"/>
      <c r="CU166" s="450"/>
      <c r="CV166" s="450"/>
      <c r="CW166" s="450"/>
      <c r="CX166" s="450"/>
    </row>
    <row r="167" spans="1:102">
      <c r="B167" s="446" t="s">
        <v>414</v>
      </c>
      <c r="C167" s="70"/>
      <c r="D167" s="70"/>
      <c r="E167" s="70"/>
      <c r="F167" s="70"/>
      <c r="G167" s="70"/>
      <c r="H167" s="70"/>
      <c r="I167" s="70"/>
      <c r="J167" s="70"/>
      <c r="K167" s="70"/>
      <c r="L167" s="450"/>
      <c r="M167" s="450"/>
      <c r="N167" s="450"/>
      <c r="O167" s="450"/>
      <c r="P167" s="450"/>
      <c r="Q167" s="450"/>
      <c r="R167" s="450"/>
      <c r="S167" s="450"/>
      <c r="T167" s="450"/>
      <c r="U167" s="450"/>
      <c r="V167" s="450">
        <v>40.558</v>
      </c>
      <c r="W167" s="450"/>
      <c r="X167" s="450"/>
      <c r="Y167" s="450"/>
      <c r="Z167" s="450"/>
      <c r="AA167" s="450">
        <v>31.43</v>
      </c>
      <c r="AB167" s="450"/>
      <c r="AC167" s="450"/>
      <c r="AD167" s="450"/>
      <c r="AE167" s="450"/>
      <c r="AF167" s="450">
        <f>AF165-AF166</f>
        <v>16.93</v>
      </c>
      <c r="AG167" s="450"/>
      <c r="AH167" s="450"/>
      <c r="AI167" s="450"/>
      <c r="AJ167" s="450"/>
      <c r="AK167" s="450">
        <f>AK165-AK166</f>
        <v>0</v>
      </c>
      <c r="AL167" s="450"/>
      <c r="AM167" s="450"/>
      <c r="AN167" s="450"/>
      <c r="AO167" s="450"/>
      <c r="AP167" s="450"/>
      <c r="AQ167" s="450"/>
      <c r="AR167" s="450"/>
      <c r="AS167" s="450"/>
      <c r="AT167" s="450"/>
      <c r="AU167" s="450"/>
      <c r="AV167" s="450"/>
      <c r="AW167" s="450"/>
      <c r="AX167" s="450"/>
      <c r="AY167" s="450"/>
      <c r="AZ167" s="450"/>
      <c r="BA167" s="450"/>
      <c r="BB167" s="450"/>
      <c r="BC167" s="450"/>
      <c r="BD167" s="450"/>
      <c r="BE167" s="450"/>
      <c r="BF167" s="450"/>
      <c r="BG167" s="450"/>
      <c r="BH167" s="450"/>
      <c r="BI167" s="450"/>
      <c r="BJ167" s="450"/>
      <c r="BK167" s="450"/>
      <c r="BL167" s="450"/>
      <c r="BM167" s="450"/>
      <c r="BN167" s="450"/>
      <c r="BO167" s="450"/>
      <c r="BP167" s="450"/>
      <c r="BQ167" s="450"/>
      <c r="BR167" s="450"/>
      <c r="BS167" s="450"/>
      <c r="BT167" s="450"/>
      <c r="BU167" s="450"/>
      <c r="BV167" s="450"/>
      <c r="BW167" s="450"/>
      <c r="BX167" s="450"/>
      <c r="BY167" s="450"/>
      <c r="BZ167" s="450"/>
      <c r="CA167" s="450"/>
      <c r="CB167" s="450"/>
      <c r="CC167" s="450"/>
      <c r="CD167" s="450"/>
      <c r="CE167" s="450"/>
      <c r="CF167" s="450"/>
      <c r="CG167" s="450"/>
      <c r="CH167" s="450"/>
      <c r="CI167" s="450"/>
      <c r="CJ167" s="450"/>
      <c r="CK167" s="450"/>
      <c r="CL167" s="450"/>
      <c r="CM167" s="450"/>
      <c r="CN167" s="450"/>
      <c r="CO167" s="450"/>
      <c r="CP167" s="450"/>
      <c r="CQ167" s="450"/>
      <c r="CR167" s="450"/>
      <c r="CS167" s="450"/>
      <c r="CT167" s="450"/>
      <c r="CU167" s="450"/>
      <c r="CV167" s="450"/>
      <c r="CW167" s="450"/>
      <c r="CX167" s="450"/>
    </row>
    <row r="168" spans="1:102">
      <c r="B168" s="488" t="s">
        <v>422</v>
      </c>
      <c r="C168" s="70"/>
      <c r="D168" s="70"/>
      <c r="E168" s="70"/>
      <c r="F168" s="70"/>
      <c r="G168" s="70"/>
      <c r="H168" s="70"/>
      <c r="I168" s="70"/>
      <c r="J168" s="70"/>
      <c r="K168" s="70"/>
      <c r="L168" s="450"/>
      <c r="M168" s="450"/>
      <c r="N168" s="450"/>
      <c r="O168" s="450"/>
      <c r="P168" s="450"/>
      <c r="Q168" s="450"/>
      <c r="R168" s="450"/>
      <c r="S168" s="450"/>
      <c r="T168" s="450"/>
      <c r="U168" s="450"/>
      <c r="V168" s="475">
        <v>0</v>
      </c>
      <c r="W168" s="475"/>
      <c r="X168" s="475"/>
      <c r="Y168" s="475"/>
      <c r="Z168" s="475"/>
      <c r="AA168" s="475">
        <v>0</v>
      </c>
      <c r="AB168" s="475"/>
      <c r="AC168" s="475"/>
      <c r="AD168" s="475"/>
      <c r="AE168" s="475"/>
      <c r="AF168" s="475">
        <v>0</v>
      </c>
      <c r="AG168" s="475"/>
      <c r="AH168" s="475"/>
      <c r="AI168" s="475"/>
      <c r="AJ168" s="475"/>
      <c r="AK168" s="475">
        <v>0</v>
      </c>
      <c r="AL168" s="475"/>
      <c r="AM168" s="475"/>
      <c r="AN168" s="475"/>
      <c r="AO168" s="475"/>
      <c r="AP168" s="475"/>
      <c r="AQ168" s="475"/>
      <c r="AR168" s="475"/>
      <c r="AS168" s="475"/>
      <c r="AT168" s="475"/>
      <c r="AU168" s="475"/>
      <c r="AV168" s="475"/>
      <c r="AW168" s="475"/>
      <c r="AX168" s="475"/>
      <c r="AY168" s="475"/>
      <c r="AZ168" s="475"/>
      <c r="BA168" s="475"/>
      <c r="BB168" s="475"/>
      <c r="BC168" s="475"/>
      <c r="BD168" s="475"/>
      <c r="BE168" s="475"/>
      <c r="BF168" s="475"/>
      <c r="BG168" s="475"/>
      <c r="BH168" s="475"/>
      <c r="BI168" s="475"/>
      <c r="BJ168" s="475"/>
      <c r="BK168" s="475"/>
      <c r="BL168" s="475"/>
      <c r="BM168" s="475"/>
      <c r="BN168" s="475"/>
      <c r="BO168" s="475"/>
      <c r="BP168" s="475"/>
      <c r="BQ168" s="475"/>
      <c r="BR168" s="475"/>
      <c r="BS168" s="475"/>
      <c r="BT168" s="475"/>
      <c r="BU168" s="475"/>
      <c r="BV168" s="475"/>
      <c r="BW168" s="475"/>
      <c r="BX168" s="475"/>
      <c r="BY168" s="475"/>
      <c r="BZ168" s="475"/>
      <c r="CA168" s="475"/>
      <c r="CB168" s="475"/>
      <c r="CC168" s="475"/>
      <c r="CD168" s="475"/>
      <c r="CE168" s="475"/>
      <c r="CF168" s="475"/>
      <c r="CG168" s="475"/>
      <c r="CH168" s="475"/>
      <c r="CI168" s="475"/>
      <c r="CJ168" s="475"/>
      <c r="CK168" s="475"/>
      <c r="CL168" s="475"/>
      <c r="CM168" s="475"/>
      <c r="CN168" s="475"/>
      <c r="CO168" s="475"/>
      <c r="CP168" s="475"/>
      <c r="CQ168" s="475"/>
      <c r="CR168" s="475"/>
      <c r="CS168" s="475"/>
      <c r="CT168" s="475"/>
      <c r="CU168" s="475"/>
      <c r="CV168" s="475"/>
      <c r="CW168" s="475"/>
      <c r="CX168" s="475"/>
    </row>
    <row r="169" spans="1:102">
      <c r="B169" s="488" t="s">
        <v>423</v>
      </c>
      <c r="C169" s="70"/>
      <c r="D169" s="70"/>
      <c r="E169" s="70"/>
      <c r="F169" s="70"/>
      <c r="G169" s="70"/>
      <c r="H169" s="70"/>
      <c r="I169" s="70"/>
      <c r="J169" s="70"/>
      <c r="K169" s="70"/>
      <c r="L169" s="450"/>
      <c r="M169" s="450"/>
      <c r="N169" s="450"/>
      <c r="O169" s="450"/>
      <c r="P169" s="450"/>
      <c r="Q169" s="450"/>
      <c r="R169" s="450"/>
      <c r="S169" s="450"/>
      <c r="T169" s="450"/>
      <c r="U169" s="450"/>
      <c r="V169" s="450">
        <v>-0.246</v>
      </c>
      <c r="W169" s="450"/>
      <c r="X169" s="450"/>
      <c r="Y169" s="450"/>
      <c r="Z169" s="450"/>
      <c r="AA169" s="450">
        <v>-0.11</v>
      </c>
      <c r="AB169" s="450"/>
      <c r="AC169" s="450"/>
      <c r="AD169" s="450"/>
      <c r="AE169" s="450"/>
      <c r="AF169" s="475">
        <v>-0.06</v>
      </c>
      <c r="AG169" s="450"/>
      <c r="AH169" s="450"/>
      <c r="AI169" s="450"/>
      <c r="AJ169" s="450"/>
      <c r="AK169" s="475">
        <v>0</v>
      </c>
      <c r="AL169" s="450"/>
      <c r="AM169" s="450"/>
      <c r="AN169" s="450"/>
      <c r="AO169" s="450"/>
      <c r="AP169" s="475"/>
      <c r="AQ169" s="450"/>
      <c r="AR169" s="450"/>
      <c r="AS169" s="450"/>
      <c r="AT169" s="450"/>
      <c r="AU169" s="475"/>
      <c r="AV169" s="450"/>
      <c r="AW169" s="450"/>
      <c r="AX169" s="450"/>
      <c r="AY169" s="450"/>
      <c r="AZ169" s="475"/>
      <c r="BA169" s="450"/>
      <c r="BB169" s="450"/>
      <c r="BC169" s="450"/>
      <c r="BD169" s="450"/>
      <c r="BE169" s="475"/>
      <c r="BF169" s="450"/>
      <c r="BG169" s="450"/>
      <c r="BH169" s="450"/>
      <c r="BI169" s="450"/>
      <c r="BJ169" s="475"/>
      <c r="BK169" s="450"/>
      <c r="BL169" s="450"/>
      <c r="BM169" s="450"/>
      <c r="BN169" s="450"/>
      <c r="BO169" s="475"/>
      <c r="BP169" s="450"/>
      <c r="BQ169" s="450"/>
      <c r="BR169" s="450"/>
      <c r="BS169" s="450"/>
      <c r="BT169" s="475"/>
      <c r="BU169" s="450"/>
      <c r="BV169" s="450"/>
      <c r="BW169" s="450"/>
      <c r="BX169" s="450"/>
      <c r="BY169" s="475"/>
      <c r="BZ169" s="450"/>
      <c r="CA169" s="450"/>
      <c r="CB169" s="450"/>
      <c r="CC169" s="450"/>
      <c r="CD169" s="475"/>
      <c r="CE169" s="450"/>
      <c r="CF169" s="450"/>
      <c r="CG169" s="450"/>
      <c r="CH169" s="450"/>
      <c r="CI169" s="475"/>
      <c r="CJ169" s="450"/>
      <c r="CK169" s="450"/>
      <c r="CL169" s="450"/>
      <c r="CM169" s="450"/>
      <c r="CN169" s="475"/>
      <c r="CO169" s="450"/>
      <c r="CP169" s="450"/>
      <c r="CQ169" s="450"/>
      <c r="CR169" s="450"/>
      <c r="CS169" s="475"/>
      <c r="CT169" s="450"/>
      <c r="CU169" s="450"/>
      <c r="CV169" s="450"/>
      <c r="CW169" s="450"/>
      <c r="CX169" s="475"/>
    </row>
    <row r="170" spans="1:102">
      <c r="B170" s="446" t="s">
        <v>424</v>
      </c>
      <c r="C170" s="70"/>
      <c r="D170" s="70"/>
      <c r="E170" s="70"/>
      <c r="F170" s="70"/>
      <c r="G170" s="70"/>
      <c r="H170" s="70"/>
      <c r="I170" s="70"/>
      <c r="J170" s="70"/>
      <c r="K170" s="70"/>
      <c r="L170" s="450"/>
      <c r="M170" s="450"/>
      <c r="N170" s="450"/>
      <c r="O170" s="450"/>
      <c r="P170" s="450"/>
      <c r="Q170" s="450"/>
      <c r="R170" s="450"/>
      <c r="S170" s="450"/>
      <c r="T170" s="450"/>
      <c r="U170" s="450"/>
      <c r="V170" s="450">
        <f>V167+V168+V169</f>
        <v>40.311999999999998</v>
      </c>
      <c r="W170" s="450"/>
      <c r="X170" s="450"/>
      <c r="Y170" s="450"/>
      <c r="Z170" s="450"/>
      <c r="AA170" s="450">
        <f>AA167+AA168+AA169</f>
        <v>31.32</v>
      </c>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450"/>
      <c r="BA170" s="450"/>
      <c r="BB170" s="450"/>
      <c r="BC170" s="450"/>
      <c r="BD170" s="450"/>
      <c r="BE170" s="450"/>
      <c r="BF170" s="450"/>
      <c r="BG170" s="450"/>
      <c r="BH170" s="450"/>
      <c r="BI170" s="450"/>
      <c r="BJ170" s="450"/>
      <c r="BK170" s="450"/>
      <c r="BL170" s="450"/>
      <c r="BM170" s="450"/>
      <c r="BN170" s="450"/>
      <c r="BO170" s="450"/>
      <c r="BP170" s="450"/>
      <c r="BQ170" s="450"/>
      <c r="BR170" s="450"/>
      <c r="BS170" s="450"/>
      <c r="BT170" s="450"/>
      <c r="BU170" s="450"/>
      <c r="BV170" s="450"/>
      <c r="BW170" s="450"/>
      <c r="BX170" s="450"/>
      <c r="BY170" s="450"/>
      <c r="BZ170" s="450"/>
      <c r="CA170" s="450"/>
      <c r="CB170" s="450"/>
      <c r="CC170" s="450"/>
      <c r="CD170" s="450"/>
      <c r="CE170" s="450"/>
      <c r="CF170" s="450"/>
      <c r="CG170" s="450"/>
      <c r="CH170" s="450"/>
      <c r="CI170" s="450"/>
      <c r="CJ170" s="450"/>
      <c r="CK170" s="450"/>
      <c r="CL170" s="450"/>
      <c r="CM170" s="450"/>
      <c r="CN170" s="450"/>
      <c r="CO170" s="450"/>
      <c r="CP170" s="450"/>
      <c r="CQ170" s="450"/>
      <c r="CR170" s="450"/>
      <c r="CS170" s="450"/>
      <c r="CT170" s="450"/>
      <c r="CU170" s="450"/>
      <c r="CV170" s="450"/>
      <c r="CW170" s="450"/>
      <c r="CX170" s="450"/>
    </row>
    <row r="171" spans="1:102">
      <c r="B171" s="454"/>
      <c r="C171" s="70"/>
      <c r="D171" s="70"/>
      <c r="E171" s="70"/>
      <c r="F171" s="70"/>
      <c r="G171" s="70"/>
      <c r="H171" s="70"/>
      <c r="I171" s="70"/>
      <c r="J171" s="70"/>
      <c r="K171" s="70"/>
      <c r="L171" s="70"/>
      <c r="M171" s="70"/>
      <c r="N171" s="70"/>
      <c r="O171" s="70"/>
      <c r="P171" s="70"/>
      <c r="Q171" s="70"/>
      <c r="R171" s="70"/>
      <c r="S171" s="70"/>
      <c r="T171" s="70"/>
      <c r="U171" s="70"/>
      <c r="V171" s="70"/>
      <c r="W171" s="70"/>
      <c r="X171" s="70"/>
      <c r="Y171" s="70"/>
      <c r="Z171" s="70"/>
      <c r="AA171" s="70"/>
      <c r="AB171" s="70"/>
      <c r="AC171" s="70"/>
      <c r="AD171" s="70"/>
      <c r="AE171" s="70"/>
      <c r="AF171" s="70"/>
      <c r="AG171" s="70"/>
      <c r="AH171" s="70"/>
      <c r="AI171" s="70"/>
      <c r="AJ171" s="70"/>
      <c r="AK171" s="70"/>
      <c r="AL171" s="70"/>
      <c r="AM171" s="70"/>
      <c r="AN171" s="70"/>
      <c r="AO171" s="70"/>
      <c r="AP171" s="70"/>
      <c r="AQ171" s="70"/>
      <c r="AR171" s="70"/>
      <c r="AS171" s="70"/>
      <c r="AT171" s="70"/>
      <c r="AU171" s="70"/>
      <c r="AV171" s="70"/>
      <c r="AW171" s="70"/>
      <c r="AX171" s="70"/>
      <c r="AY171" s="70"/>
      <c r="AZ171" s="70"/>
      <c r="BA171" s="70"/>
      <c r="BB171" s="70"/>
      <c r="BC171" s="70"/>
      <c r="BD171" s="70"/>
      <c r="BE171" s="70"/>
      <c r="BF171" s="70"/>
      <c r="BG171" s="70"/>
      <c r="BH171" s="70"/>
      <c r="BI171" s="70"/>
      <c r="BJ171" s="70"/>
      <c r="BK171" s="70"/>
      <c r="BL171" s="70"/>
      <c r="BM171" s="70"/>
      <c r="BN171" s="70"/>
      <c r="BO171" s="70"/>
      <c r="BP171" s="70"/>
      <c r="BQ171" s="70"/>
      <c r="BR171" s="70"/>
      <c r="BS171" s="70"/>
      <c r="BT171" s="70"/>
      <c r="BU171" s="70"/>
      <c r="BV171" s="70"/>
      <c r="BW171" s="70"/>
      <c r="BX171" s="70"/>
      <c r="BY171" s="70"/>
      <c r="BZ171" s="70"/>
      <c r="CA171" s="70"/>
      <c r="CB171" s="70"/>
      <c r="CC171" s="70"/>
      <c r="CD171" s="70"/>
      <c r="CE171" s="70"/>
      <c r="CF171" s="70"/>
      <c r="CG171" s="70"/>
      <c r="CH171" s="70"/>
      <c r="CI171" s="70"/>
      <c r="CJ171" s="70"/>
      <c r="CK171" s="70"/>
      <c r="CL171" s="70"/>
      <c r="CM171" s="70"/>
      <c r="CN171" s="70"/>
      <c r="CO171" s="70"/>
      <c r="CP171" s="70"/>
      <c r="CQ171" s="70"/>
      <c r="CR171" s="70"/>
      <c r="CS171" s="70"/>
      <c r="CT171" s="70"/>
      <c r="CU171" s="70"/>
      <c r="CV171" s="70"/>
      <c r="CW171" s="70"/>
      <c r="CX171" s="70"/>
    </row>
    <row r="172" spans="1:102">
      <c r="B172" s="457" t="s">
        <v>83</v>
      </c>
      <c r="C172" s="41"/>
      <c r="D172" s="41"/>
      <c r="E172" s="41"/>
      <c r="F172" s="41"/>
      <c r="G172" s="458"/>
      <c r="H172" s="459"/>
      <c r="I172" s="459"/>
      <c r="J172" s="459"/>
      <c r="K172" s="459"/>
      <c r="L172" s="458"/>
      <c r="M172" s="459"/>
      <c r="N172" s="459"/>
      <c r="O172" s="459"/>
      <c r="P172" s="459"/>
      <c r="Q172" s="458">
        <v>1.8749999999999999E-2</v>
      </c>
      <c r="R172" s="459"/>
      <c r="S172" s="459"/>
      <c r="T172" s="459"/>
      <c r="U172" s="459"/>
      <c r="V172" s="489">
        <f>Q172</f>
        <v>1.8749999999999999E-2</v>
      </c>
      <c r="W172" s="459"/>
      <c r="X172" s="459"/>
      <c r="Y172" s="459"/>
      <c r="Z172" s="459"/>
      <c r="AA172" s="489">
        <f>V172</f>
        <v>1.8749999999999999E-2</v>
      </c>
      <c r="AB172" s="459"/>
      <c r="AC172" s="459"/>
      <c r="AD172" s="459"/>
      <c r="AE172" s="459"/>
      <c r="AF172" s="489">
        <f>AA172</f>
        <v>1.8749999999999999E-2</v>
      </c>
      <c r="AG172" s="459"/>
      <c r="AH172" s="459"/>
      <c r="AI172" s="459"/>
      <c r="AJ172" s="459"/>
      <c r="AK172" s="489">
        <f>AF172</f>
        <v>1.8749999999999999E-2</v>
      </c>
      <c r="AL172" s="459"/>
      <c r="AM172" s="459"/>
      <c r="AN172" s="459"/>
      <c r="AO172" s="459"/>
      <c r="AP172" s="489"/>
      <c r="AQ172" s="459"/>
      <c r="AR172" s="459"/>
      <c r="AS172" s="459"/>
      <c r="AT172" s="459"/>
      <c r="AU172" s="489"/>
      <c r="AV172" s="459"/>
      <c r="AW172" s="459"/>
      <c r="AX172" s="459"/>
      <c r="AY172" s="459"/>
      <c r="AZ172" s="489"/>
      <c r="BA172" s="459"/>
      <c r="BB172" s="459"/>
      <c r="BC172" s="459"/>
      <c r="BD172" s="459"/>
      <c r="BE172" s="489"/>
      <c r="BF172" s="459"/>
      <c r="BG172" s="459"/>
      <c r="BH172" s="459"/>
      <c r="BI172" s="459"/>
      <c r="BJ172" s="489"/>
      <c r="BK172" s="459"/>
      <c r="BL172" s="459"/>
      <c r="BM172" s="459"/>
      <c r="BN172" s="459"/>
      <c r="BO172" s="489"/>
      <c r="BP172" s="459"/>
      <c r="BQ172" s="459"/>
      <c r="BR172" s="459"/>
      <c r="BS172" s="459"/>
      <c r="BT172" s="489"/>
      <c r="BU172" s="459"/>
      <c r="BV172" s="459"/>
      <c r="BW172" s="459"/>
      <c r="BX172" s="459"/>
      <c r="BY172" s="489"/>
      <c r="BZ172" s="459"/>
      <c r="CA172" s="459"/>
      <c r="CB172" s="459"/>
      <c r="CC172" s="459"/>
      <c r="CD172" s="489"/>
      <c r="CE172" s="459"/>
      <c r="CF172" s="459"/>
      <c r="CG172" s="459"/>
      <c r="CH172" s="459"/>
      <c r="CI172" s="489"/>
      <c r="CJ172" s="459"/>
      <c r="CK172" s="459"/>
      <c r="CL172" s="459"/>
      <c r="CM172" s="459"/>
      <c r="CN172" s="489"/>
      <c r="CO172" s="459"/>
      <c r="CP172" s="459"/>
      <c r="CQ172" s="459"/>
      <c r="CR172" s="459"/>
      <c r="CS172" s="489"/>
      <c r="CT172" s="459"/>
      <c r="CU172" s="459"/>
      <c r="CV172" s="459"/>
      <c r="CW172" s="459"/>
      <c r="CX172" s="489"/>
    </row>
    <row r="173" spans="1:102">
      <c r="A173" s="70"/>
      <c r="B173" s="490" t="s">
        <v>425</v>
      </c>
      <c r="C173" s="70"/>
      <c r="D173" s="70"/>
      <c r="E173" s="70"/>
      <c r="F173" s="70"/>
      <c r="G173" s="70"/>
      <c r="H173" s="70"/>
      <c r="I173" s="70"/>
      <c r="J173" s="70"/>
      <c r="K173" s="70"/>
      <c r="L173" s="70"/>
      <c r="M173" s="70"/>
      <c r="N173" s="70"/>
      <c r="O173" s="70"/>
      <c r="P173" s="70"/>
      <c r="Q173" s="450"/>
      <c r="R173" s="450"/>
      <c r="S173" s="450"/>
      <c r="T173" s="450"/>
      <c r="U173" s="450"/>
      <c r="V173" s="450">
        <f>((V165+V167)/2)*V172</f>
        <v>0.38023124999999997</v>
      </c>
      <c r="W173" s="450"/>
      <c r="X173" s="450"/>
      <c r="Y173" s="450"/>
      <c r="Z173" s="450"/>
      <c r="AA173" s="450">
        <f>((AA165+AA167)/2)*AA172</f>
        <v>0.67488749999999997</v>
      </c>
      <c r="AB173" s="450"/>
      <c r="AC173" s="450"/>
      <c r="AD173" s="450"/>
      <c r="AE173" s="450"/>
      <c r="AF173" s="450">
        <f>((AF165+AF167)/2)*AF172</f>
        <v>0.45337499999999997</v>
      </c>
      <c r="AG173" s="450"/>
      <c r="AH173" s="450"/>
      <c r="AI173" s="450"/>
      <c r="AJ173" s="450"/>
      <c r="AK173" s="450">
        <f>((AK165+AK167)/2)*AK172</f>
        <v>0.15871874999999999</v>
      </c>
      <c r="AL173" s="450"/>
      <c r="AM173" s="450"/>
      <c r="AN173" s="450"/>
      <c r="AO173" s="450"/>
      <c r="AP173" s="450"/>
      <c r="AQ173" s="450"/>
      <c r="AR173" s="450"/>
      <c r="AS173" s="450"/>
      <c r="AT173" s="450"/>
      <c r="AU173" s="450"/>
      <c r="AV173" s="450"/>
      <c r="AW173" s="450"/>
      <c r="AX173" s="450"/>
      <c r="AY173" s="450"/>
      <c r="AZ173" s="450"/>
      <c r="BA173" s="450"/>
      <c r="BB173" s="450"/>
      <c r="BC173" s="450"/>
      <c r="BD173" s="450"/>
      <c r="BE173" s="450"/>
      <c r="BF173" s="450"/>
      <c r="BG173" s="450"/>
      <c r="BH173" s="450"/>
      <c r="BI173" s="450"/>
      <c r="BJ173" s="450"/>
      <c r="BK173" s="450"/>
      <c r="BL173" s="450"/>
      <c r="BM173" s="450"/>
      <c r="BN173" s="450"/>
      <c r="BO173" s="450"/>
      <c r="BP173" s="450"/>
      <c r="BQ173" s="450"/>
      <c r="BR173" s="450"/>
      <c r="BS173" s="450"/>
      <c r="BT173" s="450"/>
      <c r="BU173" s="450"/>
      <c r="BV173" s="450"/>
      <c r="BW173" s="450"/>
      <c r="BX173" s="450"/>
      <c r="BY173" s="450"/>
      <c r="BZ173" s="450"/>
      <c r="CA173" s="450"/>
      <c r="CB173" s="450"/>
      <c r="CC173" s="450"/>
      <c r="CD173" s="450"/>
      <c r="CE173" s="450"/>
      <c r="CF173" s="450"/>
      <c r="CG173" s="450"/>
      <c r="CH173" s="450"/>
      <c r="CI173" s="450"/>
      <c r="CJ173" s="450"/>
      <c r="CK173" s="450"/>
      <c r="CL173" s="450"/>
      <c r="CM173" s="450"/>
      <c r="CN173" s="450"/>
      <c r="CO173" s="450"/>
      <c r="CP173" s="450"/>
      <c r="CQ173" s="450"/>
      <c r="CR173" s="450"/>
      <c r="CS173" s="450"/>
      <c r="CT173" s="450"/>
      <c r="CU173" s="450"/>
      <c r="CV173" s="450"/>
      <c r="CW173" s="450"/>
      <c r="CX173" s="450"/>
    </row>
    <row r="174" spans="1:102">
      <c r="B174" s="453"/>
      <c r="C174" s="448"/>
      <c r="D174" s="448"/>
      <c r="E174" s="448"/>
      <c r="F174" s="448"/>
      <c r="G174" s="448"/>
      <c r="H174" s="448"/>
      <c r="I174" s="448"/>
      <c r="J174" s="448"/>
      <c r="K174" s="448"/>
      <c r="L174" s="448"/>
      <c r="M174" s="448"/>
      <c r="N174" s="448"/>
      <c r="O174" s="448"/>
      <c r="P174" s="448"/>
      <c r="Q174" s="448"/>
      <c r="R174" s="448"/>
      <c r="S174" s="448"/>
      <c r="T174" s="448"/>
      <c r="U174" s="448"/>
      <c r="V174" s="448"/>
      <c r="W174" s="448"/>
      <c r="X174" s="448"/>
      <c r="Y174" s="448"/>
      <c r="Z174" s="448"/>
      <c r="AA174" s="448"/>
      <c r="AB174" s="448"/>
      <c r="AC174" s="448"/>
      <c r="AD174" s="448"/>
      <c r="AE174" s="448"/>
      <c r="AF174" s="448"/>
      <c r="AG174" s="448"/>
      <c r="AH174" s="448"/>
      <c r="AI174" s="448"/>
      <c r="AJ174" s="448"/>
      <c r="AK174" s="448"/>
      <c r="AL174" s="448"/>
      <c r="AM174" s="448"/>
      <c r="AN174" s="448"/>
      <c r="AO174" s="448"/>
      <c r="AP174" s="448"/>
      <c r="AQ174" s="448"/>
      <c r="AR174" s="448"/>
      <c r="AS174" s="448"/>
      <c r="AT174" s="448"/>
      <c r="AU174" s="448"/>
      <c r="AV174" s="448"/>
      <c r="AW174" s="448"/>
      <c r="AX174" s="448"/>
      <c r="AY174" s="448"/>
      <c r="AZ174" s="448"/>
      <c r="BA174" s="448"/>
      <c r="BB174" s="448"/>
      <c r="BC174" s="448"/>
      <c r="BD174" s="448"/>
      <c r="BE174" s="448"/>
      <c r="BF174" s="448"/>
      <c r="BG174" s="448"/>
      <c r="BH174" s="448"/>
      <c r="BI174" s="448"/>
      <c r="BJ174" s="448"/>
      <c r="BK174" s="448"/>
      <c r="BL174" s="448"/>
      <c r="BM174" s="448"/>
      <c r="BN174" s="448"/>
      <c r="BO174" s="448"/>
      <c r="BP174" s="448"/>
      <c r="BQ174" s="448"/>
      <c r="BR174" s="448"/>
      <c r="BS174" s="448"/>
      <c r="BT174" s="448"/>
      <c r="BU174" s="448"/>
      <c r="BV174" s="448"/>
      <c r="BW174" s="448"/>
      <c r="BX174" s="448"/>
      <c r="BY174" s="448"/>
      <c r="BZ174" s="448"/>
      <c r="CA174" s="448"/>
      <c r="CB174" s="448"/>
      <c r="CC174" s="448"/>
      <c r="CD174" s="448"/>
      <c r="CE174" s="448"/>
      <c r="CF174" s="448"/>
      <c r="CG174" s="448"/>
      <c r="CH174" s="448"/>
      <c r="CI174" s="448"/>
      <c r="CJ174" s="448"/>
      <c r="CK174" s="448"/>
      <c r="CL174" s="448"/>
      <c r="CM174" s="448"/>
      <c r="CN174" s="448"/>
      <c r="CO174" s="448"/>
      <c r="CP174" s="448"/>
      <c r="CQ174" s="448"/>
      <c r="CR174" s="448"/>
      <c r="CS174" s="448"/>
      <c r="CT174" s="448"/>
      <c r="CU174" s="448"/>
      <c r="CV174" s="448"/>
      <c r="CW174" s="448"/>
      <c r="CX174" s="448"/>
    </row>
    <row r="175" spans="1:102">
      <c r="B175" s="454" t="s">
        <v>415</v>
      </c>
      <c r="C175" s="70"/>
      <c r="D175" s="70"/>
      <c r="E175" s="70"/>
      <c r="F175" s="70"/>
      <c r="G175" s="70"/>
      <c r="H175" s="70"/>
      <c r="I175" s="70"/>
      <c r="J175" s="70"/>
      <c r="K175" s="70"/>
      <c r="L175" s="70"/>
      <c r="M175" s="70"/>
      <c r="N175" s="70"/>
      <c r="O175" s="70"/>
      <c r="P175" s="70"/>
      <c r="Q175" s="70"/>
      <c r="R175" s="70"/>
      <c r="S175" s="70"/>
      <c r="T175" s="70"/>
      <c r="U175" s="70"/>
      <c r="V175" s="70"/>
      <c r="W175" s="70"/>
      <c r="X175" s="70"/>
      <c r="Y175" s="70"/>
      <c r="Z175" s="70"/>
      <c r="AA175" s="70"/>
      <c r="AB175" s="70"/>
      <c r="AC175" s="70"/>
      <c r="AD175" s="70"/>
      <c r="AE175" s="70"/>
      <c r="AF175" s="70"/>
      <c r="AG175" s="70"/>
      <c r="AH175" s="70"/>
      <c r="AI175" s="70"/>
      <c r="AJ175" s="70"/>
      <c r="AK175" s="70"/>
      <c r="AL175" s="70"/>
      <c r="AM175" s="70"/>
      <c r="AN175" s="70"/>
      <c r="AO175" s="70"/>
      <c r="AP175" s="70"/>
      <c r="AQ175" s="70"/>
      <c r="AR175" s="70"/>
      <c r="AS175" s="70"/>
      <c r="AT175" s="70"/>
      <c r="AU175" s="70"/>
      <c r="AV175" s="70"/>
      <c r="AW175" s="70"/>
      <c r="AX175" s="70"/>
      <c r="AY175" s="70"/>
      <c r="AZ175" s="70"/>
      <c r="BA175" s="70"/>
      <c r="BB175" s="70"/>
      <c r="BC175" s="70"/>
      <c r="BD175" s="70"/>
      <c r="BE175" s="70"/>
      <c r="BF175" s="70"/>
      <c r="BG175" s="70"/>
      <c r="BH175" s="70"/>
      <c r="BI175" s="70"/>
      <c r="BJ175" s="70"/>
      <c r="BK175" s="70"/>
      <c r="BL175" s="70"/>
      <c r="BM175" s="70"/>
      <c r="BN175" s="70"/>
      <c r="BO175" s="70"/>
      <c r="BP175" s="70"/>
      <c r="BQ175" s="70"/>
      <c r="BR175" s="70"/>
      <c r="BS175" s="70"/>
      <c r="BT175" s="70"/>
      <c r="BU175" s="70"/>
      <c r="BV175" s="70"/>
      <c r="BW175" s="70"/>
      <c r="BX175" s="70"/>
      <c r="BY175" s="70"/>
      <c r="BZ175" s="70"/>
      <c r="CA175" s="70"/>
      <c r="CB175" s="70"/>
      <c r="CC175" s="70"/>
      <c r="CD175" s="70"/>
      <c r="CE175" s="70"/>
      <c r="CF175" s="70"/>
      <c r="CG175" s="70"/>
      <c r="CH175" s="70"/>
      <c r="CI175" s="70"/>
      <c r="CJ175" s="70"/>
      <c r="CK175" s="70"/>
      <c r="CL175" s="70"/>
      <c r="CM175" s="70"/>
      <c r="CN175" s="70"/>
      <c r="CO175" s="70"/>
      <c r="CP175" s="70"/>
      <c r="CQ175" s="70"/>
      <c r="CR175" s="70"/>
      <c r="CS175" s="70"/>
      <c r="CT175" s="70"/>
      <c r="CU175" s="70"/>
      <c r="CV175" s="70"/>
      <c r="CW175" s="70"/>
      <c r="CX175" s="70"/>
    </row>
    <row r="176" spans="1:102">
      <c r="B176" s="446" t="s">
        <v>411</v>
      </c>
      <c r="C176" s="70"/>
      <c r="D176" s="70"/>
      <c r="E176" s="70"/>
      <c r="F176" s="70"/>
      <c r="G176" s="70"/>
      <c r="H176" s="70"/>
      <c r="I176" s="70"/>
      <c r="J176" s="70"/>
      <c r="K176" s="70"/>
      <c r="L176" s="450"/>
      <c r="M176" s="450"/>
      <c r="N176" s="450"/>
      <c r="O176" s="450"/>
      <c r="P176" s="450"/>
      <c r="Q176" s="450">
        <v>375</v>
      </c>
      <c r="R176" s="450"/>
      <c r="S176" s="450"/>
      <c r="T176" s="450"/>
      <c r="U176" s="450"/>
      <c r="V176" s="450"/>
      <c r="W176" s="450"/>
      <c r="X176" s="450"/>
      <c r="Y176" s="450"/>
      <c r="Z176" s="450"/>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450"/>
      <c r="BA176" s="450"/>
      <c r="BB176" s="450"/>
      <c r="BC176" s="450"/>
      <c r="BD176" s="450"/>
      <c r="BE176" s="450"/>
      <c r="BF176" s="450"/>
      <c r="BG176" s="450"/>
      <c r="BH176" s="450"/>
      <c r="BI176" s="450"/>
      <c r="BJ176" s="450"/>
      <c r="BK176" s="450"/>
      <c r="BL176" s="450"/>
      <c r="BM176" s="450"/>
      <c r="BN176" s="450"/>
      <c r="BO176" s="450"/>
      <c r="BP176" s="450"/>
      <c r="BQ176" s="450"/>
      <c r="BR176" s="450"/>
      <c r="BS176" s="450"/>
      <c r="BT176" s="450"/>
      <c r="BU176" s="450"/>
      <c r="BV176" s="450"/>
      <c r="BW176" s="450"/>
      <c r="BX176" s="450"/>
      <c r="BY176" s="450"/>
      <c r="BZ176" s="450"/>
      <c r="CA176" s="450"/>
      <c r="CB176" s="450"/>
      <c r="CC176" s="450"/>
      <c r="CD176" s="450"/>
      <c r="CE176" s="450"/>
      <c r="CF176" s="450"/>
      <c r="CG176" s="450"/>
      <c r="CH176" s="450"/>
      <c r="CI176" s="450"/>
      <c r="CJ176" s="450"/>
      <c r="CK176" s="450"/>
      <c r="CL176" s="450"/>
      <c r="CM176" s="450"/>
      <c r="CN176" s="450"/>
      <c r="CO176" s="450"/>
      <c r="CP176" s="450"/>
      <c r="CQ176" s="450"/>
      <c r="CR176" s="450"/>
      <c r="CS176" s="450"/>
      <c r="CT176" s="450"/>
      <c r="CU176" s="450"/>
      <c r="CV176" s="450"/>
      <c r="CW176" s="450"/>
      <c r="CX176" s="450"/>
    </row>
    <row r="177" spans="1:102">
      <c r="B177" s="446" t="s">
        <v>417</v>
      </c>
      <c r="C177" s="70"/>
      <c r="D177" s="70"/>
      <c r="E177" s="70"/>
      <c r="F177" s="70"/>
      <c r="G177" s="70"/>
      <c r="H177" s="70"/>
      <c r="I177" s="70"/>
      <c r="J177" s="70"/>
      <c r="K177" s="70"/>
      <c r="L177" s="450"/>
      <c r="M177" s="450"/>
      <c r="N177" s="450"/>
      <c r="O177" s="450"/>
      <c r="P177" s="450"/>
      <c r="Q177" s="450"/>
      <c r="R177" s="450"/>
      <c r="S177" s="450"/>
      <c r="T177" s="450"/>
      <c r="U177" s="450"/>
      <c r="V177" s="450"/>
      <c r="W177" s="450"/>
      <c r="X177" s="450"/>
      <c r="Y177" s="450"/>
      <c r="Z177" s="450"/>
      <c r="AA177" s="450"/>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450"/>
      <c r="BA177" s="450"/>
      <c r="BB177" s="450"/>
      <c r="BC177" s="450"/>
      <c r="BD177" s="450"/>
      <c r="BE177" s="450"/>
      <c r="BF177" s="450"/>
      <c r="BG177" s="450"/>
      <c r="BH177" s="450"/>
      <c r="BI177" s="450"/>
      <c r="BJ177" s="450"/>
      <c r="BK177" s="450"/>
      <c r="BL177" s="450"/>
      <c r="BM177" s="450"/>
      <c r="BN177" s="450"/>
      <c r="BO177" s="450"/>
      <c r="BP177" s="450"/>
      <c r="BQ177" s="450"/>
      <c r="BR177" s="450"/>
      <c r="BS177" s="450"/>
      <c r="BT177" s="450"/>
      <c r="BU177" s="450"/>
      <c r="BV177" s="450"/>
      <c r="BW177" s="450"/>
      <c r="BX177" s="450"/>
      <c r="BY177" s="450"/>
      <c r="BZ177" s="450"/>
      <c r="CA177" s="450"/>
      <c r="CB177" s="450"/>
      <c r="CC177" s="450"/>
      <c r="CD177" s="450"/>
      <c r="CE177" s="450"/>
      <c r="CF177" s="450"/>
      <c r="CG177" s="450"/>
      <c r="CH177" s="450"/>
      <c r="CI177" s="450"/>
      <c r="CJ177" s="450"/>
      <c r="CK177" s="450"/>
      <c r="CL177" s="450"/>
      <c r="CM177" s="450"/>
      <c r="CN177" s="450"/>
      <c r="CO177" s="450"/>
      <c r="CP177" s="450"/>
      <c r="CQ177" s="450"/>
      <c r="CR177" s="450"/>
      <c r="CS177" s="450"/>
      <c r="CT177" s="450"/>
      <c r="CU177" s="450"/>
      <c r="CV177" s="450"/>
      <c r="CW177" s="450"/>
      <c r="CX177" s="450"/>
    </row>
    <row r="178" spans="1:102">
      <c r="B178" s="454"/>
      <c r="C178" s="70"/>
      <c r="D178" s="70"/>
      <c r="E178" s="70"/>
      <c r="F178" s="70"/>
      <c r="G178" s="70"/>
      <c r="H178" s="70"/>
      <c r="I178" s="70"/>
      <c r="J178" s="70"/>
      <c r="K178" s="70"/>
      <c r="L178" s="70"/>
      <c r="M178" s="70"/>
      <c r="N178" s="70"/>
      <c r="O178" s="70"/>
      <c r="P178" s="70"/>
      <c r="Q178" s="70"/>
      <c r="R178" s="70"/>
      <c r="S178" s="70"/>
      <c r="T178" s="70"/>
      <c r="U178" s="70"/>
      <c r="V178" s="70"/>
      <c r="W178" s="70"/>
      <c r="X178" s="70"/>
      <c r="Y178" s="70"/>
      <c r="Z178" s="70"/>
      <c r="AA178" s="70"/>
      <c r="AB178" s="70"/>
      <c r="AC178" s="70"/>
      <c r="AD178" s="70"/>
      <c r="AE178" s="70"/>
      <c r="AF178" s="70"/>
      <c r="AG178" s="70"/>
      <c r="AH178" s="70"/>
      <c r="AI178" s="70"/>
      <c r="AJ178" s="70"/>
      <c r="AK178" s="70"/>
      <c r="AL178" s="70"/>
      <c r="AM178" s="70"/>
      <c r="AN178" s="70"/>
      <c r="AO178" s="70"/>
      <c r="AP178" s="70"/>
      <c r="AQ178" s="70"/>
      <c r="AR178" s="70"/>
      <c r="AS178" s="70"/>
      <c r="AT178" s="70"/>
      <c r="AU178" s="70"/>
      <c r="AV178" s="70"/>
      <c r="AW178" s="70"/>
      <c r="AX178" s="70"/>
      <c r="AY178" s="70"/>
      <c r="AZ178" s="70"/>
      <c r="BA178" s="70"/>
      <c r="BB178" s="70"/>
      <c r="BC178" s="70"/>
      <c r="BD178" s="70"/>
      <c r="BE178" s="70"/>
      <c r="BF178" s="70"/>
      <c r="BG178" s="70"/>
      <c r="BH178" s="70"/>
      <c r="BI178" s="70"/>
      <c r="BJ178" s="70"/>
      <c r="BK178" s="70"/>
      <c r="BL178" s="70"/>
      <c r="BM178" s="70"/>
      <c r="BN178" s="70"/>
      <c r="BO178" s="70"/>
      <c r="BP178" s="70"/>
      <c r="BQ178" s="70"/>
      <c r="BR178" s="70"/>
      <c r="BS178" s="70"/>
      <c r="BT178" s="70"/>
      <c r="BU178" s="70"/>
      <c r="BV178" s="70"/>
      <c r="BW178" s="70"/>
      <c r="BX178" s="70"/>
      <c r="BY178" s="70"/>
      <c r="BZ178" s="70"/>
      <c r="CA178" s="70"/>
      <c r="CB178" s="70"/>
      <c r="CC178" s="70"/>
      <c r="CD178" s="70"/>
      <c r="CE178" s="70"/>
      <c r="CF178" s="70"/>
      <c r="CG178" s="70"/>
      <c r="CH178" s="70"/>
      <c r="CI178" s="70"/>
      <c r="CJ178" s="70"/>
      <c r="CK178" s="70"/>
      <c r="CL178" s="70"/>
      <c r="CM178" s="70"/>
      <c r="CN178" s="70"/>
      <c r="CO178" s="70"/>
      <c r="CP178" s="70"/>
      <c r="CQ178" s="70"/>
      <c r="CR178" s="70"/>
      <c r="CS178" s="70"/>
      <c r="CT178" s="70"/>
      <c r="CU178" s="70"/>
      <c r="CV178" s="70"/>
      <c r="CW178" s="70"/>
      <c r="CX178" s="70"/>
    </row>
    <row r="179" spans="1:102">
      <c r="B179" s="446" t="s">
        <v>412</v>
      </c>
      <c r="C179" s="70"/>
      <c r="D179" s="70"/>
      <c r="E179" s="70"/>
      <c r="F179" s="70"/>
      <c r="G179" s="70"/>
      <c r="H179" s="70"/>
      <c r="I179" s="70"/>
      <c r="J179" s="70"/>
      <c r="K179" s="70"/>
      <c r="L179" s="450"/>
      <c r="M179" s="450"/>
      <c r="N179" s="450"/>
      <c r="O179" s="450"/>
      <c r="P179" s="450"/>
      <c r="Q179" s="450"/>
      <c r="R179" s="450"/>
      <c r="S179" s="450"/>
      <c r="T179" s="450"/>
      <c r="U179" s="450"/>
      <c r="V179" s="450">
        <f>Q181</f>
        <v>375</v>
      </c>
      <c r="W179" s="450"/>
      <c r="X179" s="450"/>
      <c r="Y179" s="450"/>
      <c r="Z179" s="450"/>
      <c r="AA179" s="450">
        <f>V181</f>
        <v>375</v>
      </c>
      <c r="AB179" s="450"/>
      <c r="AC179" s="450"/>
      <c r="AD179" s="450"/>
      <c r="AE179" s="450"/>
      <c r="AF179" s="450">
        <v>374.98</v>
      </c>
      <c r="AG179" s="450"/>
      <c r="AH179" s="450"/>
      <c r="AI179" s="450"/>
      <c r="AJ179" s="450"/>
      <c r="AK179" s="450">
        <f>AF181</f>
        <v>374.98</v>
      </c>
      <c r="AL179" s="450"/>
      <c r="AM179" s="450"/>
      <c r="AN179" s="450"/>
      <c r="AO179" s="450"/>
      <c r="AP179" s="450">
        <f>AK181</f>
        <v>374.98</v>
      </c>
      <c r="AQ179" s="450"/>
      <c r="AR179" s="450"/>
      <c r="AS179" s="450"/>
      <c r="AT179" s="450"/>
      <c r="AU179" s="450"/>
      <c r="AV179" s="450"/>
      <c r="AW179" s="450"/>
      <c r="AX179" s="450"/>
      <c r="AY179" s="450"/>
      <c r="AZ179" s="450"/>
      <c r="BA179" s="450"/>
      <c r="BB179" s="450"/>
      <c r="BC179" s="450"/>
      <c r="BD179" s="450"/>
      <c r="BE179" s="450"/>
      <c r="BF179" s="450"/>
      <c r="BG179" s="450"/>
      <c r="BH179" s="450"/>
      <c r="BI179" s="450"/>
      <c r="BJ179" s="450"/>
      <c r="BK179" s="450"/>
      <c r="BL179" s="450"/>
      <c r="BM179" s="450"/>
      <c r="BN179" s="450"/>
      <c r="BO179" s="450"/>
      <c r="BP179" s="450"/>
      <c r="BQ179" s="450"/>
      <c r="BR179" s="450"/>
      <c r="BS179" s="450"/>
      <c r="BT179" s="450"/>
      <c r="BU179" s="450"/>
      <c r="BV179" s="450"/>
      <c r="BW179" s="450"/>
      <c r="BX179" s="450"/>
      <c r="BY179" s="450"/>
      <c r="BZ179" s="450"/>
      <c r="CA179" s="450"/>
      <c r="CB179" s="450"/>
      <c r="CC179" s="450"/>
      <c r="CD179" s="450"/>
      <c r="CE179" s="450"/>
      <c r="CF179" s="450"/>
      <c r="CG179" s="450"/>
      <c r="CH179" s="450"/>
      <c r="CI179" s="450"/>
      <c r="CJ179" s="450"/>
      <c r="CK179" s="450"/>
      <c r="CL179" s="450"/>
      <c r="CM179" s="450"/>
      <c r="CN179" s="450"/>
      <c r="CO179" s="450"/>
      <c r="CP179" s="450"/>
      <c r="CQ179" s="450"/>
      <c r="CR179" s="450"/>
      <c r="CS179" s="450"/>
      <c r="CT179" s="450"/>
      <c r="CU179" s="450"/>
      <c r="CV179" s="450"/>
      <c r="CW179" s="450"/>
      <c r="CX179" s="450"/>
    </row>
    <row r="180" spans="1:102">
      <c r="B180" s="446" t="s">
        <v>413</v>
      </c>
      <c r="C180" s="70"/>
      <c r="D180" s="70"/>
      <c r="E180" s="70"/>
      <c r="F180" s="70"/>
      <c r="G180" s="70"/>
      <c r="H180" s="70"/>
      <c r="I180" s="70"/>
      <c r="J180" s="70"/>
      <c r="K180" s="70"/>
      <c r="L180" s="450"/>
      <c r="M180" s="450"/>
      <c r="N180" s="450"/>
      <c r="O180" s="450"/>
      <c r="P180" s="450"/>
      <c r="Q180" s="450"/>
      <c r="R180" s="450"/>
      <c r="S180" s="450"/>
      <c r="T180" s="450"/>
      <c r="U180" s="450"/>
      <c r="V180" s="475">
        <v>0</v>
      </c>
      <c r="W180" s="450"/>
      <c r="X180" s="450"/>
      <c r="Y180" s="450"/>
      <c r="Z180" s="450"/>
      <c r="AA180" s="475">
        <v>0.02</v>
      </c>
      <c r="AB180" s="475"/>
      <c r="AC180" s="475"/>
      <c r="AD180" s="475"/>
      <c r="AE180" s="475"/>
      <c r="AF180" s="475">
        <v>0</v>
      </c>
      <c r="AG180" s="475"/>
      <c r="AH180" s="475"/>
      <c r="AI180" s="475"/>
      <c r="AJ180" s="475"/>
      <c r="AK180" s="475">
        <v>0</v>
      </c>
      <c r="AL180" s="475"/>
      <c r="AM180" s="475"/>
      <c r="AN180" s="475"/>
      <c r="AO180" s="475"/>
      <c r="AP180" s="475">
        <f>AP179</f>
        <v>374.98</v>
      </c>
      <c r="AQ180" s="475"/>
      <c r="AR180" s="475"/>
      <c r="AS180" s="475"/>
      <c r="AT180" s="475"/>
      <c r="AU180" s="475"/>
      <c r="AV180" s="475"/>
      <c r="AW180" s="475"/>
      <c r="AX180" s="475"/>
      <c r="AY180" s="475"/>
      <c r="AZ180" s="475"/>
      <c r="BA180" s="475"/>
      <c r="BB180" s="475"/>
      <c r="BC180" s="475"/>
      <c r="BD180" s="475"/>
      <c r="BE180" s="475"/>
      <c r="BF180" s="475"/>
      <c r="BG180" s="475"/>
      <c r="BH180" s="475"/>
      <c r="BI180" s="475"/>
      <c r="BJ180" s="475"/>
      <c r="BK180" s="475"/>
      <c r="BL180" s="475"/>
      <c r="BM180" s="475"/>
      <c r="BN180" s="475"/>
      <c r="BO180" s="475"/>
      <c r="BP180" s="475"/>
      <c r="BQ180" s="475"/>
      <c r="BR180" s="475"/>
      <c r="BS180" s="475"/>
      <c r="BT180" s="475"/>
      <c r="BU180" s="475"/>
      <c r="BV180" s="475"/>
      <c r="BW180" s="475"/>
      <c r="BX180" s="475"/>
      <c r="BY180" s="475"/>
      <c r="BZ180" s="475"/>
      <c r="CA180" s="475"/>
      <c r="CB180" s="475"/>
      <c r="CC180" s="475"/>
      <c r="CD180" s="475"/>
      <c r="CE180" s="475"/>
      <c r="CF180" s="475"/>
      <c r="CG180" s="475"/>
      <c r="CH180" s="475"/>
      <c r="CI180" s="475"/>
      <c r="CJ180" s="475"/>
      <c r="CK180" s="475"/>
      <c r="CL180" s="475"/>
      <c r="CM180" s="475"/>
      <c r="CN180" s="475"/>
      <c r="CO180" s="475"/>
      <c r="CP180" s="475"/>
      <c r="CQ180" s="475"/>
      <c r="CR180" s="475"/>
      <c r="CS180" s="475"/>
      <c r="CT180" s="475"/>
      <c r="CU180" s="475"/>
      <c r="CV180" s="475"/>
      <c r="CW180" s="475"/>
      <c r="CX180" s="475"/>
    </row>
    <row r="181" spans="1:102">
      <c r="B181" s="446" t="s">
        <v>414</v>
      </c>
      <c r="C181" s="70"/>
      <c r="D181" s="70"/>
      <c r="E181" s="70"/>
      <c r="F181" s="70"/>
      <c r="G181" s="70"/>
      <c r="H181" s="70"/>
      <c r="I181" s="70"/>
      <c r="J181" s="70"/>
      <c r="K181" s="70"/>
      <c r="L181" s="450"/>
      <c r="M181" s="450"/>
      <c r="N181" s="450"/>
      <c r="O181" s="450"/>
      <c r="P181" s="450"/>
      <c r="Q181" s="450">
        <f>Q176</f>
        <v>375</v>
      </c>
      <c r="R181" s="450"/>
      <c r="S181" s="450"/>
      <c r="T181" s="450"/>
      <c r="U181" s="450"/>
      <c r="V181" s="450">
        <f>V179-V180</f>
        <v>375</v>
      </c>
      <c r="W181" s="450"/>
      <c r="X181" s="450"/>
      <c r="Y181" s="450"/>
      <c r="Z181" s="450"/>
      <c r="AA181" s="450">
        <f>AA179-AA180</f>
        <v>374.98</v>
      </c>
      <c r="AB181" s="450"/>
      <c r="AC181" s="450"/>
      <c r="AD181" s="450"/>
      <c r="AE181" s="450"/>
      <c r="AF181" s="450">
        <f>AF179-AF180</f>
        <v>374.98</v>
      </c>
      <c r="AG181" s="450"/>
      <c r="AH181" s="450"/>
      <c r="AI181" s="450"/>
      <c r="AJ181" s="450"/>
      <c r="AK181" s="450">
        <f>AK179-AK180</f>
        <v>374.98</v>
      </c>
      <c r="AL181" s="450"/>
      <c r="AM181" s="450"/>
      <c r="AN181" s="450"/>
      <c r="AO181" s="450"/>
      <c r="AP181" s="450">
        <f>AP179-AP180</f>
        <v>0</v>
      </c>
      <c r="AQ181" s="450"/>
      <c r="AR181" s="450"/>
      <c r="AS181" s="450"/>
      <c r="AT181" s="450"/>
      <c r="AU181" s="450"/>
      <c r="AV181" s="450"/>
      <c r="AW181" s="450"/>
      <c r="AX181" s="450"/>
      <c r="AY181" s="450"/>
      <c r="AZ181" s="450"/>
      <c r="BA181" s="450"/>
      <c r="BB181" s="450"/>
      <c r="BC181" s="450"/>
      <c r="BD181" s="450"/>
      <c r="BE181" s="450"/>
      <c r="BF181" s="450"/>
      <c r="BG181" s="450"/>
      <c r="BH181" s="450"/>
      <c r="BI181" s="450"/>
      <c r="BJ181" s="450"/>
      <c r="BK181" s="450"/>
      <c r="BL181" s="450"/>
      <c r="BM181" s="450"/>
      <c r="BN181" s="450"/>
      <c r="BO181" s="450"/>
      <c r="BP181" s="450"/>
      <c r="BQ181" s="450"/>
      <c r="BR181" s="450"/>
      <c r="BS181" s="450"/>
      <c r="BT181" s="450"/>
      <c r="BU181" s="450"/>
      <c r="BV181" s="450"/>
      <c r="BW181" s="450"/>
      <c r="BX181" s="450"/>
      <c r="BY181" s="450"/>
      <c r="BZ181" s="450"/>
      <c r="CA181" s="450"/>
      <c r="CB181" s="450"/>
      <c r="CC181" s="450"/>
      <c r="CD181" s="450"/>
      <c r="CE181" s="450"/>
      <c r="CF181" s="450"/>
      <c r="CG181" s="450"/>
      <c r="CH181" s="450"/>
      <c r="CI181" s="450"/>
      <c r="CJ181" s="450"/>
      <c r="CK181" s="450"/>
      <c r="CL181" s="450"/>
      <c r="CM181" s="450"/>
      <c r="CN181" s="450"/>
      <c r="CO181" s="450"/>
      <c r="CP181" s="450"/>
      <c r="CQ181" s="450"/>
      <c r="CR181" s="450"/>
      <c r="CS181" s="450"/>
      <c r="CT181" s="450"/>
      <c r="CU181" s="450"/>
      <c r="CV181" s="450"/>
      <c r="CW181" s="450"/>
      <c r="CX181" s="450"/>
    </row>
    <row r="182" spans="1:102">
      <c r="B182" s="488" t="s">
        <v>422</v>
      </c>
      <c r="C182" s="70"/>
      <c r="D182" s="70"/>
      <c r="E182" s="70"/>
      <c r="F182" s="70"/>
      <c r="G182" s="70"/>
      <c r="H182" s="70"/>
      <c r="I182" s="70"/>
      <c r="J182" s="70"/>
      <c r="K182" s="70"/>
      <c r="L182" s="450"/>
      <c r="M182" s="450"/>
      <c r="N182" s="450"/>
      <c r="O182" s="450"/>
      <c r="P182" s="450"/>
      <c r="Q182" s="450"/>
      <c r="R182" s="450"/>
      <c r="S182" s="450"/>
      <c r="T182" s="450"/>
      <c r="U182" s="450"/>
      <c r="V182" s="450">
        <v>-55.536999999999999</v>
      </c>
      <c r="W182" s="450"/>
      <c r="X182" s="450"/>
      <c r="Y182" s="450"/>
      <c r="Z182" s="450"/>
      <c r="AA182" s="450">
        <v>-41.906999999999996</v>
      </c>
      <c r="AB182" s="450"/>
      <c r="AC182" s="450"/>
      <c r="AD182" s="450"/>
      <c r="AE182" s="450"/>
      <c r="AF182" s="450">
        <v>-27.565999999999999</v>
      </c>
      <c r="AG182" s="450"/>
      <c r="AH182" s="450"/>
      <c r="AI182" s="450"/>
      <c r="AJ182" s="450"/>
      <c r="AK182" s="450">
        <v>-12.488</v>
      </c>
      <c r="AL182" s="450"/>
      <c r="AM182" s="450"/>
      <c r="AN182" s="450"/>
      <c r="AO182" s="450"/>
      <c r="AP182" s="450">
        <f>AK182+AP189</f>
        <v>0</v>
      </c>
      <c r="AQ182" s="450"/>
      <c r="AR182" s="450"/>
      <c r="AS182" s="450"/>
      <c r="AT182" s="450"/>
      <c r="AU182" s="450"/>
      <c r="AV182" s="450"/>
      <c r="AW182" s="450"/>
      <c r="AX182" s="450"/>
      <c r="AY182" s="450"/>
      <c r="AZ182" s="450"/>
      <c r="BA182" s="450"/>
      <c r="BB182" s="450"/>
      <c r="BC182" s="450"/>
      <c r="BD182" s="450"/>
      <c r="BE182" s="450"/>
      <c r="BF182" s="450"/>
      <c r="BG182" s="450"/>
      <c r="BH182" s="450"/>
      <c r="BI182" s="450"/>
      <c r="BJ182" s="450"/>
      <c r="BK182" s="450"/>
      <c r="BL182" s="450"/>
      <c r="BM182" s="450"/>
      <c r="BN182" s="450"/>
      <c r="BO182" s="450"/>
      <c r="BP182" s="450"/>
      <c r="BQ182" s="450"/>
      <c r="BR182" s="450"/>
      <c r="BS182" s="450"/>
      <c r="BT182" s="450"/>
      <c r="BU182" s="450"/>
      <c r="BV182" s="450"/>
      <c r="BW182" s="450"/>
      <c r="BX182" s="450"/>
      <c r="BY182" s="450"/>
      <c r="BZ182" s="450"/>
      <c r="CA182" s="450"/>
      <c r="CB182" s="450"/>
      <c r="CC182" s="450"/>
      <c r="CD182" s="450"/>
      <c r="CE182" s="450"/>
      <c r="CF182" s="450"/>
      <c r="CG182" s="450"/>
      <c r="CH182" s="450"/>
      <c r="CI182" s="450"/>
      <c r="CJ182" s="450"/>
      <c r="CK182" s="450"/>
      <c r="CL182" s="450"/>
      <c r="CM182" s="450"/>
      <c r="CN182" s="450"/>
      <c r="CO182" s="450"/>
      <c r="CP182" s="450"/>
      <c r="CQ182" s="450"/>
      <c r="CR182" s="450"/>
      <c r="CS182" s="450"/>
      <c r="CT182" s="450"/>
      <c r="CU182" s="450"/>
      <c r="CV182" s="450"/>
      <c r="CW182" s="450"/>
      <c r="CX182" s="450"/>
    </row>
    <row r="183" spans="1:102">
      <c r="B183" s="488" t="s">
        <v>423</v>
      </c>
      <c r="C183" s="70"/>
      <c r="D183" s="70"/>
      <c r="E183" s="70"/>
      <c r="F183" s="70"/>
      <c r="G183" s="70"/>
      <c r="H183" s="70"/>
      <c r="I183" s="70"/>
      <c r="J183" s="70"/>
      <c r="K183" s="70"/>
      <c r="L183" s="450"/>
      <c r="M183" s="450"/>
      <c r="N183" s="450"/>
      <c r="O183" s="450"/>
      <c r="P183" s="450"/>
      <c r="Q183" s="450"/>
      <c r="R183" s="450"/>
      <c r="S183" s="450"/>
      <c r="T183" s="450"/>
      <c r="U183" s="450"/>
      <c r="V183" s="450">
        <v>-7.335</v>
      </c>
      <c r="W183" s="450"/>
      <c r="X183" s="450"/>
      <c r="Y183" s="450"/>
      <c r="Z183" s="450"/>
      <c r="AA183" s="450">
        <v>-5.415</v>
      </c>
      <c r="AB183" s="450"/>
      <c r="AC183" s="450"/>
      <c r="AD183" s="450"/>
      <c r="AE183" s="450"/>
      <c r="AF183" s="450">
        <v>-3.484</v>
      </c>
      <c r="AG183" s="450"/>
      <c r="AH183" s="450"/>
      <c r="AI183" s="450"/>
      <c r="AJ183" s="450"/>
      <c r="AK183" s="450">
        <v>-1.5429999999999999</v>
      </c>
      <c r="AL183" s="450"/>
      <c r="AM183" s="450"/>
      <c r="AN183" s="450"/>
      <c r="AO183" s="450"/>
      <c r="AP183" s="450">
        <f>AK183+AP188</f>
        <v>0</v>
      </c>
      <c r="AQ183" s="450"/>
      <c r="AR183" s="450"/>
      <c r="AS183" s="450"/>
      <c r="AT183" s="450"/>
      <c r="AU183" s="450"/>
      <c r="AV183" s="450"/>
      <c r="AW183" s="450"/>
      <c r="AX183" s="450"/>
      <c r="AY183" s="450"/>
      <c r="AZ183" s="450"/>
      <c r="BA183" s="450"/>
      <c r="BB183" s="450"/>
      <c r="BC183" s="450"/>
      <c r="BD183" s="450"/>
      <c r="BE183" s="450"/>
      <c r="BF183" s="450"/>
      <c r="BG183" s="450"/>
      <c r="BH183" s="450"/>
      <c r="BI183" s="450"/>
      <c r="BJ183" s="450"/>
      <c r="BK183" s="450"/>
      <c r="BL183" s="450"/>
      <c r="BM183" s="450"/>
      <c r="BN183" s="450"/>
      <c r="BO183" s="450"/>
      <c r="BP183" s="450"/>
      <c r="BQ183" s="450"/>
      <c r="BR183" s="450"/>
      <c r="BS183" s="450"/>
      <c r="BT183" s="450"/>
      <c r="BU183" s="450"/>
      <c r="BV183" s="450"/>
      <c r="BW183" s="450"/>
      <c r="BX183" s="450"/>
      <c r="BY183" s="450"/>
      <c r="BZ183" s="450"/>
      <c r="CA183" s="450"/>
      <c r="CB183" s="450"/>
      <c r="CC183" s="450"/>
      <c r="CD183" s="450"/>
      <c r="CE183" s="450"/>
      <c r="CF183" s="450"/>
      <c r="CG183" s="450"/>
      <c r="CH183" s="450"/>
      <c r="CI183" s="450"/>
      <c r="CJ183" s="450"/>
      <c r="CK183" s="450"/>
      <c r="CL183" s="450"/>
      <c r="CM183" s="450"/>
      <c r="CN183" s="450"/>
      <c r="CO183" s="450"/>
      <c r="CP183" s="450"/>
      <c r="CQ183" s="450"/>
      <c r="CR183" s="450"/>
      <c r="CS183" s="450"/>
      <c r="CT183" s="450"/>
      <c r="CU183" s="450"/>
      <c r="CV183" s="450"/>
      <c r="CW183" s="450"/>
      <c r="CX183" s="450"/>
    </row>
    <row r="184" spans="1:102">
      <c r="B184" s="446" t="s">
        <v>424</v>
      </c>
      <c r="C184" s="70"/>
      <c r="D184" s="70"/>
      <c r="E184" s="70"/>
      <c r="F184" s="70"/>
      <c r="G184" s="70"/>
      <c r="H184" s="70"/>
      <c r="I184" s="70"/>
      <c r="J184" s="70"/>
      <c r="K184" s="70"/>
      <c r="L184" s="450"/>
      <c r="M184" s="450"/>
      <c r="N184" s="450"/>
      <c r="O184" s="450"/>
      <c r="P184" s="450"/>
      <c r="Q184" s="450"/>
      <c r="R184" s="450"/>
      <c r="S184" s="450"/>
      <c r="T184" s="450"/>
      <c r="U184" s="450"/>
      <c r="V184" s="450">
        <f>V181+V182+V183</f>
        <v>312.12800000000004</v>
      </c>
      <c r="W184" s="450"/>
      <c r="X184" s="450"/>
      <c r="Y184" s="450"/>
      <c r="Z184" s="450"/>
      <c r="AA184" s="450">
        <f>AA181+AA182+AA183</f>
        <v>327.65800000000002</v>
      </c>
      <c r="AB184" s="450"/>
      <c r="AC184" s="450"/>
      <c r="AD184" s="450"/>
      <c r="AE184" s="450"/>
      <c r="AF184" s="450">
        <f>AF181+AF182+AF183</f>
        <v>343.93000000000006</v>
      </c>
      <c r="AG184" s="450"/>
      <c r="AH184" s="450"/>
      <c r="AI184" s="450"/>
      <c r="AJ184" s="450"/>
      <c r="AK184" s="450">
        <f>AK181+AK182+AK183</f>
        <v>360.94900000000001</v>
      </c>
      <c r="AL184" s="450"/>
      <c r="AM184" s="450"/>
      <c r="AN184" s="450"/>
      <c r="AO184" s="450"/>
      <c r="AP184" s="450">
        <f>AP181+AP182+AP183</f>
        <v>0</v>
      </c>
      <c r="AQ184" s="450"/>
      <c r="AR184" s="450"/>
      <c r="AS184" s="450"/>
      <c r="AT184" s="450"/>
      <c r="AU184" s="450"/>
      <c r="AV184" s="450"/>
      <c r="AW184" s="450"/>
      <c r="AX184" s="450"/>
      <c r="AY184" s="450"/>
      <c r="AZ184" s="450"/>
      <c r="BA184" s="450"/>
      <c r="BB184" s="450"/>
      <c r="BC184" s="450"/>
      <c r="BD184" s="450"/>
      <c r="BE184" s="450"/>
      <c r="BF184" s="450"/>
      <c r="BG184" s="450"/>
      <c r="BH184" s="450"/>
      <c r="BI184" s="450"/>
      <c r="BJ184" s="450"/>
      <c r="BK184" s="450"/>
      <c r="BL184" s="450"/>
      <c r="BM184" s="450"/>
      <c r="BN184" s="450"/>
      <c r="BO184" s="450"/>
      <c r="BP184" s="450"/>
      <c r="BQ184" s="450"/>
      <c r="BR184" s="450"/>
      <c r="BS184" s="450"/>
      <c r="BT184" s="450"/>
      <c r="BU184" s="450"/>
      <c r="BV184" s="450"/>
      <c r="BW184" s="450"/>
      <c r="BX184" s="450"/>
      <c r="BY184" s="450"/>
      <c r="BZ184" s="450"/>
      <c r="CA184" s="450"/>
      <c r="CB184" s="450"/>
      <c r="CC184" s="450"/>
      <c r="CD184" s="450"/>
      <c r="CE184" s="450"/>
      <c r="CF184" s="450"/>
      <c r="CG184" s="450"/>
      <c r="CH184" s="450"/>
      <c r="CI184" s="450"/>
      <c r="CJ184" s="450"/>
      <c r="CK184" s="450"/>
      <c r="CL184" s="450"/>
      <c r="CM184" s="450"/>
      <c r="CN184" s="450"/>
      <c r="CO184" s="450"/>
      <c r="CP184" s="450"/>
      <c r="CQ184" s="450"/>
      <c r="CR184" s="450"/>
      <c r="CS184" s="450"/>
      <c r="CT184" s="450"/>
      <c r="CU184" s="450"/>
      <c r="CV184" s="450"/>
      <c r="CW184" s="450"/>
      <c r="CX184" s="450"/>
    </row>
    <row r="185" spans="1:102">
      <c r="B185" s="454"/>
      <c r="C185" s="70"/>
      <c r="D185" s="70"/>
      <c r="E185" s="70"/>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c r="BD185" s="70"/>
      <c r="BE185" s="70"/>
      <c r="BF185" s="70"/>
      <c r="BG185" s="70"/>
      <c r="BH185" s="70"/>
      <c r="BI185" s="70"/>
      <c r="BJ185" s="70"/>
      <c r="BK185" s="70"/>
      <c r="BL185" s="70"/>
      <c r="BM185" s="70"/>
      <c r="BN185" s="70"/>
      <c r="BO185" s="70"/>
      <c r="BP185" s="70"/>
      <c r="BQ185" s="70"/>
      <c r="BR185" s="70"/>
      <c r="BS185" s="70"/>
      <c r="BT185" s="70"/>
      <c r="BU185" s="70"/>
      <c r="BV185" s="70"/>
      <c r="BW185" s="70"/>
      <c r="BX185" s="70"/>
      <c r="BY185" s="70"/>
      <c r="BZ185" s="70"/>
      <c r="CA185" s="70"/>
      <c r="CB185" s="70"/>
      <c r="CC185" s="70"/>
      <c r="CD185" s="70"/>
      <c r="CE185" s="70"/>
      <c r="CF185" s="70"/>
      <c r="CG185" s="70"/>
      <c r="CH185" s="70"/>
      <c r="CI185" s="70"/>
      <c r="CJ185" s="70"/>
      <c r="CK185" s="70"/>
      <c r="CL185" s="70"/>
      <c r="CM185" s="70"/>
      <c r="CN185" s="70"/>
      <c r="CO185" s="70"/>
      <c r="CP185" s="70"/>
      <c r="CQ185" s="70"/>
      <c r="CR185" s="70"/>
      <c r="CS185" s="70"/>
      <c r="CT185" s="70"/>
      <c r="CU185" s="70"/>
      <c r="CV185" s="70"/>
      <c r="CW185" s="70"/>
      <c r="CX185" s="70"/>
    </row>
    <row r="186" spans="1:102">
      <c r="B186" s="457" t="s">
        <v>83</v>
      </c>
      <c r="C186" s="41"/>
      <c r="D186" s="41"/>
      <c r="E186" s="41"/>
      <c r="F186" s="41"/>
      <c r="G186" s="458"/>
      <c r="H186" s="459"/>
      <c r="I186" s="459"/>
      <c r="J186" s="459"/>
      <c r="K186" s="459"/>
      <c r="L186" s="458"/>
      <c r="M186" s="459"/>
      <c r="N186" s="459"/>
      <c r="O186" s="459"/>
      <c r="P186" s="459"/>
      <c r="Q186" s="458">
        <v>7.4999999999999997E-3</v>
      </c>
      <c r="R186" s="459"/>
      <c r="S186" s="459"/>
      <c r="T186" s="459"/>
      <c r="U186" s="459"/>
      <c r="V186" s="489">
        <f>Q186</f>
        <v>7.4999999999999997E-3</v>
      </c>
      <c r="W186" s="459"/>
      <c r="X186" s="459"/>
      <c r="Y186" s="459"/>
      <c r="Z186" s="459"/>
      <c r="AA186" s="489">
        <f>V186</f>
        <v>7.4999999999999997E-3</v>
      </c>
      <c r="AB186" s="459"/>
      <c r="AC186" s="459"/>
      <c r="AD186" s="459"/>
      <c r="AE186" s="459"/>
      <c r="AF186" s="489">
        <f>AA186</f>
        <v>7.4999999999999997E-3</v>
      </c>
      <c r="AG186" s="459"/>
      <c r="AH186" s="459"/>
      <c r="AI186" s="459"/>
      <c r="AJ186" s="459"/>
      <c r="AK186" s="489">
        <f>AF186</f>
        <v>7.4999999999999997E-3</v>
      </c>
      <c r="AL186" s="459"/>
      <c r="AM186" s="459"/>
      <c r="AN186" s="459"/>
      <c r="AO186" s="459"/>
      <c r="AP186" s="489">
        <f>AK186</f>
        <v>7.4999999999999997E-3</v>
      </c>
      <c r="AQ186" s="459"/>
      <c r="AR186" s="459"/>
      <c r="AS186" s="459"/>
      <c r="AT186" s="459"/>
      <c r="AU186" s="489"/>
      <c r="AV186" s="459"/>
      <c r="AW186" s="459"/>
      <c r="AX186" s="459"/>
      <c r="AY186" s="459"/>
      <c r="AZ186" s="489"/>
      <c r="BA186" s="459"/>
      <c r="BB186" s="459"/>
      <c r="BC186" s="459"/>
      <c r="BD186" s="459"/>
      <c r="BE186" s="489"/>
      <c r="BF186" s="459"/>
      <c r="BG186" s="459"/>
      <c r="BH186" s="459"/>
      <c r="BI186" s="459"/>
      <c r="BJ186" s="489"/>
      <c r="BK186" s="459"/>
      <c r="BL186" s="459"/>
      <c r="BM186" s="459"/>
      <c r="BN186" s="459"/>
      <c r="BO186" s="489"/>
      <c r="BP186" s="459"/>
      <c r="BQ186" s="459"/>
      <c r="BR186" s="459"/>
      <c r="BS186" s="459"/>
      <c r="BT186" s="489"/>
      <c r="BU186" s="459"/>
      <c r="BV186" s="459"/>
      <c r="BW186" s="459"/>
      <c r="BX186" s="459"/>
      <c r="BY186" s="489"/>
      <c r="BZ186" s="459"/>
      <c r="CA186" s="459"/>
      <c r="CB186" s="459"/>
      <c r="CC186" s="459"/>
      <c r="CD186" s="489"/>
      <c r="CE186" s="459"/>
      <c r="CF186" s="459"/>
      <c r="CG186" s="459"/>
      <c r="CH186" s="459"/>
      <c r="CI186" s="489"/>
      <c r="CJ186" s="459"/>
      <c r="CK186" s="459"/>
      <c r="CL186" s="459"/>
      <c r="CM186" s="459"/>
      <c r="CN186" s="489"/>
      <c r="CO186" s="459"/>
      <c r="CP186" s="459"/>
      <c r="CQ186" s="459"/>
      <c r="CR186" s="459"/>
      <c r="CS186" s="489"/>
      <c r="CT186" s="459"/>
      <c r="CU186" s="459"/>
      <c r="CV186" s="459"/>
      <c r="CW186" s="459"/>
      <c r="CX186" s="489"/>
    </row>
    <row r="187" spans="1:102">
      <c r="A187" s="70"/>
      <c r="B187" s="490" t="s">
        <v>425</v>
      </c>
      <c r="C187" s="70"/>
      <c r="D187" s="70"/>
      <c r="E187" s="70"/>
      <c r="F187" s="70"/>
      <c r="G187" s="70"/>
      <c r="H187" s="70"/>
      <c r="I187" s="70"/>
      <c r="J187" s="70"/>
      <c r="K187" s="70"/>
      <c r="L187" s="70"/>
      <c r="M187" s="70"/>
      <c r="N187" s="70"/>
      <c r="O187" s="70"/>
      <c r="P187" s="70"/>
      <c r="Q187" s="450"/>
      <c r="R187" s="450"/>
      <c r="S187" s="450"/>
      <c r="T187" s="450"/>
      <c r="U187" s="450"/>
      <c r="V187" s="450">
        <f>((V179+V181)/2)*V186</f>
        <v>2.8125</v>
      </c>
      <c r="W187" s="450"/>
      <c r="X187" s="450"/>
      <c r="Y187" s="450"/>
      <c r="Z187" s="450"/>
      <c r="AA187" s="450">
        <f>((AA179+AA181)/2)*AA186</f>
        <v>2.8124250000000002</v>
      </c>
      <c r="AB187" s="450"/>
      <c r="AC187" s="450"/>
      <c r="AD187" s="450"/>
      <c r="AE187" s="450"/>
      <c r="AF187" s="450">
        <f>((AF179+AF181)/2)*AF186</f>
        <v>2.8123499999999999</v>
      </c>
      <c r="AG187" s="450"/>
      <c r="AH187" s="450"/>
      <c r="AI187" s="450"/>
      <c r="AJ187" s="450"/>
      <c r="AK187" s="450">
        <f>((AK179+AK181)/2)*AK186</f>
        <v>2.8123499999999999</v>
      </c>
      <c r="AL187" s="450"/>
      <c r="AM187" s="450"/>
      <c r="AN187" s="450"/>
      <c r="AO187" s="450"/>
      <c r="AP187" s="450">
        <f>((AP179+AP181)/2)*AP186</f>
        <v>1.406175</v>
      </c>
      <c r="AQ187" s="450"/>
      <c r="AR187" s="450"/>
      <c r="AS187" s="450"/>
      <c r="AT187" s="450"/>
      <c r="AU187" s="450"/>
      <c r="AV187" s="450"/>
      <c r="AW187" s="450"/>
      <c r="AX187" s="450"/>
      <c r="AY187" s="450"/>
      <c r="AZ187" s="450"/>
      <c r="BA187" s="450"/>
      <c r="BB187" s="450"/>
      <c r="BC187" s="450"/>
      <c r="BD187" s="450"/>
      <c r="BE187" s="450"/>
      <c r="BF187" s="450"/>
      <c r="BG187" s="450"/>
      <c r="BH187" s="450"/>
      <c r="BI187" s="450"/>
      <c r="BJ187" s="450"/>
      <c r="BK187" s="450"/>
      <c r="BL187" s="450"/>
      <c r="BM187" s="450"/>
      <c r="BN187" s="450"/>
      <c r="BO187" s="450"/>
      <c r="BP187" s="450"/>
      <c r="BQ187" s="450"/>
      <c r="BR187" s="450"/>
      <c r="BS187" s="450"/>
      <c r="BT187" s="450"/>
      <c r="BU187" s="450"/>
      <c r="BV187" s="450"/>
      <c r="BW187" s="450"/>
      <c r="BX187" s="450"/>
      <c r="BY187" s="450"/>
      <c r="BZ187" s="450"/>
      <c r="CA187" s="450"/>
      <c r="CB187" s="450"/>
      <c r="CC187" s="450"/>
      <c r="CD187" s="450"/>
      <c r="CE187" s="450"/>
      <c r="CF187" s="450"/>
      <c r="CG187" s="450"/>
      <c r="CH187" s="450"/>
      <c r="CI187" s="450"/>
      <c r="CJ187" s="450"/>
      <c r="CK187" s="450"/>
      <c r="CL187" s="450"/>
      <c r="CM187" s="450"/>
      <c r="CN187" s="450"/>
      <c r="CO187" s="450"/>
      <c r="CP187" s="450"/>
      <c r="CQ187" s="450"/>
      <c r="CR187" s="450"/>
      <c r="CS187" s="450"/>
      <c r="CT187" s="450"/>
      <c r="CU187" s="450"/>
      <c r="CV187" s="450"/>
      <c r="CW187" s="450"/>
      <c r="CX187" s="450"/>
    </row>
    <row r="188" spans="1:102">
      <c r="A188" s="70"/>
      <c r="B188" s="490" t="s">
        <v>427</v>
      </c>
      <c r="C188" s="70"/>
      <c r="D188" s="70"/>
      <c r="E188" s="70"/>
      <c r="F188" s="70"/>
      <c r="G188" s="70"/>
      <c r="H188" s="70"/>
      <c r="I188" s="70"/>
      <c r="J188" s="70"/>
      <c r="K188" s="70"/>
      <c r="L188" s="70"/>
      <c r="M188" s="70"/>
      <c r="N188" s="70"/>
      <c r="O188" s="70"/>
      <c r="P188" s="70"/>
      <c r="Q188" s="450"/>
      <c r="R188" s="450"/>
      <c r="S188" s="450"/>
      <c r="T188" s="450"/>
      <c r="U188" s="450"/>
      <c r="V188" s="450"/>
      <c r="W188" s="450"/>
      <c r="X188" s="450"/>
      <c r="Y188" s="450"/>
      <c r="Z188" s="450"/>
      <c r="AA188" s="450">
        <f>AA183-V183</f>
        <v>1.92</v>
      </c>
      <c r="AB188" s="450"/>
      <c r="AC188" s="450"/>
      <c r="AD188" s="450"/>
      <c r="AE188" s="450"/>
      <c r="AF188" s="450">
        <f>AA188</f>
        <v>1.92</v>
      </c>
      <c r="AG188" s="450"/>
      <c r="AH188" s="450"/>
      <c r="AI188" s="450"/>
      <c r="AJ188" s="450"/>
      <c r="AK188" s="450">
        <f>AF188</f>
        <v>1.92</v>
      </c>
      <c r="AL188" s="450"/>
      <c r="AM188" s="450"/>
      <c r="AN188" s="450"/>
      <c r="AO188" s="450"/>
      <c r="AP188" s="450">
        <f>-AK183</f>
        <v>1.5429999999999999</v>
      </c>
      <c r="AQ188" s="450"/>
      <c r="AR188" s="450"/>
      <c r="AS188" s="450"/>
      <c r="AT188" s="450"/>
      <c r="AU188" s="450"/>
      <c r="AV188" s="450"/>
      <c r="AW188" s="450"/>
      <c r="AX188" s="450"/>
      <c r="AY188" s="450"/>
      <c r="AZ188" s="450"/>
      <c r="BA188" s="450"/>
      <c r="BB188" s="450"/>
      <c r="BC188" s="450"/>
      <c r="BD188" s="450"/>
      <c r="BE188" s="450"/>
      <c r="BF188" s="450"/>
      <c r="BG188" s="450"/>
      <c r="BH188" s="450"/>
      <c r="BI188" s="450"/>
      <c r="BJ188" s="450"/>
      <c r="BK188" s="450"/>
      <c r="BL188" s="450"/>
      <c r="BM188" s="450"/>
      <c r="BN188" s="450"/>
      <c r="BO188" s="450"/>
      <c r="BP188" s="450"/>
      <c r="BQ188" s="450"/>
      <c r="BR188" s="450"/>
      <c r="BS188" s="450"/>
      <c r="BT188" s="450"/>
      <c r="BU188" s="450"/>
      <c r="BV188" s="450"/>
      <c r="BW188" s="450"/>
      <c r="BX188" s="450"/>
      <c r="BY188" s="450"/>
      <c r="BZ188" s="450"/>
      <c r="CA188" s="450"/>
      <c r="CB188" s="450"/>
      <c r="CC188" s="450"/>
      <c r="CD188" s="450"/>
      <c r="CE188" s="450"/>
      <c r="CF188" s="450"/>
      <c r="CG188" s="450"/>
      <c r="CH188" s="450"/>
      <c r="CI188" s="450"/>
      <c r="CJ188" s="450"/>
      <c r="CK188" s="450"/>
      <c r="CL188" s="450"/>
      <c r="CM188" s="450"/>
      <c r="CN188" s="450"/>
      <c r="CO188" s="450"/>
      <c r="CP188" s="450"/>
      <c r="CQ188" s="450"/>
      <c r="CR188" s="450"/>
      <c r="CS188" s="450"/>
      <c r="CT188" s="450"/>
      <c r="CU188" s="450"/>
      <c r="CV188" s="450"/>
      <c r="CW188" s="450"/>
      <c r="CX188" s="450"/>
    </row>
    <row r="189" spans="1:102">
      <c r="A189" s="70"/>
      <c r="B189" s="455" t="s">
        <v>426</v>
      </c>
      <c r="C189" s="67"/>
      <c r="D189" s="67"/>
      <c r="E189" s="67"/>
      <c r="F189" s="67"/>
      <c r="G189" s="67"/>
      <c r="H189" s="67"/>
      <c r="I189" s="67"/>
      <c r="J189" s="67"/>
      <c r="K189" s="67"/>
      <c r="L189" s="67"/>
      <c r="M189" s="67"/>
      <c r="N189" s="67"/>
      <c r="O189" s="67"/>
      <c r="P189" s="67"/>
      <c r="Q189" s="235"/>
      <c r="R189" s="235"/>
      <c r="S189" s="235"/>
      <c r="T189" s="235"/>
      <c r="U189" s="235"/>
      <c r="V189" s="235"/>
      <c r="W189" s="235"/>
      <c r="X189" s="235"/>
      <c r="Y189" s="235"/>
      <c r="Z189" s="235"/>
      <c r="AA189" s="235">
        <f>AA182-V182</f>
        <v>13.630000000000003</v>
      </c>
      <c r="AB189" s="235"/>
      <c r="AC189" s="235"/>
      <c r="AD189" s="235"/>
      <c r="AE189" s="235"/>
      <c r="AF189" s="235">
        <f>AA189</f>
        <v>13.630000000000003</v>
      </c>
      <c r="AG189" s="235"/>
      <c r="AH189" s="235"/>
      <c r="AI189" s="235"/>
      <c r="AJ189" s="235"/>
      <c r="AK189" s="235">
        <f>AF189</f>
        <v>13.630000000000003</v>
      </c>
      <c r="AL189" s="235"/>
      <c r="AM189" s="235"/>
      <c r="AN189" s="235"/>
      <c r="AO189" s="235"/>
      <c r="AP189" s="235">
        <f>-AK182</f>
        <v>12.488</v>
      </c>
      <c r="AQ189" s="235"/>
      <c r="AR189" s="235"/>
      <c r="AS189" s="235"/>
      <c r="AT189" s="235"/>
      <c r="AU189" s="235"/>
      <c r="AV189" s="235"/>
      <c r="AW189" s="235"/>
      <c r="AX189" s="235"/>
      <c r="AY189" s="235"/>
      <c r="AZ189" s="235"/>
      <c r="BA189" s="235"/>
      <c r="BB189" s="235"/>
      <c r="BC189" s="235"/>
      <c r="BD189" s="235"/>
      <c r="BE189" s="235"/>
      <c r="BF189" s="235"/>
      <c r="BG189" s="235"/>
      <c r="BH189" s="235"/>
      <c r="BI189" s="235"/>
      <c r="BJ189" s="235"/>
      <c r="BK189" s="235"/>
      <c r="BL189" s="235"/>
      <c r="BM189" s="235"/>
      <c r="BN189" s="235"/>
      <c r="BO189" s="235"/>
      <c r="BP189" s="235"/>
      <c r="BQ189" s="235"/>
      <c r="BR189" s="235"/>
      <c r="BS189" s="235"/>
      <c r="BT189" s="235"/>
      <c r="BU189" s="235"/>
      <c r="BV189" s="235"/>
      <c r="BW189" s="235"/>
      <c r="BX189" s="235"/>
      <c r="BY189" s="235"/>
      <c r="BZ189" s="235"/>
      <c r="CA189" s="235"/>
      <c r="CB189" s="235"/>
      <c r="CC189" s="235"/>
      <c r="CD189" s="235"/>
      <c r="CE189" s="235"/>
      <c r="CF189" s="235"/>
      <c r="CG189" s="235"/>
      <c r="CH189" s="235"/>
      <c r="CI189" s="235"/>
      <c r="CJ189" s="235"/>
      <c r="CK189" s="235"/>
      <c r="CL189" s="235"/>
      <c r="CM189" s="235"/>
      <c r="CN189" s="235"/>
      <c r="CO189" s="235"/>
      <c r="CP189" s="235"/>
      <c r="CQ189" s="235"/>
      <c r="CR189" s="235"/>
      <c r="CS189" s="235"/>
      <c r="CT189" s="235"/>
      <c r="CU189" s="235"/>
      <c r="CV189" s="235"/>
      <c r="CW189" s="235"/>
      <c r="CX189" s="235"/>
    </row>
    <row r="190" spans="1:102">
      <c r="B190" s="453"/>
      <c r="C190" s="448"/>
      <c r="D190" s="448"/>
      <c r="E190" s="448"/>
      <c r="F190" s="448"/>
      <c r="G190" s="448"/>
      <c r="H190" s="448"/>
      <c r="I190" s="448"/>
      <c r="J190" s="448"/>
      <c r="K190" s="448"/>
      <c r="L190" s="448"/>
      <c r="M190" s="448"/>
      <c r="N190" s="448"/>
      <c r="O190" s="448"/>
      <c r="P190" s="448"/>
      <c r="Q190" s="448"/>
      <c r="R190" s="448"/>
      <c r="S190" s="448"/>
      <c r="T190" s="448"/>
      <c r="U190" s="448"/>
      <c r="V190" s="448"/>
      <c r="W190" s="448"/>
      <c r="X190" s="448"/>
      <c r="Y190" s="448"/>
      <c r="Z190" s="448"/>
      <c r="AA190" s="448"/>
      <c r="AB190" s="448"/>
      <c r="AC190" s="448"/>
      <c r="AD190" s="448"/>
      <c r="AE190" s="448"/>
      <c r="AF190" s="448"/>
      <c r="AG190" s="448"/>
      <c r="AH190" s="448"/>
      <c r="AI190" s="448"/>
      <c r="AJ190" s="448"/>
      <c r="AK190" s="448"/>
      <c r="AL190" s="448"/>
      <c r="AM190" s="448"/>
      <c r="AN190" s="448"/>
      <c r="AO190" s="448"/>
      <c r="AP190" s="448"/>
      <c r="AQ190" s="448"/>
      <c r="AR190" s="448"/>
      <c r="AS190" s="448"/>
      <c r="AT190" s="448"/>
      <c r="AU190" s="448"/>
      <c r="AV190" s="448"/>
      <c r="AW190" s="448"/>
      <c r="AX190" s="448"/>
      <c r="AY190" s="448"/>
      <c r="AZ190" s="448"/>
      <c r="BA190" s="448"/>
      <c r="BB190" s="448"/>
      <c r="BC190" s="448"/>
      <c r="BD190" s="448"/>
      <c r="BE190" s="448"/>
      <c r="BF190" s="448"/>
      <c r="BG190" s="448"/>
      <c r="BH190" s="448"/>
      <c r="BI190" s="448"/>
      <c r="BJ190" s="448"/>
      <c r="BK190" s="448"/>
      <c r="BL190" s="448"/>
      <c r="BM190" s="448"/>
      <c r="BN190" s="448"/>
      <c r="BO190" s="448"/>
      <c r="BP190" s="448"/>
      <c r="BQ190" s="448"/>
      <c r="BR190" s="448"/>
      <c r="BS190" s="448"/>
      <c r="BT190" s="448"/>
      <c r="BU190" s="448"/>
      <c r="BV190" s="448"/>
      <c r="BW190" s="448"/>
      <c r="BX190" s="448"/>
      <c r="BY190" s="448"/>
      <c r="BZ190" s="448"/>
      <c r="CA190" s="448"/>
      <c r="CB190" s="448"/>
      <c r="CC190" s="448"/>
      <c r="CD190" s="448"/>
      <c r="CE190" s="448"/>
      <c r="CF190" s="448"/>
      <c r="CG190" s="448"/>
      <c r="CH190" s="448"/>
      <c r="CI190" s="448"/>
      <c r="CJ190" s="448"/>
      <c r="CK190" s="448"/>
      <c r="CL190" s="448"/>
      <c r="CM190" s="448"/>
      <c r="CN190" s="448"/>
      <c r="CO190" s="448"/>
      <c r="CP190" s="448"/>
      <c r="CQ190" s="448"/>
      <c r="CR190" s="448"/>
      <c r="CS190" s="448"/>
      <c r="CT190" s="448"/>
      <c r="CU190" s="448"/>
      <c r="CV190" s="448"/>
      <c r="CW190" s="448"/>
      <c r="CX190" s="448"/>
    </row>
    <row r="191" spans="1:102">
      <c r="B191" s="454" t="s">
        <v>416</v>
      </c>
      <c r="C191" s="70"/>
      <c r="D191" s="70"/>
      <c r="E191" s="70"/>
      <c r="F191" s="70"/>
      <c r="G191" s="70"/>
      <c r="H191" s="70"/>
      <c r="I191" s="70"/>
      <c r="J191" s="70"/>
      <c r="K191" s="70"/>
      <c r="L191" s="70"/>
      <c r="M191" s="70"/>
      <c r="N191" s="70"/>
      <c r="O191" s="70"/>
      <c r="P191" s="70"/>
      <c r="Q191" s="70"/>
      <c r="R191" s="70"/>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c r="BD191" s="70"/>
      <c r="BE191" s="70"/>
      <c r="BF191" s="70"/>
      <c r="BG191" s="70"/>
      <c r="BH191" s="70"/>
      <c r="BI191" s="70"/>
      <c r="BJ191" s="70"/>
      <c r="BK191" s="70"/>
      <c r="BL191" s="70"/>
      <c r="BM191" s="70"/>
      <c r="BN191" s="70"/>
      <c r="BO191" s="70"/>
      <c r="BP191" s="70"/>
      <c r="BQ191" s="70"/>
      <c r="BR191" s="70"/>
      <c r="BS191" s="70"/>
      <c r="BT191" s="70"/>
      <c r="BU191" s="70"/>
      <c r="BV191" s="70"/>
      <c r="BW191" s="70"/>
      <c r="BX191" s="70"/>
      <c r="BY191" s="70"/>
      <c r="BZ191" s="70"/>
      <c r="CA191" s="70"/>
      <c r="CB191" s="70"/>
      <c r="CC191" s="70"/>
      <c r="CD191" s="70"/>
      <c r="CE191" s="70"/>
      <c r="CF191" s="70"/>
      <c r="CG191" s="70"/>
      <c r="CH191" s="70"/>
      <c r="CI191" s="70"/>
      <c r="CJ191" s="70"/>
      <c r="CK191" s="70"/>
      <c r="CL191" s="70"/>
      <c r="CM191" s="70"/>
      <c r="CN191" s="70"/>
      <c r="CO191" s="70"/>
      <c r="CP191" s="70"/>
      <c r="CQ191" s="70"/>
      <c r="CR191" s="70"/>
      <c r="CS191" s="70"/>
      <c r="CT191" s="70"/>
      <c r="CU191" s="70"/>
      <c r="CV191" s="70"/>
      <c r="CW191" s="70"/>
      <c r="CX191" s="70"/>
    </row>
    <row r="192" spans="1:102">
      <c r="B192" s="446" t="s">
        <v>411</v>
      </c>
      <c r="C192" s="70"/>
      <c r="D192" s="70"/>
      <c r="E192" s="70"/>
      <c r="F192" s="70"/>
      <c r="G192" s="70"/>
      <c r="H192" s="70"/>
      <c r="I192" s="70"/>
      <c r="J192" s="70"/>
      <c r="K192" s="70"/>
      <c r="L192" s="450"/>
      <c r="M192" s="450"/>
      <c r="N192" s="450"/>
      <c r="O192" s="450"/>
      <c r="P192" s="450"/>
      <c r="Q192" s="450">
        <v>375</v>
      </c>
      <c r="R192" s="450"/>
      <c r="S192" s="450"/>
      <c r="T192" s="450"/>
      <c r="U192" s="450"/>
      <c r="V192" s="450"/>
      <c r="W192" s="450"/>
      <c r="X192" s="450"/>
      <c r="Y192" s="450"/>
      <c r="Z192" s="450"/>
      <c r="AA192" s="450"/>
      <c r="AB192" s="450"/>
      <c r="AC192" s="450"/>
      <c r="AD192" s="450"/>
      <c r="AE192" s="450"/>
      <c r="AF192" s="450"/>
      <c r="AG192" s="450"/>
      <c r="AH192" s="450"/>
      <c r="AI192" s="450"/>
      <c r="AJ192" s="450"/>
      <c r="AK192" s="450"/>
      <c r="AL192" s="450"/>
      <c r="AM192" s="450"/>
      <c r="AN192" s="450"/>
      <c r="AO192" s="450"/>
      <c r="AP192" s="450"/>
      <c r="AQ192" s="450"/>
      <c r="AR192" s="450"/>
      <c r="AS192" s="450"/>
      <c r="AT192" s="450"/>
      <c r="AU192" s="450"/>
      <c r="AV192" s="450"/>
      <c r="AW192" s="450"/>
      <c r="AX192" s="450"/>
      <c r="AY192" s="450"/>
      <c r="AZ192" s="450"/>
      <c r="BA192" s="450"/>
      <c r="BB192" s="450"/>
      <c r="BC192" s="450"/>
      <c r="BD192" s="450"/>
      <c r="BE192" s="450"/>
      <c r="BF192" s="450"/>
      <c r="BG192" s="450"/>
      <c r="BH192" s="450"/>
      <c r="BI192" s="450"/>
      <c r="BJ192" s="450"/>
      <c r="BK192" s="450"/>
      <c r="BL192" s="450"/>
      <c r="BM192" s="450"/>
      <c r="BN192" s="450"/>
      <c r="BO192" s="450"/>
      <c r="BP192" s="450"/>
      <c r="BQ192" s="450"/>
      <c r="BR192" s="450"/>
      <c r="BS192" s="450"/>
      <c r="BT192" s="450"/>
      <c r="BU192" s="450"/>
      <c r="BV192" s="450"/>
      <c r="BW192" s="450"/>
      <c r="BX192" s="450"/>
      <c r="BY192" s="450"/>
      <c r="BZ192" s="450"/>
      <c r="CA192" s="450"/>
      <c r="CB192" s="450"/>
      <c r="CC192" s="450"/>
      <c r="CD192" s="450"/>
      <c r="CE192" s="450"/>
      <c r="CF192" s="450"/>
      <c r="CG192" s="450"/>
      <c r="CH192" s="450"/>
      <c r="CI192" s="450"/>
      <c r="CJ192" s="450"/>
      <c r="CK192" s="450"/>
      <c r="CL192" s="450"/>
      <c r="CM192" s="450"/>
      <c r="CN192" s="450"/>
      <c r="CO192" s="450"/>
      <c r="CP192" s="450"/>
      <c r="CQ192" s="450"/>
      <c r="CR192" s="450"/>
      <c r="CS192" s="450"/>
      <c r="CT192" s="450"/>
      <c r="CU192" s="450"/>
      <c r="CV192" s="450"/>
      <c r="CW192" s="450"/>
      <c r="CX192" s="450"/>
    </row>
    <row r="193" spans="1:102">
      <c r="B193" s="446" t="s">
        <v>417</v>
      </c>
      <c r="C193" s="70"/>
      <c r="D193" s="70"/>
      <c r="E193" s="70"/>
      <c r="F193" s="70"/>
      <c r="G193" s="70"/>
      <c r="H193" s="70"/>
      <c r="I193" s="70"/>
      <c r="J193" s="70"/>
      <c r="K193" s="70"/>
      <c r="L193" s="450"/>
      <c r="M193" s="450"/>
      <c r="N193" s="450"/>
      <c r="O193" s="450"/>
      <c r="P193" s="450"/>
      <c r="Q193" s="450"/>
      <c r="R193" s="450"/>
      <c r="S193" s="450"/>
      <c r="T193" s="450"/>
      <c r="U193" s="450"/>
      <c r="V193" s="450"/>
      <c r="W193" s="450"/>
      <c r="X193" s="450"/>
      <c r="Y193" s="450"/>
      <c r="Z193" s="450"/>
      <c r="AA193" s="450"/>
      <c r="AB193" s="450"/>
      <c r="AC193" s="450"/>
      <c r="AD193" s="450"/>
      <c r="AE193" s="450"/>
      <c r="AF193" s="450"/>
      <c r="AG193" s="450"/>
      <c r="AH193" s="450"/>
      <c r="AI193" s="450"/>
      <c r="AJ193" s="450"/>
      <c r="AK193" s="450"/>
      <c r="AL193" s="450"/>
      <c r="AM193" s="450"/>
      <c r="AN193" s="450"/>
      <c r="AO193" s="450"/>
      <c r="AP193" s="450"/>
      <c r="AQ193" s="450"/>
      <c r="AR193" s="450"/>
      <c r="AS193" s="450"/>
      <c r="AT193" s="450"/>
      <c r="AU193" s="450"/>
      <c r="AV193" s="450"/>
      <c r="AW193" s="450"/>
      <c r="AX193" s="450"/>
      <c r="AY193" s="450"/>
      <c r="AZ193" s="450"/>
      <c r="BA193" s="450"/>
      <c r="BB193" s="450"/>
      <c r="BC193" s="450"/>
      <c r="BD193" s="450"/>
      <c r="BE193" s="450"/>
      <c r="BF193" s="450"/>
      <c r="BG193" s="450"/>
      <c r="BH193" s="450"/>
      <c r="BI193" s="450"/>
      <c r="BJ193" s="450"/>
      <c r="BK193" s="450"/>
      <c r="BL193" s="450"/>
      <c r="BM193" s="450"/>
      <c r="BN193" s="450"/>
      <c r="BO193" s="450"/>
      <c r="BP193" s="450"/>
      <c r="BQ193" s="450"/>
      <c r="BR193" s="450"/>
      <c r="BS193" s="450"/>
      <c r="BT193" s="450"/>
      <c r="BU193" s="450"/>
      <c r="BV193" s="450"/>
      <c r="BW193" s="450"/>
      <c r="BX193" s="450"/>
      <c r="BY193" s="450"/>
      <c r="BZ193" s="450"/>
      <c r="CA193" s="450"/>
      <c r="CB193" s="450"/>
      <c r="CC193" s="450"/>
      <c r="CD193" s="450"/>
      <c r="CE193" s="450"/>
      <c r="CF193" s="450"/>
      <c r="CG193" s="450"/>
      <c r="CH193" s="450"/>
      <c r="CI193" s="450"/>
      <c r="CJ193" s="450"/>
      <c r="CK193" s="450"/>
      <c r="CL193" s="450"/>
      <c r="CM193" s="450"/>
      <c r="CN193" s="450"/>
      <c r="CO193" s="450"/>
      <c r="CP193" s="450"/>
      <c r="CQ193" s="450"/>
      <c r="CR193" s="450"/>
      <c r="CS193" s="450"/>
      <c r="CT193" s="450"/>
      <c r="CU193" s="450"/>
      <c r="CV193" s="450"/>
      <c r="CW193" s="450"/>
      <c r="CX193" s="450"/>
    </row>
    <row r="194" spans="1:102">
      <c r="B194" s="454"/>
      <c r="C194" s="70"/>
      <c r="D194" s="70"/>
      <c r="E194" s="70"/>
      <c r="F194" s="70"/>
      <c r="G194" s="70"/>
      <c r="H194" s="70"/>
      <c r="I194" s="70"/>
      <c r="J194" s="70"/>
      <c r="K194" s="70"/>
      <c r="L194" s="70"/>
      <c r="M194" s="70"/>
      <c r="N194" s="70"/>
      <c r="O194" s="70"/>
      <c r="P194" s="70"/>
      <c r="Q194" s="70"/>
      <c r="R194" s="70"/>
      <c r="S194" s="70"/>
      <c r="T194" s="70"/>
      <c r="U194" s="70"/>
      <c r="V194" s="70"/>
      <c r="W194" s="70"/>
      <c r="X194" s="70"/>
      <c r="Y194" s="70"/>
      <c r="Z194" s="70"/>
      <c r="AA194" s="70"/>
      <c r="AB194" s="70"/>
      <c r="AC194" s="70"/>
      <c r="AD194" s="70"/>
      <c r="AE194" s="70"/>
      <c r="AF194" s="70"/>
      <c r="AG194" s="70"/>
      <c r="AH194" s="70"/>
      <c r="AI194" s="70"/>
      <c r="AJ194" s="70"/>
      <c r="AK194" s="70"/>
      <c r="AL194" s="70"/>
      <c r="AM194" s="70"/>
      <c r="AN194" s="70"/>
      <c r="AO194" s="70"/>
      <c r="AP194" s="70"/>
      <c r="AQ194" s="70"/>
      <c r="AR194" s="70"/>
      <c r="AS194" s="70"/>
      <c r="AT194" s="70"/>
      <c r="AU194" s="70"/>
      <c r="AV194" s="70"/>
      <c r="AW194" s="70"/>
      <c r="AX194" s="70"/>
      <c r="AY194" s="70"/>
      <c r="AZ194" s="70"/>
      <c r="BA194" s="70"/>
      <c r="BB194" s="70"/>
      <c r="BC194" s="70"/>
      <c r="BD194" s="70"/>
      <c r="BE194" s="70"/>
      <c r="BF194" s="70"/>
      <c r="BG194" s="70"/>
      <c r="BH194" s="70"/>
      <c r="BI194" s="70"/>
      <c r="BJ194" s="70"/>
      <c r="BK194" s="70"/>
      <c r="BL194" s="70"/>
      <c r="BM194" s="70"/>
      <c r="BN194" s="70"/>
      <c r="BO194" s="70"/>
      <c r="BP194" s="70"/>
      <c r="BQ194" s="70"/>
      <c r="BR194" s="70"/>
      <c r="BS194" s="70"/>
      <c r="BT194" s="70"/>
      <c r="BU194" s="70"/>
      <c r="BV194" s="70"/>
      <c r="BW194" s="70"/>
      <c r="BX194" s="70"/>
      <c r="BY194" s="70"/>
      <c r="BZ194" s="70"/>
      <c r="CA194" s="70"/>
      <c r="CB194" s="70"/>
      <c r="CC194" s="70"/>
      <c r="CD194" s="70"/>
      <c r="CE194" s="70"/>
      <c r="CF194" s="70"/>
      <c r="CG194" s="70"/>
      <c r="CH194" s="70"/>
      <c r="CI194" s="70"/>
      <c r="CJ194" s="70"/>
      <c r="CK194" s="70"/>
      <c r="CL194" s="70"/>
      <c r="CM194" s="70"/>
      <c r="CN194" s="70"/>
      <c r="CO194" s="70"/>
      <c r="CP194" s="70"/>
      <c r="CQ194" s="70"/>
      <c r="CR194" s="70"/>
      <c r="CS194" s="70"/>
      <c r="CT194" s="70"/>
      <c r="CU194" s="70"/>
      <c r="CV194" s="70"/>
      <c r="CW194" s="70"/>
      <c r="CX194" s="70"/>
    </row>
    <row r="195" spans="1:102">
      <c r="B195" s="446" t="s">
        <v>412</v>
      </c>
      <c r="C195" s="70"/>
      <c r="D195" s="70"/>
      <c r="E195" s="70"/>
      <c r="F195" s="70"/>
      <c r="G195" s="70"/>
      <c r="H195" s="70"/>
      <c r="I195" s="70"/>
      <c r="J195" s="70"/>
      <c r="K195" s="70"/>
      <c r="L195" s="450"/>
      <c r="M195" s="450"/>
      <c r="N195" s="450"/>
      <c r="O195" s="450"/>
      <c r="P195" s="450"/>
      <c r="Q195" s="450"/>
      <c r="R195" s="450"/>
      <c r="S195" s="450"/>
      <c r="T195" s="450"/>
      <c r="U195" s="450"/>
      <c r="V195" s="450">
        <f>Q197</f>
        <v>375</v>
      </c>
      <c r="W195" s="450"/>
      <c r="X195" s="450"/>
      <c r="Y195" s="450"/>
      <c r="Z195" s="450"/>
      <c r="AA195" s="450">
        <f>V197</f>
        <v>375</v>
      </c>
      <c r="AB195" s="450"/>
      <c r="AC195" s="450"/>
      <c r="AD195" s="450"/>
      <c r="AE195" s="450"/>
      <c r="AF195" s="450">
        <v>374.99299999999999</v>
      </c>
      <c r="AG195" s="450"/>
      <c r="AH195" s="450"/>
      <c r="AI195" s="450"/>
      <c r="AJ195" s="450"/>
      <c r="AK195" s="450">
        <f>AF197</f>
        <v>374.99299999999999</v>
      </c>
      <c r="AL195" s="450"/>
      <c r="AM195" s="450"/>
      <c r="AN195" s="450"/>
      <c r="AO195" s="450"/>
      <c r="AP195" s="450">
        <f>AK197</f>
        <v>374.99299999999999</v>
      </c>
      <c r="AQ195" s="450"/>
      <c r="AR195" s="450"/>
      <c r="AS195" s="450"/>
      <c r="AT195" s="450"/>
      <c r="AU195" s="450">
        <f>AP197</f>
        <v>374.99299999999999</v>
      </c>
      <c r="AV195" s="450"/>
      <c r="AW195" s="450"/>
      <c r="AX195" s="450"/>
      <c r="AY195" s="450"/>
      <c r="AZ195" s="450">
        <f>AU197</f>
        <v>374.99299999999999</v>
      </c>
      <c r="BA195" s="450"/>
      <c r="BB195" s="450"/>
      <c r="BC195" s="450"/>
      <c r="BD195" s="450"/>
      <c r="BE195" s="450"/>
      <c r="BF195" s="450"/>
      <c r="BG195" s="450"/>
      <c r="BH195" s="450"/>
      <c r="BI195" s="450"/>
      <c r="BJ195" s="450"/>
      <c r="BK195" s="450"/>
      <c r="BL195" s="450"/>
      <c r="BM195" s="450"/>
      <c r="BN195" s="450"/>
      <c r="BO195" s="450"/>
      <c r="BP195" s="450"/>
      <c r="BQ195" s="450"/>
      <c r="BR195" s="450"/>
      <c r="BS195" s="450"/>
      <c r="BT195" s="450"/>
      <c r="BU195" s="450"/>
      <c r="BV195" s="450"/>
      <c r="BW195" s="450"/>
      <c r="BX195" s="450"/>
      <c r="BY195" s="450"/>
      <c r="BZ195" s="450"/>
      <c r="CA195" s="450"/>
      <c r="CB195" s="450"/>
      <c r="CC195" s="450"/>
      <c r="CD195" s="450"/>
      <c r="CE195" s="450"/>
      <c r="CF195" s="450"/>
      <c r="CG195" s="450"/>
      <c r="CH195" s="450"/>
      <c r="CI195" s="450"/>
      <c r="CJ195" s="450"/>
      <c r="CK195" s="450"/>
      <c r="CL195" s="450"/>
      <c r="CM195" s="450"/>
      <c r="CN195" s="450"/>
      <c r="CO195" s="450"/>
      <c r="CP195" s="450"/>
      <c r="CQ195" s="450"/>
      <c r="CR195" s="450"/>
      <c r="CS195" s="450"/>
      <c r="CT195" s="450"/>
      <c r="CU195" s="450"/>
      <c r="CV195" s="450"/>
      <c r="CW195" s="450"/>
      <c r="CX195" s="450"/>
    </row>
    <row r="196" spans="1:102">
      <c r="B196" s="446" t="s">
        <v>413</v>
      </c>
      <c r="C196" s="70"/>
      <c r="D196" s="70"/>
      <c r="E196" s="70"/>
      <c r="F196" s="70"/>
      <c r="G196" s="70"/>
      <c r="H196" s="70"/>
      <c r="I196" s="70"/>
      <c r="J196" s="70"/>
      <c r="K196" s="70"/>
      <c r="L196" s="450"/>
      <c r="M196" s="450"/>
      <c r="N196" s="450"/>
      <c r="O196" s="450"/>
      <c r="P196" s="450"/>
      <c r="Q196" s="450"/>
      <c r="R196" s="450"/>
      <c r="S196" s="450"/>
      <c r="T196" s="450"/>
      <c r="U196" s="450"/>
      <c r="V196" s="475">
        <v>0</v>
      </c>
      <c r="W196" s="475"/>
      <c r="X196" s="475"/>
      <c r="Y196" s="475"/>
      <c r="Z196" s="475"/>
      <c r="AA196" s="475">
        <v>7.0000000000000001E-3</v>
      </c>
      <c r="AB196" s="475"/>
      <c r="AC196" s="475"/>
      <c r="AD196" s="475"/>
      <c r="AE196" s="475"/>
      <c r="AF196" s="475">
        <v>0</v>
      </c>
      <c r="AG196" s="475"/>
      <c r="AH196" s="475"/>
      <c r="AI196" s="475"/>
      <c r="AJ196" s="475"/>
      <c r="AK196" s="475">
        <v>0</v>
      </c>
      <c r="AL196" s="475"/>
      <c r="AM196" s="475"/>
      <c r="AN196" s="475"/>
      <c r="AO196" s="475"/>
      <c r="AP196" s="475">
        <v>0</v>
      </c>
      <c r="AQ196" s="475"/>
      <c r="AR196" s="475"/>
      <c r="AS196" s="475"/>
      <c r="AT196" s="475"/>
      <c r="AU196" s="475">
        <v>0</v>
      </c>
      <c r="AV196" s="475"/>
      <c r="AW196" s="475"/>
      <c r="AX196" s="475"/>
      <c r="AY196" s="475"/>
      <c r="AZ196" s="475">
        <f>AZ195</f>
        <v>374.99299999999999</v>
      </c>
      <c r="BA196" s="475"/>
      <c r="BB196" s="475"/>
      <c r="BC196" s="475"/>
      <c r="BD196" s="475"/>
      <c r="BE196" s="475"/>
      <c r="BF196" s="475"/>
      <c r="BG196" s="475"/>
      <c r="BH196" s="475"/>
      <c r="BI196" s="475"/>
      <c r="BJ196" s="475"/>
      <c r="BK196" s="475"/>
      <c r="BL196" s="475"/>
      <c r="BM196" s="475"/>
      <c r="BN196" s="475"/>
      <c r="BO196" s="475"/>
      <c r="BP196" s="475"/>
      <c r="BQ196" s="475"/>
      <c r="BR196" s="475"/>
      <c r="BS196" s="475"/>
      <c r="BT196" s="475"/>
      <c r="BU196" s="475"/>
      <c r="BV196" s="475"/>
      <c r="BW196" s="475"/>
      <c r="BX196" s="475"/>
      <c r="BY196" s="475"/>
      <c r="BZ196" s="475"/>
      <c r="CA196" s="475"/>
      <c r="CB196" s="475"/>
      <c r="CC196" s="475"/>
      <c r="CD196" s="475"/>
      <c r="CE196" s="475"/>
      <c r="CF196" s="475"/>
      <c r="CG196" s="475"/>
      <c r="CH196" s="475"/>
      <c r="CI196" s="475"/>
      <c r="CJ196" s="475"/>
      <c r="CK196" s="475"/>
      <c r="CL196" s="475"/>
      <c r="CM196" s="475"/>
      <c r="CN196" s="475"/>
      <c r="CO196" s="475"/>
      <c r="CP196" s="475"/>
      <c r="CQ196" s="475"/>
      <c r="CR196" s="475"/>
      <c r="CS196" s="475"/>
      <c r="CT196" s="475"/>
      <c r="CU196" s="475"/>
      <c r="CV196" s="475"/>
      <c r="CW196" s="475"/>
      <c r="CX196" s="475"/>
    </row>
    <row r="197" spans="1:102">
      <c r="B197" s="446" t="s">
        <v>414</v>
      </c>
      <c r="C197" s="70"/>
      <c r="D197" s="70"/>
      <c r="E197" s="70"/>
      <c r="F197" s="70"/>
      <c r="G197" s="70"/>
      <c r="H197" s="70"/>
      <c r="I197" s="70"/>
      <c r="J197" s="70"/>
      <c r="K197" s="70"/>
      <c r="L197" s="450"/>
      <c r="M197" s="450"/>
      <c r="N197" s="450"/>
      <c r="O197" s="450"/>
      <c r="P197" s="450"/>
      <c r="Q197" s="450">
        <f>Q192</f>
        <v>375</v>
      </c>
      <c r="R197" s="450"/>
      <c r="S197" s="450"/>
      <c r="T197" s="450"/>
      <c r="U197" s="450"/>
      <c r="V197" s="450">
        <v>375</v>
      </c>
      <c r="W197" s="450"/>
      <c r="X197" s="450"/>
      <c r="Y197" s="450"/>
      <c r="Z197" s="450"/>
      <c r="AA197" s="450">
        <f>AA195-AA196</f>
        <v>374.99299999999999</v>
      </c>
      <c r="AB197" s="450"/>
      <c r="AC197" s="450"/>
      <c r="AD197" s="450"/>
      <c r="AE197" s="450"/>
      <c r="AF197" s="450">
        <f>AF195-AF196</f>
        <v>374.99299999999999</v>
      </c>
      <c r="AG197" s="450"/>
      <c r="AH197" s="450"/>
      <c r="AI197" s="450"/>
      <c r="AJ197" s="450"/>
      <c r="AK197" s="450">
        <f>AK195-AK196</f>
        <v>374.99299999999999</v>
      </c>
      <c r="AL197" s="450"/>
      <c r="AM197" s="450"/>
      <c r="AN197" s="450"/>
      <c r="AO197" s="450"/>
      <c r="AP197" s="450">
        <f>AP195-AP196</f>
        <v>374.99299999999999</v>
      </c>
      <c r="AQ197" s="450"/>
      <c r="AR197" s="450"/>
      <c r="AS197" s="450"/>
      <c r="AT197" s="450"/>
      <c r="AU197" s="450">
        <f>AU195-AU196</f>
        <v>374.99299999999999</v>
      </c>
      <c r="AV197" s="450"/>
      <c r="AW197" s="450"/>
      <c r="AX197" s="450"/>
      <c r="AY197" s="450"/>
      <c r="AZ197" s="450">
        <f>AZ195-AZ196</f>
        <v>0</v>
      </c>
      <c r="BA197" s="450"/>
      <c r="BB197" s="450"/>
      <c r="BC197" s="450"/>
      <c r="BD197" s="450"/>
      <c r="BE197" s="450"/>
      <c r="BF197" s="450"/>
      <c r="BG197" s="450"/>
      <c r="BH197" s="450"/>
      <c r="BI197" s="450"/>
      <c r="BJ197" s="450"/>
      <c r="BK197" s="450"/>
      <c r="BL197" s="450"/>
      <c r="BM197" s="450"/>
      <c r="BN197" s="450"/>
      <c r="BO197" s="450"/>
      <c r="BP197" s="450"/>
      <c r="BQ197" s="450"/>
      <c r="BR197" s="450"/>
      <c r="BS197" s="450"/>
      <c r="BT197" s="450"/>
      <c r="BU197" s="450"/>
      <c r="BV197" s="450"/>
      <c r="BW197" s="450"/>
      <c r="BX197" s="450"/>
      <c r="BY197" s="450"/>
      <c r="BZ197" s="450"/>
      <c r="CA197" s="450"/>
      <c r="CB197" s="450"/>
      <c r="CC197" s="450"/>
      <c r="CD197" s="450"/>
      <c r="CE197" s="450"/>
      <c r="CF197" s="450"/>
      <c r="CG197" s="450"/>
      <c r="CH197" s="450"/>
      <c r="CI197" s="450"/>
      <c r="CJ197" s="450"/>
      <c r="CK197" s="450"/>
      <c r="CL197" s="450"/>
      <c r="CM197" s="450"/>
      <c r="CN197" s="450"/>
      <c r="CO197" s="450"/>
      <c r="CP197" s="450"/>
      <c r="CQ197" s="450"/>
      <c r="CR197" s="450"/>
      <c r="CS197" s="450"/>
      <c r="CT197" s="450"/>
      <c r="CU197" s="450"/>
      <c r="CV197" s="450"/>
      <c r="CW197" s="450"/>
      <c r="CX197" s="450"/>
    </row>
    <row r="198" spans="1:102">
      <c r="B198" s="488" t="s">
        <v>422</v>
      </c>
      <c r="C198" s="70"/>
      <c r="D198" s="70"/>
      <c r="E198" s="70"/>
      <c r="F198" s="70"/>
      <c r="G198" s="70"/>
      <c r="H198" s="70"/>
      <c r="I198" s="70"/>
      <c r="J198" s="70"/>
      <c r="K198" s="70"/>
      <c r="L198" s="450"/>
      <c r="M198" s="450"/>
      <c r="N198" s="450"/>
      <c r="O198" s="450"/>
      <c r="P198" s="450"/>
      <c r="Q198" s="450"/>
      <c r="R198" s="450"/>
      <c r="S198" s="450"/>
      <c r="T198" s="450"/>
      <c r="U198" s="450"/>
      <c r="V198" s="450">
        <v>-77.045000000000002</v>
      </c>
      <c r="W198" s="450"/>
      <c r="X198" s="450"/>
      <c r="Y198" s="450"/>
      <c r="Z198" s="450"/>
      <c r="AA198" s="450">
        <v>-65.477999999999994</v>
      </c>
      <c r="AB198" s="450"/>
      <c r="AC198" s="450"/>
      <c r="AD198" s="450"/>
      <c r="AE198" s="450"/>
      <c r="AF198" s="450">
        <v>-53.238</v>
      </c>
      <c r="AG198" s="450"/>
      <c r="AH198" s="450"/>
      <c r="AI198" s="450"/>
      <c r="AJ198" s="450"/>
      <c r="AK198" s="450">
        <v>-40.286999999999999</v>
      </c>
      <c r="AL198" s="450"/>
      <c r="AM198" s="450"/>
      <c r="AN198" s="450"/>
      <c r="AO198" s="450"/>
      <c r="AP198" s="450">
        <f>AK198+AP205</f>
        <v>-27.286999999999999</v>
      </c>
      <c r="AQ198" s="450"/>
      <c r="AR198" s="450"/>
      <c r="AS198" s="450"/>
      <c r="AT198" s="450"/>
      <c r="AU198" s="450">
        <f>AP198+AU205</f>
        <v>-14.286999999999999</v>
      </c>
      <c r="AV198" s="450"/>
      <c r="AW198" s="450"/>
      <c r="AX198" s="450"/>
      <c r="AY198" s="450"/>
      <c r="AZ198" s="450">
        <f>AU198+AZ205</f>
        <v>0</v>
      </c>
      <c r="BA198" s="450"/>
      <c r="BB198" s="450"/>
      <c r="BC198" s="450"/>
      <c r="BD198" s="450"/>
      <c r="BE198" s="450"/>
      <c r="BF198" s="450"/>
      <c r="BG198" s="450"/>
      <c r="BH198" s="450"/>
      <c r="BI198" s="450"/>
      <c r="BJ198" s="450"/>
      <c r="BK198" s="450"/>
      <c r="BL198" s="450"/>
      <c r="BM198" s="450"/>
      <c r="BN198" s="450"/>
      <c r="BO198" s="450"/>
      <c r="BP198" s="450"/>
      <c r="BQ198" s="450"/>
      <c r="BR198" s="450"/>
      <c r="BS198" s="450"/>
      <c r="BT198" s="450"/>
      <c r="BU198" s="450"/>
      <c r="BV198" s="450"/>
      <c r="BW198" s="450"/>
      <c r="BX198" s="450"/>
      <c r="BY198" s="450"/>
      <c r="BZ198" s="450"/>
      <c r="CA198" s="450"/>
      <c r="CB198" s="450"/>
      <c r="CC198" s="450"/>
      <c r="CD198" s="450"/>
      <c r="CE198" s="450"/>
      <c r="CF198" s="450"/>
      <c r="CG198" s="450"/>
      <c r="CH198" s="450"/>
      <c r="CI198" s="450"/>
      <c r="CJ198" s="450"/>
      <c r="CK198" s="450"/>
      <c r="CL198" s="450"/>
      <c r="CM198" s="450"/>
      <c r="CN198" s="450"/>
      <c r="CO198" s="450"/>
      <c r="CP198" s="450"/>
      <c r="CQ198" s="450"/>
      <c r="CR198" s="450"/>
      <c r="CS198" s="450"/>
      <c r="CT198" s="450"/>
      <c r="CU198" s="450"/>
      <c r="CV198" s="450"/>
      <c r="CW198" s="450"/>
      <c r="CX198" s="450"/>
    </row>
    <row r="199" spans="1:102">
      <c r="B199" s="488" t="s">
        <v>423</v>
      </c>
      <c r="C199" s="70"/>
      <c r="D199" s="70"/>
      <c r="E199" s="70"/>
      <c r="F199" s="70"/>
      <c r="G199" s="70"/>
      <c r="H199" s="70"/>
      <c r="I199" s="70"/>
      <c r="J199" s="70"/>
      <c r="K199" s="70"/>
      <c r="L199" s="450"/>
      <c r="M199" s="450"/>
      <c r="N199" s="450"/>
      <c r="O199" s="450"/>
      <c r="P199" s="450"/>
      <c r="Q199" s="450"/>
      <c r="R199" s="450"/>
      <c r="S199" s="450"/>
      <c r="T199" s="450"/>
      <c r="U199" s="450"/>
      <c r="V199" s="450">
        <v>-7.4930000000000003</v>
      </c>
      <c r="W199" s="450"/>
      <c r="X199" s="450"/>
      <c r="Y199" s="450"/>
      <c r="Z199" s="450"/>
      <c r="AA199" s="450">
        <v>-6.21</v>
      </c>
      <c r="AB199" s="450"/>
      <c r="AC199" s="450"/>
      <c r="AD199" s="450"/>
      <c r="AE199" s="450"/>
      <c r="AF199" s="450">
        <v>-4.923</v>
      </c>
      <c r="AG199" s="450"/>
      <c r="AH199" s="450"/>
      <c r="AI199" s="450"/>
      <c r="AJ199" s="450"/>
      <c r="AK199" s="450">
        <v>-3.6309999999999998</v>
      </c>
      <c r="AL199" s="450"/>
      <c r="AM199" s="450"/>
      <c r="AN199" s="450"/>
      <c r="AO199" s="450"/>
      <c r="AP199" s="450">
        <f>AK199+AP204</f>
        <v>-2.3479999999999994</v>
      </c>
      <c r="AQ199" s="450"/>
      <c r="AR199" s="450"/>
      <c r="AS199" s="450"/>
      <c r="AT199" s="450"/>
      <c r="AU199" s="450">
        <f>AP199+AU204</f>
        <v>-1.0649999999999991</v>
      </c>
      <c r="AV199" s="450"/>
      <c r="AW199" s="450"/>
      <c r="AX199" s="450"/>
      <c r="AY199" s="450"/>
      <c r="AZ199" s="450">
        <f>AU199+AZ204</f>
        <v>0</v>
      </c>
      <c r="BA199" s="450"/>
      <c r="BB199" s="450"/>
      <c r="BC199" s="450"/>
      <c r="BD199" s="450"/>
      <c r="BE199" s="450"/>
      <c r="BF199" s="450"/>
      <c r="BG199" s="450"/>
      <c r="BH199" s="450"/>
      <c r="BI199" s="450"/>
      <c r="BJ199" s="450"/>
      <c r="BK199" s="450"/>
      <c r="BL199" s="450"/>
      <c r="BM199" s="450"/>
      <c r="BN199" s="450"/>
      <c r="BO199" s="450"/>
      <c r="BP199" s="450"/>
      <c r="BQ199" s="450"/>
      <c r="BR199" s="450"/>
      <c r="BS199" s="450"/>
      <c r="BT199" s="450"/>
      <c r="BU199" s="450"/>
      <c r="BV199" s="450"/>
      <c r="BW199" s="450"/>
      <c r="BX199" s="450"/>
      <c r="BY199" s="450"/>
      <c r="BZ199" s="450"/>
      <c r="CA199" s="450"/>
      <c r="CB199" s="450"/>
      <c r="CC199" s="450"/>
      <c r="CD199" s="450"/>
      <c r="CE199" s="450"/>
      <c r="CF199" s="450"/>
      <c r="CG199" s="450"/>
      <c r="CH199" s="450"/>
      <c r="CI199" s="450"/>
      <c r="CJ199" s="450"/>
      <c r="CK199" s="450"/>
      <c r="CL199" s="450"/>
      <c r="CM199" s="450"/>
      <c r="CN199" s="450"/>
      <c r="CO199" s="450"/>
      <c r="CP199" s="450"/>
      <c r="CQ199" s="450"/>
      <c r="CR199" s="450"/>
      <c r="CS199" s="450"/>
      <c r="CT199" s="450"/>
      <c r="CU199" s="450"/>
      <c r="CV199" s="450"/>
      <c r="CW199" s="450"/>
      <c r="CX199" s="450"/>
    </row>
    <row r="200" spans="1:102">
      <c r="B200" s="446" t="s">
        <v>424</v>
      </c>
      <c r="C200" s="70"/>
      <c r="D200" s="70"/>
      <c r="E200" s="70"/>
      <c r="F200" s="70"/>
      <c r="G200" s="70"/>
      <c r="H200" s="70"/>
      <c r="I200" s="70"/>
      <c r="J200" s="70"/>
      <c r="K200" s="70"/>
      <c r="L200" s="450"/>
      <c r="M200" s="450"/>
      <c r="N200" s="450"/>
      <c r="O200" s="450"/>
      <c r="P200" s="450"/>
      <c r="Q200" s="450"/>
      <c r="R200" s="450"/>
      <c r="S200" s="450"/>
      <c r="T200" s="450"/>
      <c r="U200" s="450"/>
      <c r="V200" s="450">
        <f>V197+V198+V199</f>
        <v>290.46199999999999</v>
      </c>
      <c r="W200" s="450"/>
      <c r="X200" s="450"/>
      <c r="Y200" s="450"/>
      <c r="Z200" s="450"/>
      <c r="AA200" s="450">
        <f>AA197+AA198+AA199</f>
        <v>303.30500000000001</v>
      </c>
      <c r="AB200" s="450"/>
      <c r="AC200" s="450"/>
      <c r="AD200" s="450"/>
      <c r="AE200" s="450"/>
      <c r="AF200" s="450">
        <f>AF197+AF198+AF199</f>
        <v>316.83199999999999</v>
      </c>
      <c r="AG200" s="450"/>
      <c r="AH200" s="450"/>
      <c r="AI200" s="450"/>
      <c r="AJ200" s="450"/>
      <c r="AK200" s="450">
        <f>AK197+AK198+AK199</f>
        <v>331.07500000000005</v>
      </c>
      <c r="AL200" s="450"/>
      <c r="AM200" s="450"/>
      <c r="AN200" s="450"/>
      <c r="AO200" s="450"/>
      <c r="AP200" s="450">
        <f>AP197+AP198+AP199</f>
        <v>345.358</v>
      </c>
      <c r="AQ200" s="450"/>
      <c r="AR200" s="450"/>
      <c r="AS200" s="450"/>
      <c r="AT200" s="450"/>
      <c r="AU200" s="450">
        <f>AU197+AU198+AU199</f>
        <v>359.64100000000002</v>
      </c>
      <c r="AV200" s="450"/>
      <c r="AW200" s="450"/>
      <c r="AX200" s="450"/>
      <c r="AY200" s="450"/>
      <c r="AZ200" s="450">
        <f>AZ197+AZ198+AZ199</f>
        <v>0</v>
      </c>
      <c r="BA200" s="450"/>
      <c r="BB200" s="450"/>
      <c r="BC200" s="450"/>
      <c r="BD200" s="450"/>
      <c r="BE200" s="450"/>
      <c r="BF200" s="450"/>
      <c r="BG200" s="450"/>
      <c r="BH200" s="450"/>
      <c r="BI200" s="450"/>
      <c r="BJ200" s="450"/>
      <c r="BK200" s="450"/>
      <c r="BL200" s="450"/>
      <c r="BM200" s="450"/>
      <c r="BN200" s="450"/>
      <c r="BO200" s="450"/>
      <c r="BP200" s="450"/>
      <c r="BQ200" s="450"/>
      <c r="BR200" s="450"/>
      <c r="BS200" s="450"/>
      <c r="BT200" s="450"/>
      <c r="BU200" s="450"/>
      <c r="BV200" s="450"/>
      <c r="BW200" s="450"/>
      <c r="BX200" s="450"/>
      <c r="BY200" s="450"/>
      <c r="BZ200" s="450"/>
      <c r="CA200" s="450"/>
      <c r="CB200" s="450"/>
      <c r="CC200" s="450"/>
      <c r="CD200" s="450"/>
      <c r="CE200" s="450"/>
      <c r="CF200" s="450"/>
      <c r="CG200" s="450"/>
      <c r="CH200" s="450"/>
      <c r="CI200" s="450"/>
      <c r="CJ200" s="450"/>
      <c r="CK200" s="450"/>
      <c r="CL200" s="450"/>
      <c r="CM200" s="450"/>
      <c r="CN200" s="450"/>
      <c r="CO200" s="450"/>
      <c r="CP200" s="450"/>
      <c r="CQ200" s="450"/>
      <c r="CR200" s="450"/>
      <c r="CS200" s="450"/>
      <c r="CT200" s="450"/>
      <c r="CU200" s="450"/>
      <c r="CV200" s="450"/>
      <c r="CW200" s="450"/>
      <c r="CX200" s="450"/>
    </row>
    <row r="201" spans="1:102">
      <c r="B201" s="454"/>
      <c r="C201" s="70"/>
      <c r="D201" s="70"/>
      <c r="E201" s="70"/>
      <c r="F201" s="70"/>
      <c r="G201" s="70"/>
      <c r="H201" s="70"/>
      <c r="I201" s="70"/>
      <c r="J201" s="70"/>
      <c r="K201" s="70"/>
      <c r="L201" s="70"/>
      <c r="M201" s="70"/>
      <c r="N201" s="70"/>
      <c r="O201" s="70"/>
      <c r="P201" s="70"/>
      <c r="Q201" s="70"/>
      <c r="R201" s="70"/>
      <c r="S201" s="70"/>
      <c r="T201" s="70"/>
      <c r="U201" s="70"/>
      <c r="V201" s="70"/>
      <c r="W201" s="70"/>
      <c r="X201" s="70"/>
      <c r="Y201" s="70"/>
      <c r="Z201" s="70"/>
      <c r="AA201" s="70"/>
      <c r="AB201" s="70"/>
      <c r="AC201" s="70"/>
      <c r="AD201" s="70"/>
      <c r="AE201" s="70"/>
      <c r="AF201" s="70"/>
      <c r="AG201" s="70"/>
      <c r="AH201" s="70"/>
      <c r="AI201" s="70"/>
      <c r="AJ201" s="70"/>
      <c r="AK201" s="70"/>
      <c r="AL201" s="70"/>
      <c r="AM201" s="70"/>
      <c r="AN201" s="70"/>
      <c r="AO201" s="70"/>
      <c r="AP201" s="70"/>
      <c r="AQ201" s="70"/>
      <c r="AR201" s="70"/>
      <c r="AS201" s="70"/>
      <c r="AT201" s="70"/>
      <c r="AU201" s="70"/>
      <c r="AV201" s="70"/>
      <c r="AW201" s="70"/>
      <c r="AX201" s="70"/>
      <c r="AY201" s="70"/>
      <c r="AZ201" s="70"/>
      <c r="BA201" s="70"/>
      <c r="BB201" s="70"/>
      <c r="BC201" s="70"/>
      <c r="BD201" s="70"/>
      <c r="BE201" s="70"/>
      <c r="BF201" s="70"/>
      <c r="BG201" s="70"/>
      <c r="BH201" s="70"/>
      <c r="BI201" s="70"/>
      <c r="BJ201" s="70"/>
      <c r="BK201" s="70"/>
      <c r="BL201" s="70"/>
      <c r="BM201" s="70"/>
      <c r="BN201" s="70"/>
      <c r="BO201" s="70"/>
      <c r="BP201" s="70"/>
      <c r="BQ201" s="70"/>
      <c r="BR201" s="70"/>
      <c r="BS201" s="70"/>
      <c r="BT201" s="70"/>
      <c r="BU201" s="70"/>
      <c r="BV201" s="70"/>
      <c r="BW201" s="70"/>
      <c r="BX201" s="70"/>
      <c r="BY201" s="70"/>
      <c r="BZ201" s="70"/>
      <c r="CA201" s="70"/>
      <c r="CB201" s="70"/>
      <c r="CC201" s="70"/>
      <c r="CD201" s="70"/>
      <c r="CE201" s="70"/>
      <c r="CF201" s="70"/>
      <c r="CG201" s="70"/>
      <c r="CH201" s="70"/>
      <c r="CI201" s="70"/>
      <c r="CJ201" s="70"/>
      <c r="CK201" s="70"/>
      <c r="CL201" s="70"/>
      <c r="CM201" s="70"/>
      <c r="CN201" s="70"/>
      <c r="CO201" s="70"/>
      <c r="CP201" s="70"/>
      <c r="CQ201" s="70"/>
      <c r="CR201" s="70"/>
      <c r="CS201" s="70"/>
      <c r="CT201" s="70"/>
      <c r="CU201" s="70"/>
      <c r="CV201" s="70"/>
      <c r="CW201" s="70"/>
      <c r="CX201" s="70"/>
    </row>
    <row r="202" spans="1:102">
      <c r="B202" s="457" t="s">
        <v>83</v>
      </c>
      <c r="C202" s="41"/>
      <c r="D202" s="41"/>
      <c r="E202" s="41"/>
      <c r="F202" s="41"/>
      <c r="G202" s="458"/>
      <c r="H202" s="459"/>
      <c r="I202" s="459"/>
      <c r="J202" s="459"/>
      <c r="K202" s="459"/>
      <c r="L202" s="458"/>
      <c r="M202" s="459"/>
      <c r="N202" s="459"/>
      <c r="O202" s="459"/>
      <c r="P202" s="459"/>
      <c r="Q202" s="458">
        <v>1.4999999999999999E-2</v>
      </c>
      <c r="R202" s="459"/>
      <c r="S202" s="459"/>
      <c r="T202" s="459"/>
      <c r="U202" s="459"/>
      <c r="V202" s="489">
        <f>Q202</f>
        <v>1.4999999999999999E-2</v>
      </c>
      <c r="W202" s="459"/>
      <c r="X202" s="459"/>
      <c r="Y202" s="459"/>
      <c r="Z202" s="459"/>
      <c r="AA202" s="489">
        <f>V202</f>
        <v>1.4999999999999999E-2</v>
      </c>
      <c r="AB202" s="459"/>
      <c r="AC202" s="459"/>
      <c r="AD202" s="459"/>
      <c r="AE202" s="459"/>
      <c r="AF202" s="489">
        <f>AA202</f>
        <v>1.4999999999999999E-2</v>
      </c>
      <c r="AG202" s="459"/>
      <c r="AH202" s="459"/>
      <c r="AI202" s="459"/>
      <c r="AJ202" s="459"/>
      <c r="AK202" s="489">
        <f>AF202</f>
        <v>1.4999999999999999E-2</v>
      </c>
      <c r="AL202" s="459"/>
      <c r="AM202" s="459"/>
      <c r="AN202" s="459"/>
      <c r="AO202" s="459"/>
      <c r="AP202" s="489">
        <f>AK202</f>
        <v>1.4999999999999999E-2</v>
      </c>
      <c r="AQ202" s="459"/>
      <c r="AR202" s="459"/>
      <c r="AS202" s="459"/>
      <c r="AT202" s="459"/>
      <c r="AU202" s="489">
        <f>AP202</f>
        <v>1.4999999999999999E-2</v>
      </c>
      <c r="AV202" s="459"/>
      <c r="AW202" s="459"/>
      <c r="AX202" s="459"/>
      <c r="AY202" s="459"/>
      <c r="AZ202" s="489">
        <f>AU202</f>
        <v>1.4999999999999999E-2</v>
      </c>
      <c r="BA202" s="459"/>
      <c r="BB202" s="459"/>
      <c r="BC202" s="459"/>
      <c r="BD202" s="459"/>
      <c r="BE202" s="489"/>
      <c r="BF202" s="459"/>
      <c r="BG202" s="459"/>
      <c r="BH202" s="459"/>
      <c r="BI202" s="459"/>
      <c r="BJ202" s="489"/>
      <c r="BK202" s="459"/>
      <c r="BL202" s="459"/>
      <c r="BM202" s="459"/>
      <c r="BN202" s="459"/>
      <c r="BO202" s="489"/>
      <c r="BP202" s="459"/>
      <c r="BQ202" s="459"/>
      <c r="BR202" s="459"/>
      <c r="BS202" s="459"/>
      <c r="BT202" s="489"/>
      <c r="BU202" s="459"/>
      <c r="BV202" s="459"/>
      <c r="BW202" s="459"/>
      <c r="BX202" s="459"/>
      <c r="BY202" s="489"/>
      <c r="BZ202" s="459"/>
      <c r="CA202" s="459"/>
      <c r="CB202" s="459"/>
      <c r="CC202" s="459"/>
      <c r="CD202" s="489"/>
      <c r="CE202" s="459"/>
      <c r="CF202" s="459"/>
      <c r="CG202" s="459"/>
      <c r="CH202" s="459"/>
      <c r="CI202" s="489"/>
      <c r="CJ202" s="459"/>
      <c r="CK202" s="459"/>
      <c r="CL202" s="459"/>
      <c r="CM202" s="459"/>
      <c r="CN202" s="489"/>
      <c r="CO202" s="459"/>
      <c r="CP202" s="459"/>
      <c r="CQ202" s="459"/>
      <c r="CR202" s="459"/>
      <c r="CS202" s="489"/>
      <c r="CT202" s="459"/>
      <c r="CU202" s="459"/>
      <c r="CV202" s="459"/>
      <c r="CW202" s="459"/>
      <c r="CX202" s="489"/>
    </row>
    <row r="203" spans="1:102">
      <c r="A203" s="70"/>
      <c r="B203" s="490" t="s">
        <v>425</v>
      </c>
      <c r="C203" s="70"/>
      <c r="D203" s="70"/>
      <c r="E203" s="70"/>
      <c r="F203" s="70"/>
      <c r="G203" s="70"/>
      <c r="H203" s="70"/>
      <c r="I203" s="70"/>
      <c r="J203" s="70"/>
      <c r="K203" s="70"/>
      <c r="L203" s="70"/>
      <c r="M203" s="70"/>
      <c r="N203" s="70"/>
      <c r="O203" s="70"/>
      <c r="P203" s="70"/>
      <c r="Q203" s="450"/>
      <c r="R203" s="450"/>
      <c r="S203" s="450"/>
      <c r="T203" s="450"/>
      <c r="U203" s="450"/>
      <c r="V203" s="450">
        <f>((V195+V197)/2)*V202</f>
        <v>5.625</v>
      </c>
      <c r="W203" s="450"/>
      <c r="X203" s="450"/>
      <c r="Y203" s="450"/>
      <c r="Z203" s="450"/>
      <c r="AA203" s="450">
        <f>((AA195+AA197)/2)*AA202</f>
        <v>5.6249474999999993</v>
      </c>
      <c r="AB203" s="450"/>
      <c r="AC203" s="450"/>
      <c r="AD203" s="450"/>
      <c r="AE203" s="450"/>
      <c r="AF203" s="450">
        <f>((AF195+AF197)/2)*AF202</f>
        <v>5.6248949999999995</v>
      </c>
      <c r="AG203" s="450"/>
      <c r="AH203" s="450"/>
      <c r="AI203" s="450"/>
      <c r="AJ203" s="450"/>
      <c r="AK203" s="450">
        <f>((AK195+AK197)/2)*AK202</f>
        <v>5.6248949999999995</v>
      </c>
      <c r="AL203" s="450"/>
      <c r="AM203" s="450"/>
      <c r="AN203" s="450"/>
      <c r="AO203" s="450"/>
      <c r="AP203" s="450">
        <f>((AP195+AP197)/2)*AP202</f>
        <v>5.6248949999999995</v>
      </c>
      <c r="AQ203" s="450"/>
      <c r="AR203" s="450"/>
      <c r="AS203" s="450"/>
      <c r="AT203" s="450"/>
      <c r="AU203" s="450">
        <f>((AU195+AU197)/2)*AU202</f>
        <v>5.6248949999999995</v>
      </c>
      <c r="AV203" s="450"/>
      <c r="AW203" s="450"/>
      <c r="AX203" s="450"/>
      <c r="AY203" s="450"/>
      <c r="AZ203" s="450">
        <f>((AZ195+AZ197)/2)*AZ202</f>
        <v>2.8124474999999998</v>
      </c>
      <c r="BA203" s="450"/>
      <c r="BB203" s="450"/>
      <c r="BC203" s="450"/>
      <c r="BD203" s="450"/>
      <c r="BE203" s="450"/>
      <c r="BF203" s="450"/>
      <c r="BG203" s="450"/>
      <c r="BH203" s="450"/>
      <c r="BI203" s="450"/>
      <c r="BJ203" s="450"/>
      <c r="BK203" s="450"/>
      <c r="BL203" s="450"/>
      <c r="BM203" s="450"/>
      <c r="BN203" s="450"/>
      <c r="BO203" s="450"/>
      <c r="BP203" s="450"/>
      <c r="BQ203" s="450"/>
      <c r="BR203" s="450"/>
      <c r="BS203" s="450"/>
      <c r="BT203" s="450"/>
      <c r="BU203" s="450"/>
      <c r="BV203" s="450"/>
      <c r="BW203" s="450"/>
      <c r="BX203" s="450"/>
      <c r="BY203" s="450"/>
      <c r="BZ203" s="450"/>
      <c r="CA203" s="450"/>
      <c r="CB203" s="450"/>
      <c r="CC203" s="450"/>
      <c r="CD203" s="450"/>
      <c r="CE203" s="450"/>
      <c r="CF203" s="450"/>
      <c r="CG203" s="450"/>
      <c r="CH203" s="450"/>
      <c r="CI203" s="450"/>
      <c r="CJ203" s="450"/>
      <c r="CK203" s="450"/>
      <c r="CL203" s="450"/>
      <c r="CM203" s="450"/>
      <c r="CN203" s="450"/>
      <c r="CO203" s="450"/>
      <c r="CP203" s="450"/>
      <c r="CQ203" s="450"/>
      <c r="CR203" s="450"/>
      <c r="CS203" s="450"/>
      <c r="CT203" s="450"/>
      <c r="CU203" s="450"/>
      <c r="CV203" s="450"/>
      <c r="CW203" s="450"/>
      <c r="CX203" s="450"/>
    </row>
    <row r="204" spans="1:102">
      <c r="A204" s="70"/>
      <c r="B204" s="490" t="s">
        <v>427</v>
      </c>
      <c r="C204" s="70"/>
      <c r="D204" s="70"/>
      <c r="E204" s="70"/>
      <c r="F204" s="70"/>
      <c r="G204" s="70"/>
      <c r="H204" s="70"/>
      <c r="I204" s="70"/>
      <c r="J204" s="70"/>
      <c r="K204" s="70"/>
      <c r="L204" s="70"/>
      <c r="M204" s="70"/>
      <c r="N204" s="70"/>
      <c r="O204" s="70"/>
      <c r="P204" s="70"/>
      <c r="Q204" s="450"/>
      <c r="R204" s="450"/>
      <c r="S204" s="450"/>
      <c r="T204" s="450"/>
      <c r="U204" s="450"/>
      <c r="V204" s="450"/>
      <c r="W204" s="450"/>
      <c r="X204" s="450"/>
      <c r="Y204" s="450"/>
      <c r="Z204" s="450"/>
      <c r="AA204" s="450">
        <f>AA199-V199</f>
        <v>1.2830000000000004</v>
      </c>
      <c r="AB204" s="450"/>
      <c r="AC204" s="450"/>
      <c r="AD204" s="450"/>
      <c r="AE204" s="450"/>
      <c r="AF204" s="450">
        <f>AA204</f>
        <v>1.2830000000000004</v>
      </c>
      <c r="AG204" s="450"/>
      <c r="AH204" s="450"/>
      <c r="AI204" s="450"/>
      <c r="AJ204" s="450"/>
      <c r="AK204" s="450">
        <f>AF204</f>
        <v>1.2830000000000004</v>
      </c>
      <c r="AL204" s="450"/>
      <c r="AM204" s="450"/>
      <c r="AN204" s="450"/>
      <c r="AO204" s="450"/>
      <c r="AP204" s="450">
        <f>AK204</f>
        <v>1.2830000000000004</v>
      </c>
      <c r="AQ204" s="450"/>
      <c r="AR204" s="450"/>
      <c r="AS204" s="450"/>
      <c r="AT204" s="450"/>
      <c r="AU204" s="450">
        <f>AP204</f>
        <v>1.2830000000000004</v>
      </c>
      <c r="AV204" s="450"/>
      <c r="AW204" s="450"/>
      <c r="AX204" s="450"/>
      <c r="AY204" s="450"/>
      <c r="AZ204" s="450">
        <f>-AU199</f>
        <v>1.0649999999999991</v>
      </c>
      <c r="BA204" s="450"/>
      <c r="BB204" s="450"/>
      <c r="BC204" s="450"/>
      <c r="BD204" s="450"/>
      <c r="BE204" s="450"/>
      <c r="BF204" s="450"/>
      <c r="BG204" s="450"/>
      <c r="BH204" s="450"/>
      <c r="BI204" s="450"/>
      <c r="BJ204" s="450"/>
      <c r="BK204" s="450"/>
      <c r="BL204" s="450"/>
      <c r="BM204" s="450"/>
      <c r="BN204" s="450"/>
      <c r="BO204" s="450"/>
      <c r="BP204" s="450"/>
      <c r="BQ204" s="450"/>
      <c r="BR204" s="450"/>
      <c r="BS204" s="450"/>
      <c r="BT204" s="450"/>
      <c r="BU204" s="450"/>
      <c r="BV204" s="450"/>
      <c r="BW204" s="450"/>
      <c r="BX204" s="450"/>
      <c r="BY204" s="450"/>
      <c r="BZ204" s="450"/>
      <c r="CA204" s="450"/>
      <c r="CB204" s="450"/>
      <c r="CC204" s="450"/>
      <c r="CD204" s="450"/>
      <c r="CE204" s="450"/>
      <c r="CF204" s="450"/>
      <c r="CG204" s="450"/>
      <c r="CH204" s="450"/>
      <c r="CI204" s="450"/>
      <c r="CJ204" s="450"/>
      <c r="CK204" s="450"/>
      <c r="CL204" s="450"/>
      <c r="CM204" s="450"/>
      <c r="CN204" s="450"/>
      <c r="CO204" s="450"/>
      <c r="CP204" s="450"/>
      <c r="CQ204" s="450"/>
      <c r="CR204" s="450"/>
      <c r="CS204" s="450"/>
      <c r="CT204" s="450"/>
      <c r="CU204" s="450"/>
      <c r="CV204" s="450"/>
      <c r="CW204" s="450"/>
      <c r="CX204" s="450"/>
    </row>
    <row r="205" spans="1:102">
      <c r="A205" s="70"/>
      <c r="B205" s="455" t="s">
        <v>426</v>
      </c>
      <c r="C205" s="67"/>
      <c r="D205" s="67"/>
      <c r="E205" s="67"/>
      <c r="F205" s="67"/>
      <c r="G205" s="67"/>
      <c r="H205" s="67"/>
      <c r="I205" s="67"/>
      <c r="J205" s="67"/>
      <c r="K205" s="67"/>
      <c r="L205" s="67"/>
      <c r="M205" s="67"/>
      <c r="N205" s="67"/>
      <c r="O205" s="67"/>
      <c r="P205" s="67"/>
      <c r="Q205" s="235"/>
      <c r="R205" s="235"/>
      <c r="S205" s="235"/>
      <c r="T205" s="235"/>
      <c r="U205" s="235"/>
      <c r="V205" s="235"/>
      <c r="W205" s="235"/>
      <c r="X205" s="235"/>
      <c r="Y205" s="235"/>
      <c r="Z205" s="235"/>
      <c r="AA205" s="235">
        <f>AA198-V198</f>
        <v>11.567000000000007</v>
      </c>
      <c r="AB205" s="235"/>
      <c r="AC205" s="235"/>
      <c r="AD205" s="235"/>
      <c r="AE205" s="235"/>
      <c r="AF205" s="235">
        <v>13</v>
      </c>
      <c r="AG205" s="235"/>
      <c r="AH205" s="235"/>
      <c r="AI205" s="235"/>
      <c r="AJ205" s="235"/>
      <c r="AK205" s="235">
        <f>AF205</f>
        <v>13</v>
      </c>
      <c r="AL205" s="235"/>
      <c r="AM205" s="235"/>
      <c r="AN205" s="235"/>
      <c r="AO205" s="235"/>
      <c r="AP205" s="235">
        <f>AK205</f>
        <v>13</v>
      </c>
      <c r="AQ205" s="235"/>
      <c r="AR205" s="235"/>
      <c r="AS205" s="235"/>
      <c r="AT205" s="235"/>
      <c r="AU205" s="235">
        <f>AP205</f>
        <v>13</v>
      </c>
      <c r="AV205" s="235"/>
      <c r="AW205" s="235"/>
      <c r="AX205" s="235"/>
      <c r="AY205" s="235"/>
      <c r="AZ205" s="235">
        <f>-AU198</f>
        <v>14.286999999999999</v>
      </c>
      <c r="BA205" s="235"/>
      <c r="BB205" s="235"/>
      <c r="BC205" s="235"/>
      <c r="BD205" s="235"/>
      <c r="BE205" s="235"/>
      <c r="BF205" s="235"/>
      <c r="BG205" s="235"/>
      <c r="BH205" s="235"/>
      <c r="BI205" s="235"/>
      <c r="BJ205" s="235"/>
      <c r="BK205" s="235"/>
      <c r="BL205" s="235"/>
      <c r="BM205" s="235"/>
      <c r="BN205" s="235"/>
      <c r="BO205" s="235"/>
      <c r="BP205" s="235"/>
      <c r="BQ205" s="235"/>
      <c r="BR205" s="235"/>
      <c r="BS205" s="235"/>
      <c r="BT205" s="235"/>
      <c r="BU205" s="235"/>
      <c r="BV205" s="235"/>
      <c r="BW205" s="235"/>
      <c r="BX205" s="235"/>
      <c r="BY205" s="235"/>
      <c r="BZ205" s="235"/>
      <c r="CA205" s="235"/>
      <c r="CB205" s="235"/>
      <c r="CC205" s="235"/>
      <c r="CD205" s="235"/>
      <c r="CE205" s="235"/>
      <c r="CF205" s="235"/>
      <c r="CG205" s="235"/>
      <c r="CH205" s="235"/>
      <c r="CI205" s="235"/>
      <c r="CJ205" s="235"/>
      <c r="CK205" s="235"/>
      <c r="CL205" s="235"/>
      <c r="CM205" s="235"/>
      <c r="CN205" s="235"/>
      <c r="CO205" s="235"/>
      <c r="CP205" s="235"/>
      <c r="CQ205" s="235"/>
      <c r="CR205" s="235"/>
      <c r="CS205" s="235"/>
      <c r="CT205" s="235"/>
      <c r="CU205" s="235"/>
      <c r="CV205" s="235"/>
      <c r="CW205" s="235"/>
      <c r="CX205" s="235"/>
    </row>
    <row r="206" spans="1:102">
      <c r="A206" s="70"/>
      <c r="B206" s="490"/>
      <c r="C206" s="70"/>
      <c r="D206" s="70"/>
      <c r="E206" s="70"/>
      <c r="F206" s="70"/>
      <c r="G206" s="70"/>
      <c r="H206" s="70"/>
      <c r="I206" s="70"/>
      <c r="J206" s="70"/>
      <c r="K206" s="70"/>
      <c r="L206" s="70"/>
      <c r="M206" s="70"/>
      <c r="N206" s="70"/>
      <c r="O206" s="70"/>
      <c r="P206" s="70"/>
      <c r="Q206" s="450"/>
      <c r="R206" s="450"/>
      <c r="S206" s="450"/>
      <c r="T206" s="450"/>
      <c r="U206" s="450"/>
      <c r="V206" s="450"/>
      <c r="W206" s="450"/>
      <c r="X206" s="450"/>
      <c r="Y206" s="450"/>
      <c r="Z206" s="450"/>
      <c r="AA206" s="450"/>
      <c r="AB206" s="450"/>
      <c r="AC206" s="450"/>
      <c r="AD206" s="450"/>
      <c r="AE206" s="450"/>
      <c r="AF206" s="450"/>
      <c r="AG206" s="450"/>
      <c r="AH206" s="450"/>
      <c r="AI206" s="450"/>
      <c r="AJ206" s="450"/>
      <c r="AK206" s="450"/>
      <c r="AL206" s="450"/>
      <c r="AM206" s="450"/>
      <c r="AN206" s="450"/>
      <c r="AO206" s="450"/>
      <c r="AP206" s="450"/>
      <c r="AQ206" s="450"/>
      <c r="AR206" s="450"/>
      <c r="AS206" s="450"/>
      <c r="AT206" s="450"/>
      <c r="AU206" s="450"/>
      <c r="AV206" s="450"/>
      <c r="AW206" s="450"/>
      <c r="AX206" s="450"/>
      <c r="AY206" s="450"/>
      <c r="AZ206" s="450"/>
      <c r="BA206" s="450"/>
      <c r="BB206" s="450"/>
      <c r="BC206" s="450"/>
      <c r="BD206" s="450"/>
      <c r="BE206" s="450"/>
      <c r="BF206" s="450"/>
      <c r="BG206" s="450"/>
      <c r="BH206" s="450"/>
      <c r="BI206" s="450"/>
      <c r="BJ206" s="450"/>
      <c r="BK206" s="450"/>
      <c r="BL206" s="450"/>
      <c r="BM206" s="450"/>
      <c r="BN206" s="450"/>
      <c r="BO206" s="450"/>
      <c r="BP206" s="450"/>
      <c r="BQ206" s="450"/>
      <c r="BR206" s="450"/>
      <c r="BS206" s="450"/>
      <c r="BT206" s="450"/>
      <c r="BU206" s="450"/>
      <c r="BV206" s="450"/>
      <c r="BW206" s="450"/>
      <c r="BX206" s="450"/>
      <c r="BY206" s="450"/>
      <c r="BZ206" s="450"/>
      <c r="CA206" s="450"/>
      <c r="CB206" s="450"/>
      <c r="CC206" s="450"/>
      <c r="CD206" s="450"/>
      <c r="CE206" s="450"/>
      <c r="CF206" s="450"/>
      <c r="CG206" s="450"/>
      <c r="CH206" s="450"/>
      <c r="CI206" s="450"/>
      <c r="CJ206" s="450"/>
      <c r="CK206" s="450"/>
      <c r="CL206" s="450"/>
      <c r="CM206" s="450"/>
      <c r="CN206" s="450"/>
      <c r="CO206" s="450"/>
      <c r="CP206" s="450"/>
      <c r="CQ206" s="450"/>
      <c r="CR206" s="450"/>
      <c r="CS206" s="450"/>
      <c r="CT206" s="450"/>
      <c r="CU206" s="450"/>
      <c r="CV206" s="450"/>
      <c r="CW206" s="450"/>
      <c r="CX206" s="450"/>
    </row>
    <row r="207" spans="1:102">
      <c r="A207" s="70"/>
      <c r="B207" s="454" t="s">
        <v>574</v>
      </c>
      <c r="C207" s="70"/>
      <c r="D207" s="70"/>
      <c r="E207" s="70"/>
      <c r="F207" s="70"/>
      <c r="G207" s="70"/>
      <c r="H207" s="70"/>
      <c r="I207" s="70"/>
      <c r="J207" s="70"/>
      <c r="K207" s="70"/>
      <c r="L207" s="70"/>
      <c r="M207" s="70"/>
      <c r="N207" s="70"/>
      <c r="O207" s="70"/>
      <c r="P207" s="70"/>
      <c r="Q207" s="450"/>
      <c r="R207" s="450"/>
      <c r="S207" s="450"/>
      <c r="T207" s="450"/>
      <c r="U207" s="450"/>
      <c r="V207" s="450"/>
      <c r="W207" s="450"/>
      <c r="X207" s="450"/>
      <c r="Y207" s="450"/>
      <c r="Z207" s="450"/>
      <c r="AA207" s="450"/>
      <c r="AB207" s="450"/>
      <c r="AC207" s="450"/>
      <c r="AD207" s="450"/>
      <c r="AE207" s="450"/>
      <c r="AF207" s="450"/>
      <c r="AG207" s="450"/>
      <c r="AH207" s="450"/>
      <c r="AI207" s="450"/>
      <c r="AJ207" s="450"/>
      <c r="AK207" s="450"/>
      <c r="AL207" s="450"/>
      <c r="AM207" s="450"/>
      <c r="AN207" s="450"/>
      <c r="AO207" s="450"/>
      <c r="AP207" s="450"/>
      <c r="AQ207" s="450"/>
      <c r="AR207" s="450"/>
      <c r="AS207" s="450"/>
      <c r="AT207" s="450"/>
      <c r="AU207" s="450"/>
      <c r="AV207" s="450"/>
      <c r="AW207" s="450"/>
      <c r="AX207" s="450"/>
      <c r="AY207" s="450"/>
      <c r="AZ207" s="450"/>
      <c r="BA207" s="450"/>
      <c r="BB207" s="450"/>
      <c r="BC207" s="450"/>
      <c r="BD207" s="450"/>
      <c r="BE207" s="450"/>
      <c r="BF207" s="450"/>
      <c r="BG207" s="450"/>
      <c r="BH207" s="450"/>
      <c r="BI207" s="450"/>
      <c r="BJ207" s="450"/>
      <c r="BK207" s="450"/>
      <c r="BL207" s="450"/>
      <c r="BM207" s="450"/>
      <c r="BN207" s="450"/>
      <c r="BO207" s="450"/>
      <c r="BP207" s="450"/>
      <c r="BQ207" s="450"/>
      <c r="BR207" s="450"/>
      <c r="BS207" s="450"/>
      <c r="BT207" s="450"/>
      <c r="BU207" s="450"/>
      <c r="BV207" s="450"/>
      <c r="BW207" s="450"/>
      <c r="BX207" s="450"/>
      <c r="BY207" s="450"/>
      <c r="BZ207" s="450"/>
      <c r="CA207" s="450"/>
      <c r="CB207" s="450"/>
      <c r="CC207" s="450"/>
      <c r="CD207" s="450"/>
      <c r="CE207" s="450"/>
      <c r="CF207" s="450"/>
      <c r="CG207" s="450"/>
      <c r="CH207" s="450"/>
      <c r="CI207" s="450"/>
      <c r="CJ207" s="450"/>
      <c r="CK207" s="450"/>
      <c r="CL207" s="450"/>
      <c r="CM207" s="450"/>
      <c r="CN207" s="450"/>
      <c r="CO207" s="450"/>
      <c r="CP207" s="450"/>
      <c r="CQ207" s="450"/>
      <c r="CR207" s="450"/>
      <c r="CS207" s="450"/>
      <c r="CT207" s="450"/>
      <c r="CU207" s="450"/>
      <c r="CV207" s="450"/>
      <c r="CW207" s="450"/>
      <c r="CX207" s="450"/>
    </row>
    <row r="208" spans="1:102">
      <c r="A208" s="70"/>
      <c r="B208" s="446" t="s">
        <v>411</v>
      </c>
      <c r="C208" s="70"/>
      <c r="D208" s="70"/>
      <c r="E208" s="70"/>
      <c r="F208" s="70"/>
      <c r="G208" s="70"/>
      <c r="H208" s="70"/>
      <c r="I208" s="70"/>
      <c r="J208" s="70"/>
      <c r="K208" s="70"/>
      <c r="L208" s="70"/>
      <c r="M208" s="70"/>
      <c r="N208" s="70"/>
      <c r="O208" s="70"/>
      <c r="P208" s="70"/>
      <c r="Q208" s="450"/>
      <c r="R208" s="450"/>
      <c r="S208" s="450"/>
      <c r="T208" s="450"/>
      <c r="U208" s="450"/>
      <c r="V208" s="450"/>
      <c r="W208" s="450"/>
      <c r="X208" s="450"/>
      <c r="Y208" s="450"/>
      <c r="Z208" s="450"/>
      <c r="AA208" s="450"/>
      <c r="AB208" s="450"/>
      <c r="AC208" s="450"/>
      <c r="AD208" s="450"/>
      <c r="AE208" s="450"/>
      <c r="AF208" s="450"/>
      <c r="AG208" s="450"/>
      <c r="AH208" s="450"/>
      <c r="AI208" s="450"/>
      <c r="AJ208" s="450"/>
      <c r="AK208" s="450"/>
      <c r="AL208" s="450"/>
      <c r="AM208" s="450"/>
      <c r="AN208" s="450"/>
      <c r="AO208" s="450"/>
      <c r="AP208" s="450"/>
      <c r="AQ208" s="450"/>
      <c r="AR208" s="450"/>
      <c r="AS208" s="450"/>
      <c r="AT208" s="450"/>
      <c r="AU208" s="450"/>
      <c r="AV208" s="450"/>
      <c r="AW208" s="450"/>
      <c r="AX208" s="450"/>
      <c r="AY208" s="450"/>
      <c r="AZ208" s="450"/>
      <c r="BA208" s="450"/>
      <c r="BB208" s="450"/>
      <c r="BC208" s="450"/>
      <c r="BD208" s="450"/>
      <c r="BE208" s="450"/>
      <c r="BF208" s="450"/>
      <c r="BG208" s="450"/>
      <c r="BH208" s="450"/>
      <c r="BI208" s="450"/>
      <c r="BJ208" s="450"/>
      <c r="BK208" s="450"/>
      <c r="BL208" s="450"/>
      <c r="BM208" s="450"/>
      <c r="BN208" s="450"/>
      <c r="BO208" s="450"/>
      <c r="BP208" s="450"/>
      <c r="BQ208" s="450"/>
      <c r="BR208" s="450"/>
      <c r="BS208" s="450"/>
      <c r="BT208" s="450"/>
      <c r="BU208" s="450"/>
      <c r="BV208" s="450"/>
      <c r="BW208" s="450"/>
      <c r="BX208" s="450"/>
      <c r="BY208" s="450"/>
      <c r="BZ208" s="450"/>
      <c r="CA208" s="450"/>
      <c r="CB208" s="450"/>
      <c r="CC208" s="450"/>
      <c r="CD208" s="450"/>
      <c r="CE208" s="450"/>
      <c r="CF208" s="450"/>
      <c r="CG208" s="450"/>
      <c r="CH208" s="450"/>
      <c r="CI208" s="450"/>
      <c r="CJ208" s="450"/>
      <c r="CK208" s="450"/>
      <c r="CL208" s="450"/>
      <c r="CM208" s="450"/>
      <c r="CN208" s="450"/>
      <c r="CO208" s="450"/>
      <c r="CP208" s="450"/>
      <c r="CQ208" s="450"/>
      <c r="CR208" s="450"/>
      <c r="CS208" s="450"/>
      <c r="CT208" s="450"/>
      <c r="CU208" s="450"/>
      <c r="CV208" s="450"/>
      <c r="CW208" s="450"/>
      <c r="CX208" s="450"/>
    </row>
    <row r="209" spans="1:102">
      <c r="A209" s="70"/>
      <c r="B209" s="446" t="s">
        <v>417</v>
      </c>
      <c r="C209" s="70"/>
      <c r="D209" s="70"/>
      <c r="E209" s="70"/>
      <c r="F209" s="70"/>
      <c r="G209" s="70"/>
      <c r="H209" s="70"/>
      <c r="I209" s="70"/>
      <c r="J209" s="70"/>
      <c r="K209" s="70"/>
      <c r="L209" s="70"/>
      <c r="M209" s="70"/>
      <c r="N209" s="70"/>
      <c r="O209" s="70"/>
      <c r="P209" s="70"/>
      <c r="Q209" s="450"/>
      <c r="R209" s="450"/>
      <c r="S209" s="450"/>
      <c r="T209" s="450"/>
      <c r="U209" s="450"/>
      <c r="V209" s="450"/>
      <c r="W209" s="450"/>
      <c r="X209" s="450"/>
      <c r="Y209" s="450"/>
      <c r="Z209" s="450"/>
      <c r="AA209" s="450"/>
      <c r="AB209" s="450"/>
      <c r="AC209" s="450"/>
      <c r="AD209" s="450"/>
      <c r="AE209" s="450"/>
      <c r="AF209" s="450"/>
      <c r="AG209" s="450"/>
      <c r="AH209" s="450"/>
      <c r="AI209" s="450"/>
      <c r="AJ209" s="450"/>
      <c r="AK209" s="450"/>
      <c r="AL209" s="450"/>
      <c r="AM209" s="450"/>
      <c r="AN209" s="450"/>
      <c r="AO209" s="450"/>
      <c r="AP209" s="450"/>
      <c r="AQ209" s="450"/>
      <c r="AR209" s="450"/>
      <c r="AS209" s="450"/>
      <c r="AT209" s="450"/>
      <c r="AU209" s="450"/>
      <c r="AV209" s="450"/>
      <c r="AW209" s="450"/>
      <c r="AX209" s="450"/>
      <c r="AY209" s="450"/>
      <c r="AZ209" s="450"/>
      <c r="BA209" s="450"/>
      <c r="BB209" s="450"/>
      <c r="BC209" s="450"/>
      <c r="BD209" s="450"/>
      <c r="BE209" s="450"/>
      <c r="BF209" s="450"/>
      <c r="BG209" s="450"/>
      <c r="BH209" s="450"/>
      <c r="BI209" s="450"/>
      <c r="BJ209" s="450"/>
      <c r="BK209" s="450"/>
      <c r="BL209" s="450"/>
      <c r="BM209" s="450"/>
      <c r="BN209" s="450"/>
      <c r="BO209" s="450"/>
      <c r="BP209" s="450"/>
      <c r="BQ209" s="450"/>
      <c r="BR209" s="450"/>
      <c r="BS209" s="450"/>
      <c r="BT209" s="450"/>
      <c r="BU209" s="450"/>
      <c r="BV209" s="450"/>
      <c r="BW209" s="450"/>
      <c r="BX209" s="450"/>
      <c r="BY209" s="450"/>
      <c r="BZ209" s="450"/>
      <c r="CA209" s="450"/>
      <c r="CB209" s="450"/>
      <c r="CC209" s="450"/>
      <c r="CD209" s="450"/>
      <c r="CE209" s="450"/>
      <c r="CF209" s="450"/>
      <c r="CG209" s="450"/>
      <c r="CH209" s="450"/>
      <c r="CI209" s="450"/>
      <c r="CJ209" s="450"/>
      <c r="CK209" s="450"/>
      <c r="CL209" s="450"/>
      <c r="CM209" s="450"/>
      <c r="CN209" s="450"/>
      <c r="CO209" s="450"/>
      <c r="CP209" s="450"/>
      <c r="CQ209" s="450"/>
      <c r="CR209" s="450"/>
      <c r="CS209" s="450"/>
      <c r="CT209" s="450"/>
      <c r="CU209" s="450"/>
      <c r="CV209" s="450"/>
      <c r="CW209" s="450"/>
      <c r="CX209" s="450"/>
    </row>
    <row r="210" spans="1:102">
      <c r="A210" s="70"/>
      <c r="B210" s="454"/>
      <c r="C210" s="70"/>
      <c r="D210" s="70"/>
      <c r="E210" s="70"/>
      <c r="F210" s="70"/>
      <c r="G210" s="70"/>
      <c r="H210" s="70"/>
      <c r="I210" s="70"/>
      <c r="J210" s="70"/>
      <c r="K210" s="70"/>
      <c r="L210" s="70"/>
      <c r="M210" s="70"/>
      <c r="N210" s="70"/>
      <c r="O210" s="70"/>
      <c r="P210" s="70"/>
      <c r="Q210" s="450"/>
      <c r="R210" s="450"/>
      <c r="S210" s="450"/>
      <c r="T210" s="450"/>
      <c r="U210" s="450"/>
      <c r="V210" s="450"/>
      <c r="W210" s="450"/>
      <c r="X210" s="450"/>
      <c r="Y210" s="450"/>
      <c r="Z210" s="450"/>
      <c r="AA210" s="450"/>
      <c r="AB210" s="450"/>
      <c r="AC210" s="450"/>
      <c r="AD210" s="450"/>
      <c r="AE210" s="450"/>
      <c r="AF210" s="450"/>
      <c r="AG210" s="450"/>
      <c r="AH210" s="450"/>
      <c r="AI210" s="450"/>
      <c r="AJ210" s="450"/>
      <c r="AK210" s="450"/>
      <c r="AL210" s="450"/>
      <c r="AM210" s="450"/>
      <c r="AN210" s="450"/>
      <c r="AO210" s="450"/>
      <c r="AP210" s="450"/>
      <c r="AQ210" s="450"/>
      <c r="AR210" s="450"/>
      <c r="AS210" s="450"/>
      <c r="AT210" s="450"/>
      <c r="AU210" s="450"/>
      <c r="AV210" s="450"/>
      <c r="AW210" s="450"/>
      <c r="AX210" s="450"/>
      <c r="AY210" s="450"/>
      <c r="AZ210" s="450"/>
      <c r="BA210" s="450"/>
      <c r="BB210" s="450"/>
      <c r="BC210" s="450"/>
      <c r="BD210" s="450"/>
      <c r="BE210" s="450"/>
      <c r="BF210" s="450"/>
      <c r="BG210" s="450"/>
      <c r="BH210" s="450"/>
      <c r="BI210" s="450"/>
      <c r="BJ210" s="450"/>
      <c r="BK210" s="450"/>
      <c r="BL210" s="450"/>
      <c r="BM210" s="450"/>
      <c r="BN210" s="450"/>
      <c r="BO210" s="450"/>
      <c r="BP210" s="450"/>
      <c r="BQ210" s="450"/>
      <c r="BR210" s="450"/>
      <c r="BS210" s="450"/>
      <c r="BT210" s="450"/>
      <c r="BU210" s="450"/>
      <c r="BV210" s="450"/>
      <c r="BW210" s="450"/>
      <c r="BX210" s="450"/>
      <c r="BY210" s="450"/>
      <c r="BZ210" s="450"/>
      <c r="CA210" s="450"/>
      <c r="CB210" s="450"/>
      <c r="CC210" s="450"/>
      <c r="CD210" s="450"/>
      <c r="CE210" s="450"/>
      <c r="CF210" s="450"/>
      <c r="CG210" s="450"/>
      <c r="CH210" s="450"/>
      <c r="CI210" s="450"/>
      <c r="CJ210" s="450"/>
      <c r="CK210" s="450"/>
      <c r="CL210" s="450"/>
      <c r="CM210" s="450"/>
      <c r="CN210" s="450"/>
      <c r="CO210" s="450"/>
      <c r="CP210" s="450"/>
      <c r="CQ210" s="450"/>
      <c r="CR210" s="450"/>
      <c r="CS210" s="450"/>
      <c r="CT210" s="450"/>
      <c r="CU210" s="450"/>
      <c r="CV210" s="450"/>
      <c r="CW210" s="450"/>
      <c r="CX210" s="450"/>
    </row>
    <row r="211" spans="1:102">
      <c r="A211" s="70"/>
      <c r="B211" s="446" t="s">
        <v>412</v>
      </c>
      <c r="C211" s="70"/>
      <c r="D211" s="70"/>
      <c r="E211" s="70"/>
      <c r="F211" s="70"/>
      <c r="G211" s="70"/>
      <c r="H211" s="70"/>
      <c r="I211" s="70"/>
      <c r="J211" s="70"/>
      <c r="K211" s="70"/>
      <c r="L211" s="70"/>
      <c r="M211" s="70"/>
      <c r="N211" s="70"/>
      <c r="O211" s="70"/>
      <c r="P211" s="70"/>
      <c r="Q211" s="450"/>
      <c r="R211" s="450"/>
      <c r="S211" s="450"/>
      <c r="T211" s="450"/>
      <c r="U211" s="450"/>
      <c r="V211" s="450"/>
      <c r="W211" s="450"/>
      <c r="X211" s="450"/>
      <c r="Y211" s="450"/>
      <c r="Z211" s="450"/>
      <c r="AA211" s="450"/>
      <c r="AB211" s="450"/>
      <c r="AC211" s="450"/>
      <c r="AD211" s="450"/>
      <c r="AE211" s="450"/>
      <c r="AF211" s="450"/>
      <c r="AG211" s="450"/>
      <c r="AH211" s="450"/>
      <c r="AI211" s="450"/>
      <c r="AJ211" s="450"/>
      <c r="AK211" s="450">
        <v>495</v>
      </c>
      <c r="AL211" s="450"/>
      <c r="AM211" s="450"/>
      <c r="AN211" s="450"/>
      <c r="AO211" s="450"/>
      <c r="AP211" s="450">
        <f>AK213</f>
        <v>495</v>
      </c>
      <c r="AQ211" s="450"/>
      <c r="AR211" s="450"/>
      <c r="AS211" s="450"/>
      <c r="AT211" s="450"/>
      <c r="AU211" s="450">
        <f>AP213</f>
        <v>495</v>
      </c>
      <c r="AV211" s="450"/>
      <c r="AW211" s="450"/>
      <c r="AX211" s="450"/>
      <c r="AY211" s="450"/>
      <c r="AZ211" s="450">
        <f>AU213</f>
        <v>495</v>
      </c>
      <c r="BA211" s="450"/>
      <c r="BB211" s="450"/>
      <c r="BC211" s="450"/>
      <c r="BD211" s="450"/>
      <c r="BE211" s="450">
        <f>AZ213</f>
        <v>495</v>
      </c>
      <c r="BF211" s="450"/>
      <c r="BG211" s="450"/>
      <c r="BH211" s="450"/>
      <c r="BI211" s="450"/>
      <c r="BJ211" s="450">
        <f>BE213</f>
        <v>495</v>
      </c>
      <c r="BK211" s="450"/>
      <c r="BL211" s="450"/>
      <c r="BM211" s="450"/>
      <c r="BN211" s="450"/>
      <c r="BO211" s="450">
        <f>BJ213</f>
        <v>495</v>
      </c>
      <c r="BP211" s="450"/>
      <c r="BQ211" s="450"/>
      <c r="BR211" s="450"/>
      <c r="BS211" s="450"/>
      <c r="BT211" s="450">
        <f>BO213</f>
        <v>495</v>
      </c>
      <c r="BU211" s="450"/>
      <c r="BV211" s="450"/>
      <c r="BW211" s="450"/>
      <c r="BX211" s="450"/>
      <c r="BY211" s="450"/>
      <c r="BZ211" s="450"/>
      <c r="CA211" s="450"/>
      <c r="CB211" s="450"/>
      <c r="CC211" s="450"/>
      <c r="CD211" s="450"/>
      <c r="CE211" s="450"/>
      <c r="CF211" s="450"/>
      <c r="CG211" s="450"/>
      <c r="CH211" s="450"/>
      <c r="CI211" s="450"/>
      <c r="CJ211" s="450"/>
      <c r="CK211" s="450"/>
      <c r="CL211" s="450"/>
      <c r="CM211" s="450"/>
      <c r="CN211" s="450"/>
      <c r="CO211" s="450"/>
      <c r="CP211" s="450"/>
      <c r="CQ211" s="450"/>
      <c r="CR211" s="450"/>
      <c r="CS211" s="450"/>
      <c r="CT211" s="450"/>
      <c r="CU211" s="450"/>
      <c r="CV211" s="450"/>
      <c r="CW211" s="450"/>
      <c r="CX211" s="450"/>
    </row>
    <row r="212" spans="1:102">
      <c r="A212" s="70"/>
      <c r="B212" s="446" t="s">
        <v>413</v>
      </c>
      <c r="C212" s="70"/>
      <c r="D212" s="70"/>
      <c r="E212" s="70"/>
      <c r="F212" s="70"/>
      <c r="G212" s="70"/>
      <c r="H212" s="70"/>
      <c r="I212" s="70"/>
      <c r="J212" s="70"/>
      <c r="K212" s="70"/>
      <c r="L212" s="70"/>
      <c r="M212" s="70"/>
      <c r="N212" s="70"/>
      <c r="O212" s="70"/>
      <c r="P212" s="70"/>
      <c r="Q212" s="450"/>
      <c r="R212" s="450"/>
      <c r="S212" s="450"/>
      <c r="T212" s="450"/>
      <c r="U212" s="450"/>
      <c r="V212" s="450"/>
      <c r="W212" s="450"/>
      <c r="X212" s="450"/>
      <c r="Y212" s="450"/>
      <c r="Z212" s="450"/>
      <c r="AA212" s="450"/>
      <c r="AB212" s="450"/>
      <c r="AC212" s="450"/>
      <c r="AD212" s="450"/>
      <c r="AE212" s="450"/>
      <c r="AF212" s="450"/>
      <c r="AG212" s="450"/>
      <c r="AH212" s="450"/>
      <c r="AI212" s="450"/>
      <c r="AJ212" s="450"/>
      <c r="AK212" s="475">
        <v>0</v>
      </c>
      <c r="AL212" s="450"/>
      <c r="AM212" s="450"/>
      <c r="AN212" s="450"/>
      <c r="AO212" s="450"/>
      <c r="AP212" s="475">
        <v>0</v>
      </c>
      <c r="AQ212" s="450"/>
      <c r="AR212" s="450"/>
      <c r="AS212" s="450"/>
      <c r="AT212" s="450"/>
      <c r="AU212" s="475">
        <v>0</v>
      </c>
      <c r="AV212" s="450"/>
      <c r="AW212" s="450"/>
      <c r="AX212" s="450"/>
      <c r="AY212" s="450"/>
      <c r="AZ212" s="475">
        <v>0</v>
      </c>
      <c r="BA212" s="450"/>
      <c r="BB212" s="450"/>
      <c r="BC212" s="450"/>
      <c r="BD212" s="450"/>
      <c r="BE212" s="475">
        <v>0</v>
      </c>
      <c r="BF212" s="450"/>
      <c r="BG212" s="450"/>
      <c r="BH212" s="450"/>
      <c r="BI212" s="450"/>
      <c r="BJ212" s="475">
        <v>0</v>
      </c>
      <c r="BK212" s="450"/>
      <c r="BL212" s="450"/>
      <c r="BM212" s="450"/>
      <c r="BN212" s="450"/>
      <c r="BO212" s="475">
        <v>0</v>
      </c>
      <c r="BP212" s="450"/>
      <c r="BQ212" s="450"/>
      <c r="BR212" s="450"/>
      <c r="BS212" s="450"/>
      <c r="BT212" s="450">
        <v>495</v>
      </c>
      <c r="BU212" s="450"/>
      <c r="BV212" s="450"/>
      <c r="BW212" s="450"/>
      <c r="BX212" s="450"/>
      <c r="BY212" s="450"/>
      <c r="BZ212" s="450"/>
      <c r="CA212" s="450"/>
      <c r="CB212" s="450"/>
      <c r="CC212" s="450"/>
      <c r="CD212" s="450"/>
      <c r="CE212" s="450"/>
      <c r="CF212" s="450"/>
      <c r="CG212" s="450"/>
      <c r="CH212" s="450"/>
      <c r="CI212" s="450"/>
      <c r="CJ212" s="450"/>
      <c r="CK212" s="450"/>
      <c r="CL212" s="450"/>
      <c r="CM212" s="450"/>
      <c r="CN212" s="450"/>
      <c r="CO212" s="450"/>
      <c r="CP212" s="450"/>
      <c r="CQ212" s="450"/>
      <c r="CR212" s="450"/>
      <c r="CS212" s="450"/>
      <c r="CT212" s="450"/>
      <c r="CU212" s="450"/>
      <c r="CV212" s="450"/>
      <c r="CW212" s="450"/>
      <c r="CX212" s="450"/>
    </row>
    <row r="213" spans="1:102">
      <c r="A213" s="70"/>
      <c r="B213" s="446" t="s">
        <v>414</v>
      </c>
      <c r="C213" s="70"/>
      <c r="D213" s="70"/>
      <c r="E213" s="70"/>
      <c r="F213" s="70"/>
      <c r="G213" s="70"/>
      <c r="H213" s="70"/>
      <c r="I213" s="70"/>
      <c r="J213" s="70"/>
      <c r="K213" s="70"/>
      <c r="L213" s="70"/>
      <c r="M213" s="70"/>
      <c r="N213" s="70"/>
      <c r="O213" s="70"/>
      <c r="P213" s="70"/>
      <c r="Q213" s="450"/>
      <c r="R213" s="450"/>
      <c r="S213" s="450"/>
      <c r="T213" s="450"/>
      <c r="U213" s="450"/>
      <c r="V213" s="450"/>
      <c r="W213" s="450"/>
      <c r="X213" s="450"/>
      <c r="Y213" s="450"/>
      <c r="Z213" s="450"/>
      <c r="AA213" s="450"/>
      <c r="AB213" s="450"/>
      <c r="AC213" s="450"/>
      <c r="AD213" s="450"/>
      <c r="AE213" s="450"/>
      <c r="AF213" s="450"/>
      <c r="AG213" s="450"/>
      <c r="AH213" s="450"/>
      <c r="AI213" s="450"/>
      <c r="AJ213" s="450"/>
      <c r="AK213" s="450">
        <f>AK211-AK212</f>
        <v>495</v>
      </c>
      <c r="AL213" s="450"/>
      <c r="AM213" s="450"/>
      <c r="AN213" s="450"/>
      <c r="AO213" s="450"/>
      <c r="AP213" s="450">
        <f>AP211-AP212</f>
        <v>495</v>
      </c>
      <c r="AQ213" s="450"/>
      <c r="AR213" s="450"/>
      <c r="AS213" s="450"/>
      <c r="AT213" s="450"/>
      <c r="AU213" s="450">
        <f>AU211-AU212</f>
        <v>495</v>
      </c>
      <c r="AV213" s="450"/>
      <c r="AW213" s="450"/>
      <c r="AX213" s="450"/>
      <c r="AY213" s="450"/>
      <c r="AZ213" s="450">
        <f>AZ211-AZ212</f>
        <v>495</v>
      </c>
      <c r="BA213" s="450"/>
      <c r="BB213" s="450"/>
      <c r="BC213" s="450"/>
      <c r="BD213" s="450"/>
      <c r="BE213" s="450">
        <f>BE211-BE212</f>
        <v>495</v>
      </c>
      <c r="BF213" s="450"/>
      <c r="BG213" s="450"/>
      <c r="BH213" s="450"/>
      <c r="BI213" s="450"/>
      <c r="BJ213" s="450">
        <f>BJ211-BJ212</f>
        <v>495</v>
      </c>
      <c r="BK213" s="450"/>
      <c r="BL213" s="450"/>
      <c r="BM213" s="450"/>
      <c r="BN213" s="450"/>
      <c r="BO213" s="450">
        <f>BO211-BO212</f>
        <v>495</v>
      </c>
      <c r="BP213" s="450"/>
      <c r="BQ213" s="450"/>
      <c r="BR213" s="450"/>
      <c r="BS213" s="450"/>
      <c r="BT213" s="450">
        <f>BT211-BT212</f>
        <v>0</v>
      </c>
      <c r="BU213" s="450"/>
      <c r="BV213" s="450"/>
      <c r="BW213" s="450"/>
      <c r="BX213" s="450"/>
      <c r="BY213" s="450"/>
      <c r="BZ213" s="450"/>
      <c r="CA213" s="450"/>
      <c r="CB213" s="450"/>
      <c r="CC213" s="450"/>
      <c r="CD213" s="450"/>
      <c r="CE213" s="450"/>
      <c r="CF213" s="450"/>
      <c r="CG213" s="450"/>
      <c r="CH213" s="450"/>
      <c r="CI213" s="450"/>
      <c r="CJ213" s="450"/>
      <c r="CK213" s="450"/>
      <c r="CL213" s="450"/>
      <c r="CM213" s="450"/>
      <c r="CN213" s="450"/>
      <c r="CO213" s="450"/>
      <c r="CP213" s="450"/>
      <c r="CQ213" s="450"/>
      <c r="CR213" s="450"/>
      <c r="CS213" s="450"/>
      <c r="CT213" s="450"/>
      <c r="CU213" s="450"/>
      <c r="CV213" s="450"/>
      <c r="CW213" s="450"/>
      <c r="CX213" s="450"/>
    </row>
    <row r="214" spans="1:102">
      <c r="A214" s="70"/>
      <c r="B214" s="488" t="s">
        <v>422</v>
      </c>
      <c r="C214" s="70"/>
      <c r="D214" s="70"/>
      <c r="E214" s="70"/>
      <c r="F214" s="70"/>
      <c r="G214" s="70"/>
      <c r="H214" s="70"/>
      <c r="I214" s="70"/>
      <c r="J214" s="70"/>
      <c r="K214" s="70"/>
      <c r="L214" s="70"/>
      <c r="M214" s="70"/>
      <c r="N214" s="70"/>
      <c r="O214" s="70"/>
      <c r="P214" s="70"/>
      <c r="Q214" s="450"/>
      <c r="R214" s="450"/>
      <c r="S214" s="450"/>
      <c r="T214" s="450"/>
      <c r="U214" s="450"/>
      <c r="V214" s="450"/>
      <c r="W214" s="450"/>
      <c r="X214" s="450"/>
      <c r="Y214" s="450"/>
      <c r="Z214" s="450"/>
      <c r="AA214" s="450"/>
      <c r="AB214" s="450"/>
      <c r="AC214" s="450"/>
      <c r="AD214" s="450"/>
      <c r="AE214" s="450"/>
      <c r="AF214" s="450"/>
      <c r="AG214" s="450"/>
      <c r="AH214" s="450"/>
      <c r="AI214" s="450"/>
      <c r="AJ214" s="450"/>
      <c r="AK214" s="450">
        <v>-9.3550000000000004</v>
      </c>
      <c r="AL214" s="450"/>
      <c r="AM214" s="450"/>
      <c r="AN214" s="450"/>
      <c r="AO214" s="450"/>
      <c r="AP214" s="450"/>
      <c r="AQ214" s="450"/>
      <c r="AR214" s="450"/>
      <c r="AS214" s="450"/>
      <c r="AT214" s="450"/>
      <c r="AU214" s="450"/>
      <c r="AV214" s="450"/>
      <c r="AW214" s="450"/>
      <c r="AX214" s="450"/>
      <c r="AY214" s="450"/>
      <c r="AZ214" s="450"/>
      <c r="BA214" s="450"/>
      <c r="BB214" s="450"/>
      <c r="BC214" s="450"/>
      <c r="BD214" s="450"/>
      <c r="BE214" s="450"/>
      <c r="BF214" s="450"/>
      <c r="BG214" s="450"/>
      <c r="BH214" s="450"/>
      <c r="BI214" s="450"/>
      <c r="BJ214" s="450"/>
      <c r="BK214" s="450"/>
      <c r="BL214" s="450"/>
      <c r="BM214" s="450"/>
      <c r="BN214" s="450"/>
      <c r="BO214" s="450"/>
      <c r="BP214" s="450"/>
      <c r="BQ214" s="450"/>
      <c r="BR214" s="450"/>
      <c r="BS214" s="450"/>
      <c r="BT214" s="450"/>
      <c r="BU214" s="450"/>
      <c r="BV214" s="450"/>
      <c r="BW214" s="450"/>
      <c r="BX214" s="450"/>
      <c r="BY214" s="450"/>
      <c r="BZ214" s="450"/>
      <c r="CA214" s="450"/>
      <c r="CB214" s="450"/>
      <c r="CC214" s="450"/>
      <c r="CD214" s="450"/>
      <c r="CE214" s="450"/>
      <c r="CF214" s="450"/>
      <c r="CG214" s="450"/>
      <c r="CH214" s="450"/>
      <c r="CI214" s="450"/>
      <c r="CJ214" s="450"/>
      <c r="CK214" s="450"/>
      <c r="CL214" s="450"/>
      <c r="CM214" s="450"/>
      <c r="CN214" s="450"/>
      <c r="CO214" s="450"/>
      <c r="CP214" s="450"/>
      <c r="CQ214" s="450"/>
      <c r="CR214" s="450"/>
      <c r="CS214" s="450"/>
      <c r="CT214" s="450"/>
      <c r="CU214" s="450"/>
      <c r="CV214" s="450"/>
      <c r="CW214" s="450"/>
      <c r="CX214" s="450"/>
    </row>
    <row r="215" spans="1:102">
      <c r="A215" s="70"/>
      <c r="B215" s="488" t="s">
        <v>423</v>
      </c>
      <c r="C215" s="70"/>
      <c r="D215" s="70"/>
      <c r="E215" s="70"/>
      <c r="F215" s="70"/>
      <c r="G215" s="70"/>
      <c r="H215" s="70"/>
      <c r="I215" s="70"/>
      <c r="J215" s="70"/>
      <c r="K215" s="70"/>
      <c r="L215" s="70"/>
      <c r="M215" s="70"/>
      <c r="N215" s="70"/>
      <c r="O215" s="70"/>
      <c r="P215" s="70"/>
      <c r="Q215" s="450"/>
      <c r="R215" s="450"/>
      <c r="S215" s="450"/>
      <c r="T215" s="450"/>
      <c r="U215" s="450"/>
      <c r="V215" s="450"/>
      <c r="W215" s="450"/>
      <c r="X215" s="450"/>
      <c r="Y215" s="450"/>
      <c r="Z215" s="450"/>
      <c r="AA215" s="450"/>
      <c r="AB215" s="450"/>
      <c r="AC215" s="450"/>
      <c r="AD215" s="450"/>
      <c r="AE215" s="450"/>
      <c r="AF215" s="450"/>
      <c r="AG215" s="450"/>
      <c r="AH215" s="450"/>
      <c r="AI215" s="450"/>
      <c r="AJ215" s="450"/>
      <c r="AK215" s="450">
        <v>-3.1989999999999998</v>
      </c>
      <c r="AL215" s="450"/>
      <c r="AM215" s="450"/>
      <c r="AN215" s="450"/>
      <c r="AO215" s="450"/>
      <c r="AP215" s="450"/>
      <c r="AQ215" s="450"/>
      <c r="AR215" s="450"/>
      <c r="AS215" s="450"/>
      <c r="AT215" s="450"/>
      <c r="AU215" s="450"/>
      <c r="AV215" s="450"/>
      <c r="AW215" s="450"/>
      <c r="AX215" s="450"/>
      <c r="AY215" s="450"/>
      <c r="AZ215" s="450"/>
      <c r="BA215" s="450"/>
      <c r="BB215" s="450"/>
      <c r="BC215" s="450"/>
      <c r="BD215" s="450"/>
      <c r="BE215" s="450"/>
      <c r="BF215" s="450"/>
      <c r="BG215" s="450"/>
      <c r="BH215" s="450"/>
      <c r="BI215" s="450"/>
      <c r="BJ215" s="450"/>
      <c r="BK215" s="450"/>
      <c r="BL215" s="450"/>
      <c r="BM215" s="450"/>
      <c r="BN215" s="450"/>
      <c r="BO215" s="450"/>
      <c r="BP215" s="450"/>
      <c r="BQ215" s="450"/>
      <c r="BR215" s="450"/>
      <c r="BS215" s="450"/>
      <c r="BT215" s="450"/>
      <c r="BU215" s="450"/>
      <c r="BV215" s="450"/>
      <c r="BW215" s="450"/>
      <c r="BX215" s="450"/>
      <c r="BY215" s="450"/>
      <c r="BZ215" s="450"/>
      <c r="CA215" s="450"/>
      <c r="CB215" s="450"/>
      <c r="CC215" s="450"/>
      <c r="CD215" s="450"/>
      <c r="CE215" s="450"/>
      <c r="CF215" s="450"/>
      <c r="CG215" s="450"/>
      <c r="CH215" s="450"/>
      <c r="CI215" s="450"/>
      <c r="CJ215" s="450"/>
      <c r="CK215" s="450"/>
      <c r="CL215" s="450"/>
      <c r="CM215" s="450"/>
      <c r="CN215" s="450"/>
      <c r="CO215" s="450"/>
      <c r="CP215" s="450"/>
      <c r="CQ215" s="450"/>
      <c r="CR215" s="450"/>
      <c r="CS215" s="450"/>
      <c r="CT215" s="450"/>
      <c r="CU215" s="450"/>
      <c r="CV215" s="450"/>
      <c r="CW215" s="450"/>
      <c r="CX215" s="450"/>
    </row>
    <row r="216" spans="1:102">
      <c r="A216" s="70"/>
      <c r="B216" s="446" t="s">
        <v>424</v>
      </c>
      <c r="C216" s="70"/>
      <c r="D216" s="70"/>
      <c r="E216" s="70"/>
      <c r="F216" s="70"/>
      <c r="G216" s="70"/>
      <c r="H216" s="70"/>
      <c r="I216" s="70"/>
      <c r="J216" s="70"/>
      <c r="K216" s="70"/>
      <c r="L216" s="70"/>
      <c r="M216" s="70"/>
      <c r="N216" s="70"/>
      <c r="O216" s="70"/>
      <c r="P216" s="70"/>
      <c r="Q216" s="450"/>
      <c r="R216" s="450"/>
      <c r="S216" s="450"/>
      <c r="T216" s="450"/>
      <c r="U216" s="450"/>
      <c r="V216" s="450"/>
      <c r="W216" s="450"/>
      <c r="X216" s="450"/>
      <c r="Y216" s="450"/>
      <c r="Z216" s="450"/>
      <c r="AA216" s="450"/>
      <c r="AB216" s="450"/>
      <c r="AC216" s="450"/>
      <c r="AD216" s="450"/>
      <c r="AE216" s="450"/>
      <c r="AF216" s="450"/>
      <c r="AG216" s="450"/>
      <c r="AH216" s="450"/>
      <c r="AI216" s="450"/>
      <c r="AJ216" s="450"/>
      <c r="AK216" s="450">
        <f>AK213+AK214+AK215</f>
        <v>482.44599999999997</v>
      </c>
      <c r="AL216" s="450"/>
      <c r="AM216" s="450"/>
      <c r="AN216" s="450"/>
      <c r="AO216" s="450"/>
      <c r="AP216" s="450">
        <f>AP213+AP214+AP215</f>
        <v>495</v>
      </c>
      <c r="AQ216" s="450"/>
      <c r="AR216" s="450"/>
      <c r="AS216" s="450"/>
      <c r="AT216" s="450"/>
      <c r="AU216" s="450">
        <f>AU213+AU214+AU215</f>
        <v>495</v>
      </c>
      <c r="AV216" s="450"/>
      <c r="AW216" s="450"/>
      <c r="AX216" s="450"/>
      <c r="AY216" s="450"/>
      <c r="AZ216" s="450">
        <f>AZ213+AZ214+AZ215</f>
        <v>495</v>
      </c>
      <c r="BA216" s="450"/>
      <c r="BB216" s="450"/>
      <c r="BC216" s="450"/>
      <c r="BD216" s="450"/>
      <c r="BE216" s="450">
        <f>BE213+BE214+BE215</f>
        <v>495</v>
      </c>
      <c r="BF216" s="450"/>
      <c r="BG216" s="450"/>
      <c r="BH216" s="450"/>
      <c r="BI216" s="450"/>
      <c r="BJ216" s="450">
        <f>BJ213+BJ214+BJ215</f>
        <v>495</v>
      </c>
      <c r="BK216" s="450"/>
      <c r="BL216" s="450"/>
      <c r="BM216" s="450"/>
      <c r="BN216" s="450"/>
      <c r="BO216" s="450">
        <f>BO213+BO214+BO215</f>
        <v>495</v>
      </c>
      <c r="BP216" s="450"/>
      <c r="BQ216" s="450"/>
      <c r="BR216" s="450"/>
      <c r="BS216" s="450"/>
      <c r="BT216" s="450">
        <f>BT213+BT214+BT215</f>
        <v>0</v>
      </c>
      <c r="BU216" s="450"/>
      <c r="BV216" s="450"/>
      <c r="BW216" s="450"/>
      <c r="BX216" s="450"/>
      <c r="BY216" s="450"/>
      <c r="BZ216" s="450"/>
      <c r="CA216" s="450"/>
      <c r="CB216" s="450"/>
      <c r="CC216" s="450"/>
      <c r="CD216" s="450"/>
      <c r="CE216" s="450"/>
      <c r="CF216" s="450"/>
      <c r="CG216" s="450"/>
      <c r="CH216" s="450"/>
      <c r="CI216" s="450"/>
      <c r="CJ216" s="450"/>
      <c r="CK216" s="450"/>
      <c r="CL216" s="450"/>
      <c r="CM216" s="450"/>
      <c r="CN216" s="450"/>
      <c r="CO216" s="450"/>
      <c r="CP216" s="450"/>
      <c r="CQ216" s="450"/>
      <c r="CR216" s="450"/>
      <c r="CS216" s="450"/>
      <c r="CT216" s="450"/>
      <c r="CU216" s="450"/>
      <c r="CV216" s="450"/>
      <c r="CW216" s="450"/>
      <c r="CX216" s="450"/>
    </row>
    <row r="217" spans="1:102">
      <c r="A217" s="70"/>
      <c r="B217" s="454"/>
      <c r="C217" s="70"/>
      <c r="D217" s="70"/>
      <c r="E217" s="70"/>
      <c r="F217" s="70"/>
      <c r="G217" s="70"/>
      <c r="H217" s="70"/>
      <c r="I217" s="70"/>
      <c r="J217" s="70"/>
      <c r="K217" s="70"/>
      <c r="L217" s="70"/>
      <c r="M217" s="70"/>
      <c r="N217" s="70"/>
      <c r="O217" s="70"/>
      <c r="P217" s="70"/>
      <c r="Q217" s="450"/>
      <c r="R217" s="450"/>
      <c r="S217" s="450"/>
      <c r="T217" s="450"/>
      <c r="U217" s="450"/>
      <c r="V217" s="450"/>
      <c r="W217" s="450"/>
      <c r="X217" s="450"/>
      <c r="Y217" s="450"/>
      <c r="Z217" s="450"/>
      <c r="AA217" s="450"/>
      <c r="AB217" s="450"/>
      <c r="AC217" s="450"/>
      <c r="AD217" s="450"/>
      <c r="AE217" s="450"/>
      <c r="AF217" s="450"/>
      <c r="AG217" s="450"/>
      <c r="AH217" s="450"/>
      <c r="AI217" s="450"/>
      <c r="AJ217" s="450"/>
      <c r="AK217" s="450"/>
      <c r="AL217" s="450"/>
      <c r="AM217" s="450"/>
      <c r="AN217" s="450"/>
      <c r="AO217" s="450"/>
      <c r="AP217" s="450"/>
      <c r="AQ217" s="450"/>
      <c r="AR217" s="450"/>
      <c r="AS217" s="450"/>
      <c r="AT217" s="450"/>
      <c r="AU217" s="450"/>
      <c r="AV217" s="450"/>
      <c r="AW217" s="450"/>
      <c r="AX217" s="450"/>
      <c r="AY217" s="450"/>
      <c r="AZ217" s="450"/>
      <c r="BA217" s="450"/>
      <c r="BB217" s="450"/>
      <c r="BC217" s="450"/>
      <c r="BD217" s="450"/>
      <c r="BE217" s="450"/>
      <c r="BF217" s="450"/>
      <c r="BG217" s="450"/>
      <c r="BH217" s="450"/>
      <c r="BI217" s="450"/>
      <c r="BJ217" s="450"/>
      <c r="BK217" s="450"/>
      <c r="BL217" s="450"/>
      <c r="BM217" s="450"/>
      <c r="BN217" s="450"/>
      <c r="BO217" s="450"/>
      <c r="BP217" s="450"/>
      <c r="BQ217" s="450"/>
      <c r="BR217" s="450"/>
      <c r="BS217" s="450"/>
      <c r="BT217" s="450"/>
      <c r="BU217" s="450"/>
      <c r="BV217" s="450"/>
      <c r="BW217" s="450"/>
      <c r="BX217" s="450"/>
      <c r="BY217" s="450"/>
      <c r="BZ217" s="450"/>
      <c r="CA217" s="450"/>
      <c r="CB217" s="450"/>
      <c r="CC217" s="450"/>
      <c r="CD217" s="450"/>
      <c r="CE217" s="450"/>
      <c r="CF217" s="450"/>
      <c r="CG217" s="450"/>
      <c r="CH217" s="450"/>
      <c r="CI217" s="450"/>
      <c r="CJ217" s="450"/>
      <c r="CK217" s="450"/>
      <c r="CL217" s="450"/>
      <c r="CM217" s="450"/>
      <c r="CN217" s="450"/>
      <c r="CO217" s="450"/>
      <c r="CP217" s="450"/>
      <c r="CQ217" s="450"/>
      <c r="CR217" s="450"/>
      <c r="CS217" s="450"/>
      <c r="CT217" s="450"/>
      <c r="CU217" s="450"/>
      <c r="CV217" s="450"/>
      <c r="CW217" s="450"/>
      <c r="CX217" s="450"/>
    </row>
    <row r="218" spans="1:102">
      <c r="A218" s="70"/>
      <c r="B218" s="457" t="s">
        <v>83</v>
      </c>
      <c r="C218" s="70"/>
      <c r="D218" s="70"/>
      <c r="E218" s="70"/>
      <c r="F218" s="70"/>
      <c r="G218" s="70"/>
      <c r="H218" s="70"/>
      <c r="I218" s="70"/>
      <c r="J218" s="70"/>
      <c r="K218" s="70"/>
      <c r="L218" s="70"/>
      <c r="M218" s="70"/>
      <c r="N218" s="70"/>
      <c r="O218" s="70"/>
      <c r="P218" s="70"/>
      <c r="Q218" s="450"/>
      <c r="R218" s="450"/>
      <c r="S218" s="450"/>
      <c r="T218" s="450"/>
      <c r="U218" s="450"/>
      <c r="V218" s="450"/>
      <c r="W218" s="450"/>
      <c r="X218" s="450"/>
      <c r="Y218" s="450"/>
      <c r="Z218" s="450"/>
      <c r="AA218" s="450"/>
      <c r="AB218" s="450"/>
      <c r="AC218" s="450"/>
      <c r="AD218" s="450"/>
      <c r="AE218" s="450"/>
      <c r="AF218" s="450"/>
      <c r="AG218" s="450"/>
      <c r="AH218" s="450"/>
      <c r="AI218" s="450"/>
      <c r="AJ218" s="450"/>
      <c r="AK218" s="459">
        <v>7.4999999999999997E-3</v>
      </c>
      <c r="AL218" s="450"/>
      <c r="AM218" s="450"/>
      <c r="AN218" s="450"/>
      <c r="AO218" s="450"/>
      <c r="AP218" s="459">
        <v>7.4999999999999997E-3</v>
      </c>
      <c r="AQ218" s="450"/>
      <c r="AR218" s="450"/>
      <c r="AS218" s="450"/>
      <c r="AT218" s="450"/>
      <c r="AU218" s="459">
        <v>7.4999999999999997E-3</v>
      </c>
      <c r="AV218" s="450"/>
      <c r="AW218" s="450"/>
      <c r="AX218" s="450"/>
      <c r="AY218" s="450"/>
      <c r="AZ218" s="459">
        <v>7.4999999999999997E-3</v>
      </c>
      <c r="BA218" s="450"/>
      <c r="BB218" s="450"/>
      <c r="BC218" s="450"/>
      <c r="BD218" s="450"/>
      <c r="BE218" s="459">
        <v>7.4999999999999997E-3</v>
      </c>
      <c r="BF218" s="450"/>
      <c r="BG218" s="450"/>
      <c r="BH218" s="450"/>
      <c r="BI218" s="450"/>
      <c r="BJ218" s="459">
        <v>7.4999999999999997E-3</v>
      </c>
      <c r="BK218" s="450"/>
      <c r="BL218" s="450"/>
      <c r="BM218" s="450"/>
      <c r="BN218" s="450"/>
      <c r="BO218" s="459">
        <v>7.4999999999999997E-3</v>
      </c>
      <c r="BP218" s="450"/>
      <c r="BQ218" s="450"/>
      <c r="BR218" s="450"/>
      <c r="BS218" s="450"/>
      <c r="BT218" s="459">
        <v>7.4999999999999997E-3</v>
      </c>
      <c r="BU218" s="450"/>
      <c r="BV218" s="450"/>
      <c r="BW218" s="450"/>
      <c r="BX218" s="450"/>
      <c r="BY218" s="450"/>
      <c r="BZ218" s="450"/>
      <c r="CA218" s="450"/>
      <c r="CB218" s="450"/>
      <c r="CC218" s="450"/>
      <c r="CD218" s="450"/>
      <c r="CE218" s="450"/>
      <c r="CF218" s="450"/>
      <c r="CG218" s="450"/>
      <c r="CH218" s="450"/>
      <c r="CI218" s="450"/>
      <c r="CJ218" s="450"/>
      <c r="CK218" s="450"/>
      <c r="CL218" s="450"/>
      <c r="CM218" s="450"/>
      <c r="CN218" s="450"/>
      <c r="CO218" s="450"/>
      <c r="CP218" s="450"/>
      <c r="CQ218" s="450"/>
      <c r="CR218" s="450"/>
      <c r="CS218" s="450"/>
      <c r="CT218" s="450"/>
      <c r="CU218" s="450"/>
      <c r="CV218" s="450"/>
      <c r="CW218" s="450"/>
      <c r="CX218" s="450"/>
    </row>
    <row r="219" spans="1:102">
      <c r="A219" s="70"/>
      <c r="B219" s="490" t="s">
        <v>425</v>
      </c>
      <c r="C219" s="70"/>
      <c r="D219" s="70"/>
      <c r="E219" s="70"/>
      <c r="F219" s="70"/>
      <c r="G219" s="70"/>
      <c r="H219" s="70"/>
      <c r="I219" s="70"/>
      <c r="J219" s="70"/>
      <c r="K219" s="70"/>
      <c r="L219" s="70"/>
      <c r="M219" s="70"/>
      <c r="N219" s="70"/>
      <c r="O219" s="70"/>
      <c r="P219" s="70"/>
      <c r="Q219" s="450"/>
      <c r="R219" s="450"/>
      <c r="S219" s="450"/>
      <c r="T219" s="450"/>
      <c r="U219" s="450"/>
      <c r="V219" s="450"/>
      <c r="W219" s="450"/>
      <c r="X219" s="450"/>
      <c r="Y219" s="450"/>
      <c r="Z219" s="450"/>
      <c r="AA219" s="450"/>
      <c r="AB219" s="450"/>
      <c r="AC219" s="450"/>
      <c r="AD219" s="450"/>
      <c r="AE219" s="450"/>
      <c r="AF219" s="450"/>
      <c r="AG219" s="450"/>
      <c r="AH219" s="450"/>
      <c r="AI219" s="450"/>
      <c r="AJ219" s="450"/>
      <c r="AK219" s="450">
        <f>((AK211+AK213)/2)*AK218</f>
        <v>3.7124999999999999</v>
      </c>
      <c r="AL219" s="450"/>
      <c r="AM219" s="450"/>
      <c r="AN219" s="450"/>
      <c r="AO219" s="450"/>
      <c r="AP219" s="450">
        <f>((AP211+AP213)/2)*AP218</f>
        <v>3.7124999999999999</v>
      </c>
      <c r="AQ219" s="450"/>
      <c r="AR219" s="450"/>
      <c r="AS219" s="450"/>
      <c r="AT219" s="450"/>
      <c r="AU219" s="450">
        <f>((AU211+AU213)/2)*AU218</f>
        <v>3.7124999999999999</v>
      </c>
      <c r="AV219" s="450"/>
      <c r="AW219" s="450"/>
      <c r="AX219" s="450"/>
      <c r="AY219" s="450"/>
      <c r="AZ219" s="450">
        <f>((AZ211+AZ213)/2)*AZ218</f>
        <v>3.7124999999999999</v>
      </c>
      <c r="BA219" s="450"/>
      <c r="BB219" s="450"/>
      <c r="BC219" s="450"/>
      <c r="BD219" s="450"/>
      <c r="BE219" s="450">
        <f>((BE211+BE213)/2)*BE218</f>
        <v>3.7124999999999999</v>
      </c>
      <c r="BF219" s="450"/>
      <c r="BG219" s="450"/>
      <c r="BH219" s="450"/>
      <c r="BI219" s="450"/>
      <c r="BJ219" s="450">
        <f>((BJ211+BJ213)/2)*BJ218</f>
        <v>3.7124999999999999</v>
      </c>
      <c r="BK219" s="450"/>
      <c r="BL219" s="450"/>
      <c r="BM219" s="450"/>
      <c r="BN219" s="450"/>
      <c r="BO219" s="450">
        <f>((BO211+BO213)/2)*BO218</f>
        <v>3.7124999999999999</v>
      </c>
      <c r="BP219" s="450"/>
      <c r="BQ219" s="450"/>
      <c r="BR219" s="450"/>
      <c r="BS219" s="450"/>
      <c r="BT219" s="450">
        <f>((BT211+BT213)/2)*BT218</f>
        <v>1.85625</v>
      </c>
      <c r="BU219" s="450"/>
      <c r="BV219" s="450"/>
      <c r="BW219" s="450"/>
      <c r="BX219" s="450"/>
      <c r="BY219" s="450"/>
      <c r="BZ219" s="450"/>
      <c r="CA219" s="450"/>
      <c r="CB219" s="450"/>
      <c r="CC219" s="450"/>
      <c r="CD219" s="450"/>
      <c r="CE219" s="450"/>
      <c r="CF219" s="450"/>
      <c r="CG219" s="450"/>
      <c r="CH219" s="450"/>
      <c r="CI219" s="450"/>
      <c r="CJ219" s="450"/>
      <c r="CK219" s="450"/>
      <c r="CL219" s="450"/>
      <c r="CM219" s="450"/>
      <c r="CN219" s="450"/>
      <c r="CO219" s="450"/>
      <c r="CP219" s="450"/>
      <c r="CQ219" s="450"/>
      <c r="CR219" s="450"/>
      <c r="CS219" s="450"/>
      <c r="CT219" s="450"/>
      <c r="CU219" s="450"/>
      <c r="CV219" s="450"/>
      <c r="CW219" s="450"/>
      <c r="CX219" s="450"/>
    </row>
    <row r="220" spans="1:102">
      <c r="A220" s="70"/>
      <c r="B220" s="490" t="s">
        <v>427</v>
      </c>
      <c r="C220" s="70"/>
      <c r="D220" s="70"/>
      <c r="E220" s="70"/>
      <c r="F220" s="70"/>
      <c r="G220" s="70"/>
      <c r="H220" s="70"/>
      <c r="I220" s="70"/>
      <c r="J220" s="70"/>
      <c r="K220" s="70"/>
      <c r="L220" s="70"/>
      <c r="M220" s="70"/>
      <c r="N220" s="70"/>
      <c r="O220" s="70"/>
      <c r="P220" s="70"/>
      <c r="Q220" s="450"/>
      <c r="R220" s="450"/>
      <c r="S220" s="450"/>
      <c r="T220" s="450"/>
      <c r="U220" s="450"/>
      <c r="V220" s="450"/>
      <c r="W220" s="450"/>
      <c r="X220" s="450"/>
      <c r="Y220" s="450"/>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450"/>
      <c r="BA220" s="450"/>
      <c r="BB220" s="450"/>
      <c r="BC220" s="450"/>
      <c r="BD220" s="450"/>
      <c r="BE220" s="450"/>
      <c r="BF220" s="450"/>
      <c r="BG220" s="450"/>
      <c r="BH220" s="450"/>
      <c r="BI220" s="450"/>
      <c r="BJ220" s="450"/>
      <c r="BK220" s="450"/>
      <c r="BL220" s="450"/>
      <c r="BM220" s="450"/>
      <c r="BN220" s="450"/>
      <c r="BO220" s="450"/>
      <c r="BP220" s="450"/>
      <c r="BQ220" s="450"/>
      <c r="BR220" s="450"/>
      <c r="BS220" s="450"/>
      <c r="BT220" s="450"/>
      <c r="BU220" s="450"/>
      <c r="BV220" s="450"/>
      <c r="BW220" s="450"/>
      <c r="BX220" s="450"/>
      <c r="BY220" s="450"/>
      <c r="BZ220" s="450"/>
      <c r="CA220" s="450"/>
      <c r="CB220" s="450"/>
      <c r="CC220" s="450"/>
      <c r="CD220" s="450"/>
      <c r="CE220" s="450"/>
      <c r="CF220" s="450"/>
      <c r="CG220" s="450"/>
      <c r="CH220" s="450"/>
      <c r="CI220" s="450"/>
      <c r="CJ220" s="450"/>
      <c r="CK220" s="450"/>
      <c r="CL220" s="450"/>
      <c r="CM220" s="450"/>
      <c r="CN220" s="450"/>
      <c r="CO220" s="450"/>
      <c r="CP220" s="450"/>
      <c r="CQ220" s="450"/>
      <c r="CR220" s="450"/>
      <c r="CS220" s="450"/>
      <c r="CT220" s="450"/>
      <c r="CU220" s="450"/>
      <c r="CV220" s="450"/>
      <c r="CW220" s="450"/>
      <c r="CX220" s="450"/>
    </row>
    <row r="221" spans="1:102">
      <c r="A221" s="70"/>
      <c r="B221" s="455" t="s">
        <v>426</v>
      </c>
      <c r="C221" s="727"/>
      <c r="D221" s="727"/>
      <c r="E221" s="727"/>
      <c r="F221" s="727"/>
      <c r="G221" s="727"/>
      <c r="H221" s="727"/>
      <c r="I221" s="727"/>
      <c r="J221" s="727"/>
      <c r="K221" s="727"/>
      <c r="L221" s="727"/>
      <c r="M221" s="727"/>
      <c r="N221" s="727"/>
      <c r="O221" s="727"/>
      <c r="P221" s="727"/>
      <c r="Q221" s="728"/>
      <c r="R221" s="728"/>
      <c r="S221" s="728"/>
      <c r="T221" s="728"/>
      <c r="U221" s="728"/>
      <c r="V221" s="728"/>
      <c r="W221" s="728"/>
      <c r="X221" s="728"/>
      <c r="Y221" s="728"/>
      <c r="Z221" s="728"/>
      <c r="AA221" s="728"/>
      <c r="AB221" s="728"/>
      <c r="AC221" s="728"/>
      <c r="AD221" s="728"/>
      <c r="AE221" s="728"/>
      <c r="AF221" s="728"/>
      <c r="AG221" s="728"/>
      <c r="AH221" s="728"/>
      <c r="AI221" s="728"/>
      <c r="AJ221" s="728"/>
      <c r="AK221" s="728"/>
      <c r="AL221" s="728"/>
      <c r="AM221" s="728"/>
      <c r="AN221" s="728"/>
      <c r="AO221" s="728"/>
      <c r="AP221" s="728"/>
      <c r="AQ221" s="728"/>
      <c r="AR221" s="728"/>
      <c r="AS221" s="728"/>
      <c r="AT221" s="728"/>
      <c r="AU221" s="728"/>
      <c r="AV221" s="728"/>
      <c r="AW221" s="728"/>
      <c r="AX221" s="728"/>
      <c r="AY221" s="728"/>
      <c r="AZ221" s="728"/>
      <c r="BA221" s="728"/>
      <c r="BB221" s="728"/>
      <c r="BC221" s="728"/>
      <c r="BD221" s="728"/>
      <c r="BE221" s="728"/>
      <c r="BF221" s="728"/>
      <c r="BG221" s="728"/>
      <c r="BH221" s="728"/>
      <c r="BI221" s="728"/>
      <c r="BJ221" s="728"/>
      <c r="BK221" s="728"/>
      <c r="BL221" s="728"/>
      <c r="BM221" s="728"/>
      <c r="BN221" s="728"/>
      <c r="BO221" s="728"/>
      <c r="BP221" s="728"/>
      <c r="BQ221" s="728"/>
      <c r="BR221" s="728"/>
      <c r="BS221" s="728"/>
      <c r="BT221" s="728"/>
      <c r="BU221" s="728"/>
      <c r="BV221" s="728"/>
      <c r="BW221" s="728"/>
      <c r="BX221" s="728"/>
      <c r="BY221" s="728"/>
      <c r="BZ221" s="728"/>
      <c r="CA221" s="728"/>
      <c r="CB221" s="728"/>
      <c r="CC221" s="728"/>
      <c r="CD221" s="728"/>
      <c r="CE221" s="728"/>
      <c r="CF221" s="728"/>
      <c r="CG221" s="728"/>
      <c r="CH221" s="728"/>
      <c r="CI221" s="728"/>
      <c r="CJ221" s="728"/>
      <c r="CK221" s="728"/>
      <c r="CL221" s="728"/>
      <c r="CM221" s="728"/>
      <c r="CN221" s="728"/>
      <c r="CO221" s="728"/>
      <c r="CP221" s="728"/>
      <c r="CQ221" s="728"/>
      <c r="CR221" s="728"/>
      <c r="CS221" s="728"/>
      <c r="CT221" s="728"/>
      <c r="CU221" s="728"/>
      <c r="CV221" s="728"/>
      <c r="CW221" s="728"/>
      <c r="CX221" s="728"/>
    </row>
    <row r="222" spans="1:102">
      <c r="A222" s="70"/>
      <c r="B222" s="490"/>
      <c r="C222" s="70"/>
      <c r="D222" s="70"/>
      <c r="E222" s="70"/>
      <c r="F222" s="70"/>
      <c r="G222" s="70"/>
      <c r="H222" s="70"/>
      <c r="I222" s="70"/>
      <c r="J222" s="70"/>
      <c r="K222" s="70"/>
      <c r="L222" s="70"/>
      <c r="M222" s="70"/>
      <c r="N222" s="70"/>
      <c r="O222" s="70"/>
      <c r="P222" s="70"/>
      <c r="Q222" s="450"/>
      <c r="R222" s="450"/>
      <c r="S222" s="450"/>
      <c r="T222" s="450"/>
      <c r="U222" s="450"/>
      <c r="V222" s="450"/>
      <c r="W222" s="450"/>
      <c r="X222" s="450"/>
      <c r="Y222" s="450"/>
      <c r="Z222" s="450"/>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450"/>
      <c r="BA222" s="450"/>
      <c r="BB222" s="450"/>
      <c r="BC222" s="450"/>
      <c r="BD222" s="450"/>
      <c r="BE222" s="450"/>
      <c r="BF222" s="450"/>
      <c r="BG222" s="450"/>
      <c r="BH222" s="450"/>
      <c r="BI222" s="450"/>
      <c r="BJ222" s="450"/>
      <c r="BK222" s="450"/>
      <c r="BL222" s="450"/>
      <c r="BM222" s="450"/>
      <c r="BN222" s="450"/>
      <c r="BO222" s="450"/>
      <c r="BP222" s="450"/>
      <c r="BQ222" s="450"/>
      <c r="BR222" s="450"/>
      <c r="BS222" s="450"/>
      <c r="BT222" s="450"/>
      <c r="BU222" s="450"/>
      <c r="BV222" s="450"/>
      <c r="BW222" s="450"/>
      <c r="BX222" s="450"/>
      <c r="BY222" s="450"/>
      <c r="BZ222" s="450"/>
      <c r="CA222" s="450"/>
      <c r="CB222" s="450"/>
      <c r="CC222" s="450"/>
      <c r="CD222" s="450"/>
      <c r="CE222" s="450"/>
      <c r="CF222" s="450"/>
      <c r="CG222" s="450"/>
      <c r="CH222" s="450"/>
      <c r="CI222" s="450"/>
      <c r="CJ222" s="450"/>
      <c r="CK222" s="450"/>
      <c r="CL222" s="450"/>
      <c r="CM222" s="450"/>
      <c r="CN222" s="450"/>
      <c r="CO222" s="450"/>
      <c r="CP222" s="450"/>
      <c r="CQ222" s="450"/>
      <c r="CR222" s="450"/>
      <c r="CS222" s="450"/>
      <c r="CT222" s="450"/>
      <c r="CU222" s="450"/>
      <c r="CV222" s="450"/>
      <c r="CW222" s="450"/>
      <c r="CX222" s="450"/>
    </row>
    <row r="223" spans="1:102">
      <c r="A223" s="70"/>
      <c r="B223" s="490"/>
      <c r="C223" s="70"/>
      <c r="D223" s="70"/>
      <c r="E223" s="70"/>
      <c r="F223" s="70"/>
      <c r="G223" s="70"/>
      <c r="H223" s="70"/>
      <c r="I223" s="70"/>
      <c r="J223" s="70"/>
      <c r="K223" s="70"/>
      <c r="L223" s="70"/>
      <c r="M223" s="70"/>
      <c r="N223" s="70"/>
      <c r="O223" s="70"/>
      <c r="P223" s="70"/>
      <c r="Q223" s="450"/>
      <c r="R223" s="450"/>
      <c r="S223" s="450"/>
      <c r="T223" s="450"/>
      <c r="U223" s="450"/>
      <c r="V223" s="450"/>
      <c r="W223" s="450"/>
      <c r="X223" s="450"/>
      <c r="Y223" s="450"/>
      <c r="Z223" s="450"/>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450"/>
      <c r="BA223" s="450"/>
      <c r="BB223" s="450"/>
      <c r="BC223" s="450"/>
      <c r="BD223" s="450"/>
      <c r="BE223" s="450"/>
      <c r="BF223" s="450"/>
      <c r="BG223" s="450"/>
      <c r="BH223" s="450"/>
      <c r="BI223" s="450"/>
      <c r="BJ223" s="450"/>
      <c r="BK223" s="450"/>
      <c r="BL223" s="450"/>
      <c r="BM223" s="450"/>
      <c r="BN223" s="450"/>
      <c r="BO223" s="450"/>
      <c r="BP223" s="450"/>
      <c r="BQ223" s="450"/>
      <c r="BR223" s="450"/>
      <c r="BS223" s="450"/>
      <c r="BT223" s="450"/>
      <c r="BU223" s="450"/>
      <c r="BV223" s="450"/>
      <c r="BW223" s="450"/>
      <c r="BX223" s="450"/>
      <c r="BY223" s="450"/>
      <c r="BZ223" s="450"/>
      <c r="CA223" s="450"/>
      <c r="CB223" s="450"/>
      <c r="CC223" s="450"/>
      <c r="CD223" s="450"/>
      <c r="CE223" s="450"/>
      <c r="CF223" s="450"/>
      <c r="CG223" s="450"/>
      <c r="CH223" s="450"/>
      <c r="CI223" s="450"/>
      <c r="CJ223" s="450"/>
      <c r="CK223" s="450"/>
      <c r="CL223" s="450"/>
      <c r="CM223" s="450"/>
      <c r="CN223" s="450"/>
      <c r="CO223" s="450"/>
      <c r="CP223" s="450"/>
      <c r="CQ223" s="450"/>
      <c r="CR223" s="450"/>
      <c r="CS223" s="450"/>
      <c r="CT223" s="450"/>
      <c r="CU223" s="450"/>
      <c r="CV223" s="450"/>
      <c r="CW223" s="450"/>
      <c r="CX223" s="450"/>
    </row>
    <row r="224" spans="1:102">
      <c r="A224" s="456"/>
      <c r="B224" s="491"/>
      <c r="C224" s="448"/>
      <c r="D224" s="448"/>
      <c r="E224" s="448"/>
      <c r="F224" s="448"/>
      <c r="G224" s="448"/>
      <c r="H224" s="448"/>
      <c r="I224" s="448"/>
      <c r="J224" s="448"/>
      <c r="K224" s="448"/>
      <c r="L224" s="448"/>
      <c r="M224" s="448"/>
      <c r="N224" s="448"/>
      <c r="O224" s="448"/>
      <c r="P224" s="448"/>
      <c r="Q224" s="448"/>
      <c r="R224" s="448"/>
      <c r="S224" s="448"/>
      <c r="T224" s="448"/>
      <c r="U224" s="448"/>
      <c r="V224" s="448"/>
      <c r="W224" s="448"/>
      <c r="X224" s="448"/>
      <c r="Y224" s="448"/>
      <c r="Z224" s="448"/>
      <c r="AA224" s="448"/>
      <c r="AB224" s="448"/>
      <c r="AC224" s="448"/>
      <c r="AD224" s="448"/>
      <c r="AE224" s="448"/>
      <c r="AF224" s="448"/>
      <c r="AG224" s="448"/>
      <c r="AH224" s="448"/>
      <c r="AI224" s="448"/>
      <c r="AJ224" s="448"/>
      <c r="AK224" s="448"/>
      <c r="AL224" s="448"/>
      <c r="AM224" s="448"/>
      <c r="AN224" s="448"/>
      <c r="AO224" s="448"/>
      <c r="AP224" s="448"/>
      <c r="AQ224" s="448"/>
      <c r="AR224" s="448"/>
      <c r="AS224" s="448"/>
      <c r="AT224" s="448"/>
      <c r="AU224" s="448"/>
      <c r="AV224" s="448"/>
      <c r="AW224" s="448"/>
      <c r="AX224" s="448"/>
      <c r="AY224" s="448"/>
      <c r="AZ224" s="448"/>
      <c r="BA224" s="448"/>
      <c r="BB224" s="448"/>
      <c r="BC224" s="448"/>
      <c r="BD224" s="448"/>
      <c r="BE224" s="448"/>
      <c r="BF224" s="448"/>
      <c r="BG224" s="448"/>
      <c r="BH224" s="448"/>
      <c r="BI224" s="448"/>
      <c r="BJ224" s="448"/>
      <c r="BK224" s="448"/>
      <c r="BL224" s="448"/>
      <c r="BM224" s="448"/>
      <c r="BN224" s="448"/>
      <c r="BO224" s="448"/>
      <c r="BP224" s="448"/>
      <c r="BQ224" s="448"/>
      <c r="BR224" s="448"/>
      <c r="BS224" s="448"/>
      <c r="BT224" s="448"/>
      <c r="BU224" s="448"/>
      <c r="BV224" s="448"/>
      <c r="BW224" s="448"/>
      <c r="BX224" s="448"/>
      <c r="BY224" s="448"/>
      <c r="BZ224" s="448"/>
      <c r="CA224" s="448"/>
      <c r="CB224" s="448"/>
      <c r="CC224" s="448"/>
      <c r="CD224" s="448"/>
      <c r="CE224" s="448"/>
      <c r="CF224" s="448"/>
      <c r="CG224" s="448"/>
      <c r="CH224" s="448"/>
      <c r="CI224" s="448"/>
      <c r="CJ224" s="448"/>
      <c r="CK224" s="448"/>
      <c r="CL224" s="448"/>
      <c r="CM224" s="448"/>
      <c r="CN224" s="448"/>
      <c r="CO224" s="448"/>
      <c r="CP224" s="448"/>
      <c r="CQ224" s="448"/>
      <c r="CR224" s="448"/>
      <c r="CS224" s="448"/>
      <c r="CT224" s="448"/>
      <c r="CU224" s="448"/>
      <c r="CV224" s="448"/>
      <c r="CW224" s="448"/>
      <c r="CX224" s="448"/>
    </row>
    <row r="225" spans="1:102">
      <c r="A225" s="456"/>
      <c r="B225" s="492" t="s">
        <v>432</v>
      </c>
      <c r="C225" s="200"/>
      <c r="D225" s="200"/>
      <c r="E225" s="200"/>
      <c r="F225" s="200"/>
      <c r="G225" s="200"/>
      <c r="H225" s="200"/>
      <c r="I225" s="200"/>
      <c r="J225" s="200"/>
      <c r="K225" s="200"/>
      <c r="L225" s="200"/>
      <c r="M225" s="200"/>
      <c r="N225" s="200"/>
      <c r="O225" s="200"/>
      <c r="P225" s="200"/>
      <c r="Q225" s="201"/>
      <c r="R225" s="201"/>
      <c r="S225" s="201"/>
      <c r="T225" s="201"/>
      <c r="U225" s="201"/>
      <c r="V225" s="201"/>
      <c r="W225" s="201"/>
      <c r="X225" s="201"/>
      <c r="Y225" s="201"/>
      <c r="Z225" s="201"/>
      <c r="AA225" s="201">
        <f>AA200+AA184+AA170</f>
        <v>662.28300000000002</v>
      </c>
      <c r="AB225" s="201"/>
      <c r="AC225" s="201"/>
      <c r="AD225" s="201"/>
      <c r="AE225" s="201"/>
      <c r="AF225" s="201">
        <f>AF200+AF184+AF170</f>
        <v>660.76200000000006</v>
      </c>
      <c r="AG225" s="201"/>
      <c r="AH225" s="201"/>
      <c r="AI225" s="201"/>
      <c r="AJ225" s="201"/>
      <c r="AK225" s="201">
        <f>AK200+AK184+AK170+AK216</f>
        <v>1174.47</v>
      </c>
      <c r="AL225" s="201"/>
      <c r="AM225" s="201"/>
      <c r="AN225" s="201"/>
      <c r="AO225" s="201"/>
      <c r="AP225" s="201">
        <f>AP200+AP184+AP170+AP216</f>
        <v>840.35799999999995</v>
      </c>
      <c r="AQ225" s="201"/>
      <c r="AR225" s="201"/>
      <c r="AS225" s="201"/>
      <c r="AT225" s="201"/>
      <c r="AU225" s="201">
        <f>AU200+AU184+AU170+AU216</f>
        <v>854.64100000000008</v>
      </c>
      <c r="AV225" s="201"/>
      <c r="AW225" s="201"/>
      <c r="AX225" s="201"/>
      <c r="AY225" s="201"/>
      <c r="AZ225" s="201">
        <f>AZ200+AZ184+AZ170+AZ216</f>
        <v>495</v>
      </c>
      <c r="BA225" s="201"/>
      <c r="BB225" s="201"/>
      <c r="BC225" s="201"/>
      <c r="BD225" s="201"/>
      <c r="BE225" s="201">
        <f>BE200+BE184+BE170+BE216</f>
        <v>495</v>
      </c>
      <c r="BF225" s="201"/>
      <c r="BG225" s="201"/>
      <c r="BH225" s="201"/>
      <c r="BI225" s="201"/>
      <c r="BJ225" s="201">
        <f>BJ200+BJ184+BJ170+BJ216</f>
        <v>495</v>
      </c>
      <c r="BK225" s="201"/>
      <c r="BL225" s="201"/>
      <c r="BM225" s="201"/>
      <c r="BN225" s="201"/>
      <c r="BO225" s="201">
        <f>BO200+BO184+BO170+BO216</f>
        <v>495</v>
      </c>
      <c r="BP225" s="201"/>
      <c r="BQ225" s="201"/>
      <c r="BR225" s="201"/>
      <c r="BS225" s="201"/>
      <c r="BT225" s="201">
        <f>BT200+BT184+BT170+BT216</f>
        <v>0</v>
      </c>
      <c r="BU225" s="201"/>
      <c r="BV225" s="201"/>
      <c r="BW225" s="201"/>
      <c r="BX225" s="201"/>
      <c r="BY225" s="201">
        <f>BY200+BY184+BY170+BY216</f>
        <v>0</v>
      </c>
      <c r="BZ225" s="201"/>
      <c r="CA225" s="201"/>
      <c r="CB225" s="201"/>
      <c r="CC225" s="201"/>
      <c r="CD225" s="201">
        <f>CD200+CD184+CD170+CD216</f>
        <v>0</v>
      </c>
      <c r="CE225" s="201"/>
      <c r="CF225" s="201"/>
      <c r="CG225" s="201"/>
      <c r="CH225" s="201"/>
      <c r="CI225" s="201">
        <f>CI200+CI184+CI170</f>
        <v>0</v>
      </c>
      <c r="CJ225" s="201"/>
      <c r="CK225" s="201"/>
      <c r="CL225" s="201"/>
      <c r="CM225" s="201"/>
      <c r="CN225" s="201">
        <f>CN200+CN184+CN170</f>
        <v>0</v>
      </c>
      <c r="CO225" s="201"/>
      <c r="CP225" s="201"/>
      <c r="CQ225" s="201"/>
      <c r="CR225" s="201"/>
      <c r="CS225" s="201">
        <f>CS200+CS184+CS170</f>
        <v>0</v>
      </c>
      <c r="CT225" s="201"/>
      <c r="CU225" s="201"/>
      <c r="CV225" s="201"/>
      <c r="CW225" s="201"/>
      <c r="CX225" s="201">
        <f>CX200+CX184+CX170</f>
        <v>0</v>
      </c>
    </row>
    <row r="226" spans="1:102">
      <c r="A226" s="456"/>
      <c r="B226" s="492" t="str">
        <f>B111</f>
        <v>Interest expense</v>
      </c>
      <c r="C226" s="200"/>
      <c r="D226" s="200"/>
      <c r="E226" s="200"/>
      <c r="F226" s="200"/>
      <c r="G226" s="200"/>
      <c r="H226" s="200"/>
      <c r="I226" s="200"/>
      <c r="J226" s="200"/>
      <c r="K226" s="200"/>
      <c r="L226" s="200"/>
      <c r="M226" s="200"/>
      <c r="N226" s="200"/>
      <c r="O226" s="200"/>
      <c r="P226" s="200"/>
      <c r="Q226" s="201"/>
      <c r="R226" s="201"/>
      <c r="S226" s="201"/>
      <c r="T226" s="201"/>
      <c r="U226" s="201"/>
      <c r="V226" s="201"/>
      <c r="W226" s="201"/>
      <c r="X226" s="201"/>
      <c r="Y226" s="201"/>
      <c r="Z226" s="201"/>
      <c r="AA226" s="201">
        <f>AA205+AA204+AA203+AA189+AA188+AA187+AA173</f>
        <v>37.512260000000005</v>
      </c>
      <c r="AB226" s="201"/>
      <c r="AC226" s="201"/>
      <c r="AD226" s="201"/>
      <c r="AE226" s="201"/>
      <c r="AF226" s="201">
        <f>AF205+AF204+AF203+AF189+AF188+AF187+AF173</f>
        <v>38.723620000000011</v>
      </c>
      <c r="AG226" s="201"/>
      <c r="AH226" s="201"/>
      <c r="AI226" s="201"/>
      <c r="AJ226" s="201"/>
      <c r="AK226" s="201">
        <f>AK205+AK204+AK203+AK189+AK188+AK187+AK173+AK219+AK220+AK221</f>
        <v>42.141463750000007</v>
      </c>
      <c r="AL226" s="201"/>
      <c r="AM226" s="201"/>
      <c r="AN226" s="201"/>
      <c r="AO226" s="201"/>
      <c r="AP226" s="201">
        <f>AP205+AP204+AP203+AP189+AP188+AP187+AP173+AP219+AP220+AP221</f>
        <v>39.057569999999991</v>
      </c>
      <c r="AQ226" s="201"/>
      <c r="AR226" s="201"/>
      <c r="AS226" s="201"/>
      <c r="AT226" s="201"/>
      <c r="AU226" s="201">
        <f>AU205+AU204+AU203+AU189+AU188+AU187+AU173+AU219+AU220+AU221</f>
        <v>23.620394999999998</v>
      </c>
      <c r="AV226" s="201"/>
      <c r="AW226" s="201"/>
      <c r="AX226" s="201"/>
      <c r="AY226" s="201"/>
      <c r="AZ226" s="201">
        <f>AZ205+AZ204+AZ203+AZ189+AZ188+AZ187+AZ173+AZ219+AZ220+AZ221</f>
        <v>21.876947499999996</v>
      </c>
      <c r="BA226" s="201"/>
      <c r="BB226" s="201"/>
      <c r="BC226" s="201"/>
      <c r="BD226" s="201"/>
      <c r="BE226" s="201">
        <f>BE205+BE204+BE203+BE189+BE188+BE187+BE173+BE219+BE220+BE221</f>
        <v>3.7124999999999999</v>
      </c>
      <c r="BF226" s="201"/>
      <c r="BG226" s="201"/>
      <c r="BH226" s="201"/>
      <c r="BI226" s="201"/>
      <c r="BJ226" s="201">
        <f>BJ205+BJ204+BJ203+BJ189+BJ188+BJ187+BJ173+BJ219+BJ220+BJ221</f>
        <v>3.7124999999999999</v>
      </c>
      <c r="BK226" s="201"/>
      <c r="BL226" s="201"/>
      <c r="BM226" s="201"/>
      <c r="BN226" s="201"/>
      <c r="BO226" s="201">
        <f>BO205+BO204+BO203+BO189+BO188+BO187+BO173+BO219+BO220+BO221</f>
        <v>3.7124999999999999</v>
      </c>
      <c r="BP226" s="201"/>
      <c r="BQ226" s="201"/>
      <c r="BR226" s="201"/>
      <c r="BS226" s="201"/>
      <c r="BT226" s="201">
        <f>BT205+BT204+BT203+BT189+BT188+BT187+BT173+BT219+BT220+BT221</f>
        <v>1.85625</v>
      </c>
      <c r="BU226" s="201"/>
      <c r="BV226" s="201"/>
      <c r="BW226" s="201"/>
      <c r="BX226" s="201"/>
      <c r="BY226" s="201">
        <f>BY205+BY204+BY203+BY189+BY188+BY187+BY173+BY219+BY220+BY221</f>
        <v>0</v>
      </c>
      <c r="BZ226" s="201"/>
      <c r="CA226" s="201"/>
      <c r="CB226" s="201"/>
      <c r="CC226" s="201"/>
      <c r="CD226" s="201">
        <f>CD205+CD204+CD203+CD189+CD188+CD187+CD173+CD219+CD220+CD221</f>
        <v>0</v>
      </c>
      <c r="CE226" s="201"/>
      <c r="CF226" s="201"/>
      <c r="CG226" s="201"/>
      <c r="CH226" s="201"/>
      <c r="CI226" s="201">
        <f>CI205+CI204+CI203+CI189+CI188+CI187+CI173</f>
        <v>0</v>
      </c>
      <c r="CJ226" s="201"/>
      <c r="CK226" s="201"/>
      <c r="CL226" s="201"/>
      <c r="CM226" s="201"/>
      <c r="CN226" s="201">
        <f>CN205+CN204+CN203+CN189+CN188+CN187+CN173</f>
        <v>0</v>
      </c>
      <c r="CO226" s="201"/>
      <c r="CP226" s="201"/>
      <c r="CQ226" s="201"/>
      <c r="CR226" s="201"/>
      <c r="CS226" s="201">
        <f>CS205+CS204+CS203+CS189+CS188+CS187+CS173</f>
        <v>0</v>
      </c>
      <c r="CT226" s="201"/>
      <c r="CU226" s="201"/>
      <c r="CV226" s="201"/>
      <c r="CW226" s="201"/>
      <c r="CX226" s="201">
        <f>CX205+CX204+CX203+CX189+CX188+CX187+CX173</f>
        <v>0</v>
      </c>
    </row>
    <row r="227" spans="1:102">
      <c r="A227" s="70"/>
    </row>
    <row r="228" spans="1:102">
      <c r="B228" s="444" t="s">
        <v>39</v>
      </c>
      <c r="U228" s="409"/>
    </row>
    <row r="229" spans="1:102">
      <c r="B229" s="445" t="s">
        <v>153</v>
      </c>
      <c r="C229" s="448"/>
      <c r="D229" s="448"/>
      <c r="E229" s="448"/>
      <c r="F229" s="448"/>
      <c r="G229" s="623">
        <f>35%-1.9%</f>
        <v>0.33099999999999996</v>
      </c>
      <c r="H229" s="449"/>
      <c r="I229" s="449"/>
      <c r="J229" s="449"/>
      <c r="K229" s="449"/>
      <c r="L229" s="623">
        <f>35%-1.3%</f>
        <v>0.33699999999999997</v>
      </c>
      <c r="M229" s="449"/>
      <c r="N229" s="449"/>
      <c r="O229" s="449"/>
      <c r="P229" s="449"/>
      <c r="Q229" s="623">
        <f>35%-0.3%</f>
        <v>0.34699999999999998</v>
      </c>
      <c r="R229" s="449"/>
      <c r="S229" s="449"/>
      <c r="T229" s="449"/>
      <c r="U229" s="449"/>
      <c r="V229" s="621">
        <f>35%-1.6%</f>
        <v>0.33399999999999996</v>
      </c>
      <c r="W229" s="449"/>
      <c r="X229" s="449"/>
      <c r="Y229" s="449"/>
      <c r="Z229" s="449"/>
      <c r="AA229" s="621">
        <f>35%-2.2%</f>
        <v>0.32799999999999996</v>
      </c>
      <c r="AB229" s="449"/>
      <c r="AC229" s="449"/>
      <c r="AD229" s="449"/>
      <c r="AE229" s="449"/>
      <c r="AF229" s="449">
        <v>0.2</v>
      </c>
      <c r="AG229" s="449"/>
      <c r="AH229" s="449"/>
      <c r="AI229" s="449"/>
      <c r="AJ229" s="449"/>
      <c r="AK229" s="449">
        <f>+AF229</f>
        <v>0.2</v>
      </c>
      <c r="AL229" s="449"/>
      <c r="AM229" s="449"/>
      <c r="AN229" s="449"/>
      <c r="AO229" s="449"/>
      <c r="AP229" s="449">
        <f>+AK229</f>
        <v>0.2</v>
      </c>
      <c r="AQ229" s="449"/>
      <c r="AR229" s="449"/>
      <c r="AS229" s="449"/>
      <c r="AT229" s="449"/>
      <c r="AU229" s="449">
        <f>+AP229</f>
        <v>0.2</v>
      </c>
      <c r="AV229" s="449"/>
      <c r="AW229" s="449"/>
      <c r="AX229" s="449"/>
      <c r="AY229" s="449"/>
      <c r="AZ229" s="449">
        <f>+AU229</f>
        <v>0.2</v>
      </c>
      <c r="BA229" s="449"/>
      <c r="BB229" s="449"/>
      <c r="BC229" s="449"/>
      <c r="BD229" s="449"/>
      <c r="BE229" s="449">
        <f>+AZ229</f>
        <v>0.2</v>
      </c>
      <c r="BF229" s="449"/>
      <c r="BG229" s="449"/>
      <c r="BH229" s="449"/>
      <c r="BI229" s="449"/>
      <c r="BJ229" s="449">
        <f>+BE229</f>
        <v>0.2</v>
      </c>
      <c r="BK229" s="449"/>
      <c r="BL229" s="449"/>
      <c r="BM229" s="449"/>
      <c r="BN229" s="449"/>
      <c r="BO229" s="449">
        <f>+BJ229</f>
        <v>0.2</v>
      </c>
      <c r="BP229" s="449"/>
      <c r="BQ229" s="449"/>
      <c r="BR229" s="449"/>
      <c r="BS229" s="449"/>
      <c r="BT229" s="449">
        <f>+BO229</f>
        <v>0.2</v>
      </c>
      <c r="BU229" s="449"/>
      <c r="BV229" s="449"/>
      <c r="BW229" s="449"/>
      <c r="BX229" s="449"/>
      <c r="BY229" s="449">
        <f>+BT229</f>
        <v>0.2</v>
      </c>
      <c r="BZ229" s="449"/>
      <c r="CA229" s="449"/>
      <c r="CB229" s="449"/>
      <c r="CC229" s="449"/>
      <c r="CD229" s="449">
        <f>+BY229</f>
        <v>0.2</v>
      </c>
      <c r="CE229" s="449"/>
      <c r="CF229" s="449"/>
      <c r="CG229" s="449"/>
      <c r="CH229" s="449"/>
      <c r="CI229" s="449">
        <f>+CD229</f>
        <v>0.2</v>
      </c>
      <c r="CJ229" s="449"/>
      <c r="CK229" s="449"/>
      <c r="CL229" s="449"/>
      <c r="CM229" s="449"/>
      <c r="CN229" s="449">
        <f>+CI229</f>
        <v>0.2</v>
      </c>
      <c r="CO229" s="449"/>
      <c r="CP229" s="449"/>
      <c r="CQ229" s="449"/>
      <c r="CR229" s="449"/>
      <c r="CS229" s="449">
        <f>+CN229</f>
        <v>0.2</v>
      </c>
      <c r="CT229" s="449"/>
      <c r="CU229" s="449"/>
      <c r="CV229" s="449"/>
      <c r="CW229" s="449"/>
      <c r="CX229" s="449">
        <f>+CS229</f>
        <v>0.2</v>
      </c>
    </row>
    <row r="230" spans="1:102">
      <c r="B230" s="446" t="s">
        <v>406</v>
      </c>
      <c r="C230" s="70"/>
      <c r="D230" s="70"/>
      <c r="E230" s="70"/>
      <c r="F230" s="70"/>
      <c r="G230" s="70"/>
      <c r="H230" s="70"/>
      <c r="I230" s="70"/>
      <c r="J230" s="70"/>
      <c r="K230" s="70"/>
      <c r="L230" s="450"/>
      <c r="M230" s="450"/>
      <c r="N230" s="450"/>
      <c r="O230" s="450"/>
      <c r="P230" s="450"/>
      <c r="Q230" s="450"/>
      <c r="R230" s="450"/>
      <c r="S230" s="450"/>
      <c r="T230" s="450"/>
      <c r="U230" s="450"/>
      <c r="V230" s="450"/>
      <c r="W230" s="450"/>
      <c r="X230" s="450"/>
      <c r="Y230" s="450"/>
      <c r="Z230" s="450"/>
      <c r="AA230" s="450">
        <f>-16.208-171.84</f>
        <v>-188.048</v>
      </c>
      <c r="AB230" s="450"/>
      <c r="AC230" s="450"/>
      <c r="AD230" s="450"/>
      <c r="AE230" s="450"/>
      <c r="AF230" s="450">
        <f>-44.942-143.987</f>
        <v>-188.929</v>
      </c>
      <c r="AG230" s="450"/>
      <c r="AH230" s="450"/>
      <c r="AI230" s="450"/>
      <c r="AJ230" s="450"/>
      <c r="AK230" s="450">
        <v>0</v>
      </c>
      <c r="AL230" s="450"/>
      <c r="AM230" s="450"/>
      <c r="AN230" s="450"/>
      <c r="AO230" s="450"/>
      <c r="AP230" s="450">
        <f>AK232</f>
        <v>0</v>
      </c>
      <c r="AQ230" s="450"/>
      <c r="AR230" s="450"/>
      <c r="AS230" s="450"/>
      <c r="AT230" s="450"/>
      <c r="AU230" s="450">
        <f>AP232</f>
        <v>0</v>
      </c>
      <c r="AV230" s="450"/>
      <c r="AW230" s="450"/>
      <c r="AX230" s="450"/>
      <c r="AY230" s="450"/>
      <c r="AZ230" s="450">
        <f>AU232</f>
        <v>0</v>
      </c>
      <c r="BA230" s="450"/>
      <c r="BB230" s="450"/>
      <c r="BC230" s="450"/>
      <c r="BD230" s="450"/>
      <c r="BE230" s="450">
        <f>AZ232</f>
        <v>0</v>
      </c>
      <c r="BF230" s="450"/>
      <c r="BG230" s="450"/>
      <c r="BH230" s="450"/>
      <c r="BI230" s="450"/>
      <c r="BJ230" s="450">
        <f>BE232</f>
        <v>0</v>
      </c>
      <c r="BK230" s="450"/>
      <c r="BL230" s="450"/>
      <c r="BM230" s="450"/>
      <c r="BN230" s="450"/>
      <c r="BO230" s="450">
        <f>BJ232</f>
        <v>0</v>
      </c>
      <c r="BP230" s="450"/>
      <c r="BQ230" s="450"/>
      <c r="BR230" s="450"/>
      <c r="BS230" s="450"/>
      <c r="BT230" s="450">
        <f>BO232</f>
        <v>0</v>
      </c>
      <c r="BU230" s="450"/>
      <c r="BV230" s="450"/>
      <c r="BW230" s="450"/>
      <c r="BX230" s="450"/>
      <c r="BY230" s="450">
        <f>BT232</f>
        <v>0</v>
      </c>
      <c r="BZ230" s="450"/>
      <c r="CA230" s="450"/>
      <c r="CB230" s="450"/>
      <c r="CC230" s="450"/>
      <c r="CD230" s="450">
        <f>BY232</f>
        <v>0</v>
      </c>
      <c r="CE230" s="450"/>
      <c r="CF230" s="450"/>
      <c r="CG230" s="450"/>
      <c r="CH230" s="450"/>
      <c r="CI230" s="450">
        <f>CD232</f>
        <v>0</v>
      </c>
      <c r="CJ230" s="450"/>
      <c r="CK230" s="450"/>
      <c r="CL230" s="450"/>
      <c r="CM230" s="450"/>
      <c r="CN230" s="450">
        <f>CI232</f>
        <v>0</v>
      </c>
      <c r="CO230" s="450"/>
      <c r="CP230" s="450"/>
      <c r="CQ230" s="450"/>
      <c r="CR230" s="450"/>
      <c r="CS230" s="450">
        <f>CN232</f>
        <v>0</v>
      </c>
      <c r="CT230" s="450"/>
      <c r="CU230" s="450"/>
      <c r="CV230" s="450"/>
      <c r="CW230" s="450"/>
      <c r="CX230" s="450">
        <f>CS232</f>
        <v>0</v>
      </c>
    </row>
    <row r="231" spans="1:102">
      <c r="B231" s="446" t="s">
        <v>38</v>
      </c>
      <c r="C231" s="70"/>
      <c r="D231" s="70"/>
      <c r="E231" s="70"/>
      <c r="F231" s="70"/>
      <c r="G231" s="70"/>
      <c r="H231" s="70"/>
      <c r="I231" s="70"/>
      <c r="J231" s="70"/>
      <c r="K231" s="70"/>
      <c r="L231" s="450">
        <f>L74</f>
        <v>-11.783999999999986</v>
      </c>
      <c r="M231" s="450"/>
      <c r="N231" s="450"/>
      <c r="O231" s="450"/>
      <c r="P231" s="450"/>
      <c r="Q231" s="450">
        <f>Q74</f>
        <v>-40.552999999999969</v>
      </c>
      <c r="R231" s="450"/>
      <c r="S231" s="450"/>
      <c r="T231" s="450"/>
      <c r="U231" s="450"/>
      <c r="V231" s="450">
        <f>V74</f>
        <v>-25.528999999999975</v>
      </c>
      <c r="W231" s="450"/>
      <c r="X231" s="450"/>
      <c r="Y231" s="450"/>
      <c r="Z231" s="450"/>
      <c r="AA231" s="450">
        <f>AA74</f>
        <v>-122.9229999999999</v>
      </c>
      <c r="AB231" s="450"/>
      <c r="AC231" s="450"/>
      <c r="AD231" s="450"/>
      <c r="AE231" s="450"/>
      <c r="AF231" s="450">
        <f>AF74</f>
        <v>0.36000000000008114</v>
      </c>
      <c r="AG231" s="450"/>
      <c r="AH231" s="450"/>
      <c r="AI231" s="450"/>
      <c r="AJ231" s="450"/>
      <c r="AK231" s="450">
        <f>AK74</f>
        <v>74.151999999999887</v>
      </c>
      <c r="AL231" s="450"/>
      <c r="AM231" s="450"/>
      <c r="AN231" s="450"/>
      <c r="AO231" s="450"/>
      <c r="AP231" s="450">
        <f>AP74</f>
        <v>100.0303781503269</v>
      </c>
      <c r="AQ231" s="450"/>
      <c r="AR231" s="450"/>
      <c r="AS231" s="450"/>
      <c r="AT231" s="450"/>
      <c r="AU231" s="450">
        <f>AU74</f>
        <v>167.79790989014606</v>
      </c>
      <c r="AV231" s="450"/>
      <c r="AW231" s="450"/>
      <c r="AX231" s="450"/>
      <c r="AY231" s="450"/>
      <c r="AZ231" s="450">
        <f>AZ74</f>
        <v>375.20183515360935</v>
      </c>
      <c r="BA231" s="450"/>
      <c r="BB231" s="450"/>
      <c r="BC231" s="450"/>
      <c r="BD231" s="450"/>
      <c r="BE231" s="450">
        <f>BE74</f>
        <v>635.1506116430063</v>
      </c>
      <c r="BF231" s="450"/>
      <c r="BG231" s="450"/>
      <c r="BH231" s="450"/>
      <c r="BI231" s="450"/>
      <c r="BJ231" s="450">
        <f>BJ74</f>
        <v>918.87511058420921</v>
      </c>
      <c r="BK231" s="450"/>
      <c r="BL231" s="450"/>
      <c r="BM231" s="450"/>
      <c r="BN231" s="450"/>
      <c r="BO231" s="450">
        <f>BO74</f>
        <v>1229.1270383241865</v>
      </c>
      <c r="BP231" s="450"/>
      <c r="BQ231" s="450"/>
      <c r="BR231" s="450"/>
      <c r="BS231" s="450"/>
      <c r="BT231" s="450">
        <f>BT74</f>
        <v>1604.870155953729</v>
      </c>
      <c r="BU231" s="450"/>
      <c r="BV231" s="450"/>
      <c r="BW231" s="450"/>
      <c r="BX231" s="450"/>
      <c r="BY231" s="450">
        <f>BY74</f>
        <v>2004.8473838060006</v>
      </c>
      <c r="BZ231" s="450"/>
      <c r="CA231" s="450"/>
      <c r="CB231" s="450"/>
      <c r="CC231" s="450"/>
      <c r="CD231" s="450">
        <f>CD74</f>
        <v>2359.4441942883141</v>
      </c>
      <c r="CE231" s="450"/>
      <c r="CF231" s="450"/>
      <c r="CG231" s="450"/>
      <c r="CH231" s="450"/>
      <c r="CI231" s="450">
        <f>CI74</f>
        <v>2660.2641557124462</v>
      </c>
      <c r="CJ231" s="450"/>
      <c r="CK231" s="450"/>
      <c r="CL231" s="450"/>
      <c r="CM231" s="450"/>
      <c r="CN231" s="450">
        <f>CN74</f>
        <v>2868.3206178577748</v>
      </c>
      <c r="CO231" s="450"/>
      <c r="CP231" s="450"/>
      <c r="CQ231" s="450"/>
      <c r="CR231" s="450"/>
      <c r="CS231" s="450">
        <f>CS74</f>
        <v>3096.8850838097201</v>
      </c>
      <c r="CT231" s="450"/>
      <c r="CU231" s="450"/>
      <c r="CV231" s="450"/>
      <c r="CW231" s="450"/>
      <c r="CX231" s="450">
        <f>CX74</f>
        <v>3319.0933669526457</v>
      </c>
    </row>
    <row r="232" spans="1:102">
      <c r="B232" s="446" t="s">
        <v>402</v>
      </c>
      <c r="C232" s="70"/>
      <c r="D232" s="70"/>
      <c r="E232" s="70"/>
      <c r="F232" s="70"/>
      <c r="G232" s="70"/>
      <c r="H232" s="70"/>
      <c r="I232" s="70"/>
      <c r="J232" s="70"/>
      <c r="K232" s="70"/>
      <c r="L232" s="450"/>
      <c r="M232" s="450"/>
      <c r="N232" s="450"/>
      <c r="O232" s="450"/>
      <c r="P232" s="450"/>
      <c r="Q232" s="450"/>
      <c r="R232" s="450"/>
      <c r="S232" s="450"/>
      <c r="T232" s="450"/>
      <c r="U232" s="450"/>
      <c r="V232" s="450"/>
      <c r="W232" s="450"/>
      <c r="X232" s="450"/>
      <c r="Y232" s="450"/>
      <c r="Z232" s="450"/>
      <c r="AA232" s="450"/>
      <c r="AB232" s="450"/>
      <c r="AC232" s="450"/>
      <c r="AD232" s="450"/>
      <c r="AE232" s="450"/>
      <c r="AF232" s="450">
        <f>IF(AF230+AF231&lt;0,AF230+AF231,0)</f>
        <v>-188.56899999999993</v>
      </c>
      <c r="AG232" s="450"/>
      <c r="AH232" s="450"/>
      <c r="AI232" s="450"/>
      <c r="AJ232" s="450"/>
      <c r="AK232" s="450">
        <f>IF(AK230+AK231&lt;0,AK230+AK231,0)</f>
        <v>0</v>
      </c>
      <c r="AL232" s="450"/>
      <c r="AM232" s="450"/>
      <c r="AN232" s="450"/>
      <c r="AO232" s="450"/>
      <c r="AP232" s="450">
        <f>IF(AP230+AP231&lt;0,AP230+AP231,0)</f>
        <v>0</v>
      </c>
      <c r="AQ232" s="450"/>
      <c r="AR232" s="450"/>
      <c r="AS232" s="450"/>
      <c r="AT232" s="450"/>
      <c r="AU232" s="450">
        <f>IF(AU230+AU231&lt;0,AU230+AU231,0)</f>
        <v>0</v>
      </c>
      <c r="AV232" s="450"/>
      <c r="AW232" s="450"/>
      <c r="AX232" s="450"/>
      <c r="AY232" s="450"/>
      <c r="AZ232" s="450">
        <f>IF(AZ230+AZ231&lt;0,AZ230+AZ231,0)</f>
        <v>0</v>
      </c>
      <c r="BA232" s="450"/>
      <c r="BB232" s="450"/>
      <c r="BC232" s="450"/>
      <c r="BD232" s="450"/>
      <c r="BE232" s="450">
        <f>IF(BE230+BE231&lt;0,BE230+BE231,0)</f>
        <v>0</v>
      </c>
      <c r="BF232" s="450"/>
      <c r="BG232" s="450"/>
      <c r="BH232" s="450"/>
      <c r="BI232" s="450"/>
      <c r="BJ232" s="450">
        <f>IF(BJ230+BJ231&lt;0,BJ230+BJ231,0)</f>
        <v>0</v>
      </c>
      <c r="BK232" s="450"/>
      <c r="BL232" s="450"/>
      <c r="BM232" s="450"/>
      <c r="BN232" s="450"/>
      <c r="BO232" s="450">
        <f>IF(BO230+BO231&lt;0,BO230+BO231,0)</f>
        <v>0</v>
      </c>
      <c r="BP232" s="450"/>
      <c r="BQ232" s="450"/>
      <c r="BR232" s="450"/>
      <c r="BS232" s="450"/>
      <c r="BT232" s="450">
        <f>IF(BT230+BT231&lt;0,BT230+BT231,0)</f>
        <v>0</v>
      </c>
      <c r="BU232" s="450"/>
      <c r="BV232" s="450"/>
      <c r="BW232" s="450"/>
      <c r="BX232" s="450"/>
      <c r="BY232" s="450">
        <f>IF(BY230+BY231&lt;0,BY230+BY231,0)</f>
        <v>0</v>
      </c>
      <c r="BZ232" s="450"/>
      <c r="CA232" s="450"/>
      <c r="CB232" s="450"/>
      <c r="CC232" s="450"/>
      <c r="CD232" s="450">
        <f>IF(CD230+CD231&lt;0,CD230+CD231,0)</f>
        <v>0</v>
      </c>
      <c r="CE232" s="450"/>
      <c r="CF232" s="450"/>
      <c r="CG232" s="450"/>
      <c r="CH232" s="450"/>
      <c r="CI232" s="450">
        <f>IF(CI230+CI231&lt;0,CI230+CI231,0)</f>
        <v>0</v>
      </c>
      <c r="CJ232" s="450"/>
      <c r="CK232" s="450"/>
      <c r="CL232" s="450"/>
      <c r="CM232" s="450"/>
      <c r="CN232" s="450">
        <f>IF(CN230+CN231&lt;0,CN230+CN231,0)</f>
        <v>0</v>
      </c>
      <c r="CO232" s="450"/>
      <c r="CP232" s="450"/>
      <c r="CQ232" s="450"/>
      <c r="CR232" s="450"/>
      <c r="CS232" s="450">
        <f>IF(CS230+CS231&lt;0,CS230+CS231,0)</f>
        <v>0</v>
      </c>
      <c r="CT232" s="450"/>
      <c r="CU232" s="450"/>
      <c r="CV232" s="450"/>
      <c r="CW232" s="450"/>
      <c r="CX232" s="450">
        <f>IF(CX230+CX231&lt;0,CX230+CX231,0)</f>
        <v>0</v>
      </c>
    </row>
    <row r="233" spans="1:102">
      <c r="B233" s="446"/>
      <c r="C233" s="70"/>
      <c r="D233" s="70"/>
      <c r="E233" s="70"/>
      <c r="F233" s="70"/>
      <c r="G233" s="70"/>
      <c r="H233" s="70"/>
      <c r="I233" s="70"/>
      <c r="J233" s="70"/>
      <c r="K233" s="70"/>
      <c r="L233" s="70"/>
      <c r="M233" s="70"/>
      <c r="N233" s="70"/>
      <c r="O233" s="70"/>
      <c r="P233" s="70"/>
      <c r="Q233" s="70"/>
      <c r="R233" s="70"/>
      <c r="S233" s="70"/>
      <c r="T233" s="70"/>
      <c r="U233" s="70"/>
      <c r="V233" s="70"/>
      <c r="W233" s="70"/>
      <c r="X233" s="70"/>
      <c r="Y233" s="70"/>
      <c r="Z233" s="70"/>
      <c r="AA233" s="70"/>
      <c r="AB233" s="70"/>
      <c r="AC233" s="70"/>
      <c r="AD233" s="70"/>
      <c r="AE233" s="70"/>
      <c r="AF233" s="70"/>
      <c r="AG233" s="70"/>
      <c r="AH233" s="70"/>
      <c r="AI233" s="70"/>
      <c r="AJ233" s="70"/>
      <c r="AK233" s="70"/>
      <c r="AL233" s="70"/>
      <c r="AM233" s="70"/>
      <c r="AN233" s="70"/>
      <c r="AO233" s="70"/>
      <c r="AP233" s="70"/>
      <c r="AQ233" s="70"/>
      <c r="AR233" s="70"/>
      <c r="AS233" s="70"/>
      <c r="AT233" s="70"/>
      <c r="AU233" s="70"/>
      <c r="AV233" s="70"/>
      <c r="AW233" s="70"/>
      <c r="AX233" s="70"/>
      <c r="AY233" s="70"/>
      <c r="AZ233" s="70"/>
      <c r="BA233" s="70"/>
      <c r="BB233" s="70"/>
      <c r="BC233" s="70"/>
      <c r="BD233" s="70"/>
      <c r="BE233" s="70"/>
      <c r="BF233" s="70"/>
      <c r="BG233" s="70"/>
      <c r="BH233" s="70"/>
      <c r="BI233" s="70"/>
      <c r="BJ233" s="70"/>
      <c r="BK233" s="70"/>
      <c r="BL233" s="70"/>
      <c r="BM233" s="70"/>
      <c r="BN233" s="70"/>
      <c r="BO233" s="70"/>
      <c r="BP233" s="70"/>
      <c r="BQ233" s="70"/>
      <c r="BR233" s="70"/>
      <c r="BS233" s="70"/>
      <c r="BT233" s="70"/>
      <c r="BU233" s="70"/>
      <c r="BV233" s="70"/>
      <c r="BW233" s="70"/>
      <c r="BX233" s="70"/>
      <c r="BY233" s="70"/>
      <c r="BZ233" s="70"/>
      <c r="CA233" s="70"/>
      <c r="CB233" s="70"/>
      <c r="CC233" s="70"/>
      <c r="CD233" s="70"/>
      <c r="CE233" s="70"/>
      <c r="CF233" s="70"/>
      <c r="CG233" s="70"/>
      <c r="CH233" s="70"/>
      <c r="CI233" s="70"/>
      <c r="CJ233" s="70"/>
      <c r="CK233" s="70"/>
      <c r="CL233" s="70"/>
      <c r="CM233" s="70"/>
      <c r="CN233" s="70"/>
      <c r="CO233" s="70"/>
      <c r="CP233" s="70"/>
      <c r="CQ233" s="70"/>
      <c r="CR233" s="70"/>
      <c r="CS233" s="70"/>
      <c r="CT233" s="70"/>
      <c r="CU233" s="70"/>
      <c r="CV233" s="70"/>
      <c r="CW233" s="70"/>
      <c r="CX233" s="70"/>
    </row>
    <row r="234" spans="1:102">
      <c r="B234" s="446" t="s">
        <v>403</v>
      </c>
      <c r="C234" s="70"/>
      <c r="D234" s="70"/>
      <c r="E234" s="70"/>
      <c r="F234" s="70"/>
      <c r="G234" s="70"/>
      <c r="H234" s="70"/>
      <c r="I234" s="70"/>
      <c r="J234" s="70"/>
      <c r="K234" s="70"/>
      <c r="L234" s="450"/>
      <c r="M234" s="450"/>
      <c r="N234" s="450"/>
      <c r="O234" s="450"/>
      <c r="P234" s="450"/>
      <c r="Q234" s="450"/>
      <c r="R234" s="450"/>
      <c r="S234" s="450"/>
      <c r="T234" s="450"/>
      <c r="U234" s="450"/>
      <c r="V234" s="450"/>
      <c r="W234" s="450"/>
      <c r="X234" s="450"/>
      <c r="Y234" s="450"/>
      <c r="Z234" s="450"/>
      <c r="AA234" s="450"/>
      <c r="AB234" s="450"/>
      <c r="AC234" s="450"/>
      <c r="AD234" s="450"/>
      <c r="AE234" s="450"/>
      <c r="AF234" s="450">
        <f>IF(AF230+AF231&lt;0,0,AF230+AF231)</f>
        <v>0</v>
      </c>
      <c r="AG234" s="450"/>
      <c r="AH234" s="450"/>
      <c r="AI234" s="450"/>
      <c r="AJ234" s="450"/>
      <c r="AK234" s="450">
        <f>IF(AK230+AK231&lt;0,0,AK230+AK231)</f>
        <v>74.151999999999887</v>
      </c>
      <c r="AL234" s="450"/>
      <c r="AM234" s="450"/>
      <c r="AN234" s="450"/>
      <c r="AO234" s="450"/>
      <c r="AP234" s="450">
        <f>IF(AP230+AP231&lt;0,0,AP230+AP231)</f>
        <v>100.0303781503269</v>
      </c>
      <c r="AQ234" s="450"/>
      <c r="AR234" s="450"/>
      <c r="AS234" s="450"/>
      <c r="AT234" s="450"/>
      <c r="AU234" s="450">
        <f>IF(AU230+AU231&lt;0,0,AU230+AU231)</f>
        <v>167.79790989014606</v>
      </c>
      <c r="AV234" s="450"/>
      <c r="AW234" s="450"/>
      <c r="AX234" s="450"/>
      <c r="AY234" s="450"/>
      <c r="AZ234" s="450">
        <f>IF(AZ230+AZ231&lt;0,0,AZ230+AZ231)</f>
        <v>375.20183515360935</v>
      </c>
      <c r="BA234" s="450"/>
      <c r="BB234" s="450"/>
      <c r="BC234" s="450"/>
      <c r="BD234" s="450"/>
      <c r="BE234" s="450">
        <f>IF(BE230+BE231&lt;0,0,BE230+BE231)</f>
        <v>635.1506116430063</v>
      </c>
      <c r="BF234" s="450"/>
      <c r="BG234" s="450"/>
      <c r="BH234" s="450"/>
      <c r="BI234" s="450"/>
      <c r="BJ234" s="450">
        <f>IF(BJ230+BJ231&lt;0,0,BJ230+BJ231)</f>
        <v>918.87511058420921</v>
      </c>
      <c r="BK234" s="450"/>
      <c r="BL234" s="450"/>
      <c r="BM234" s="450"/>
      <c r="BN234" s="450"/>
      <c r="BO234" s="450">
        <f>IF(BO230+BO231&lt;0,0,BO230+BO231)</f>
        <v>1229.1270383241865</v>
      </c>
      <c r="BP234" s="450"/>
      <c r="BQ234" s="450"/>
      <c r="BR234" s="450"/>
      <c r="BS234" s="450"/>
      <c r="BT234" s="450">
        <f>IF(BT230+BT231&lt;0,0,BT230+BT231)</f>
        <v>1604.870155953729</v>
      </c>
      <c r="BU234" s="450"/>
      <c r="BV234" s="450"/>
      <c r="BW234" s="450"/>
      <c r="BX234" s="450"/>
      <c r="BY234" s="450">
        <f>IF(BY230+BY231&lt;0,0,BY230+BY231)</f>
        <v>2004.8473838060006</v>
      </c>
      <c r="BZ234" s="450"/>
      <c r="CA234" s="450"/>
      <c r="CB234" s="450"/>
      <c r="CC234" s="450"/>
      <c r="CD234" s="450">
        <f>IF(CD230+CD231&lt;0,0,CD230+CD231)</f>
        <v>2359.4441942883141</v>
      </c>
      <c r="CE234" s="450"/>
      <c r="CF234" s="450"/>
      <c r="CG234" s="450"/>
      <c r="CH234" s="450"/>
      <c r="CI234" s="450">
        <f>IF(CI230+CI231&lt;0,0,CI230+CI231)</f>
        <v>2660.2641557124462</v>
      </c>
      <c r="CJ234" s="450"/>
      <c r="CK234" s="450"/>
      <c r="CL234" s="450"/>
      <c r="CM234" s="450"/>
      <c r="CN234" s="450">
        <f>IF(CN230+CN231&lt;0,0,CN230+CN231)</f>
        <v>2868.3206178577748</v>
      </c>
      <c r="CO234" s="450"/>
      <c r="CP234" s="450"/>
      <c r="CQ234" s="450"/>
      <c r="CR234" s="450"/>
      <c r="CS234" s="450">
        <f>IF(CS230+CS231&lt;0,0,CS230+CS231)</f>
        <v>3096.8850838097201</v>
      </c>
      <c r="CT234" s="450"/>
      <c r="CU234" s="450"/>
      <c r="CV234" s="450"/>
      <c r="CW234" s="450"/>
      <c r="CX234" s="450">
        <f>IF(CX230+CX231&lt;0,0,CX230+CX231)</f>
        <v>3319.0933669526457</v>
      </c>
    </row>
    <row r="235" spans="1:102">
      <c r="B235" s="446" t="s">
        <v>404</v>
      </c>
      <c r="C235" s="70"/>
      <c r="D235" s="70"/>
      <c r="E235" s="70"/>
      <c r="F235" s="70"/>
      <c r="G235" s="70"/>
      <c r="H235" s="70"/>
      <c r="I235" s="70"/>
      <c r="J235" s="70"/>
      <c r="K235" s="70"/>
      <c r="L235" s="450"/>
      <c r="M235" s="450"/>
      <c r="N235" s="450"/>
      <c r="O235" s="450"/>
      <c r="P235" s="450"/>
      <c r="Q235" s="450"/>
      <c r="R235" s="450"/>
      <c r="S235" s="450"/>
      <c r="T235" s="450"/>
      <c r="U235" s="450"/>
      <c r="V235" s="450"/>
      <c r="W235" s="450"/>
      <c r="X235" s="450"/>
      <c r="Y235" s="450"/>
      <c r="Z235" s="450"/>
      <c r="AA235" s="450"/>
      <c r="AB235" s="450"/>
      <c r="AC235" s="450"/>
      <c r="AD235" s="450"/>
      <c r="AE235" s="450"/>
      <c r="AF235" s="450">
        <f>IF(AF232&lt;0,0,AF229*AF231)</f>
        <v>0</v>
      </c>
      <c r="AG235" s="450"/>
      <c r="AH235" s="450"/>
      <c r="AI235" s="450"/>
      <c r="AJ235" s="450"/>
      <c r="AK235" s="450">
        <f>IF(AK232&lt;0,0,AK229*AK231)</f>
        <v>14.830399999999978</v>
      </c>
      <c r="AL235" s="450"/>
      <c r="AM235" s="450"/>
      <c r="AN235" s="450"/>
      <c r="AO235" s="450"/>
      <c r="AP235" s="450">
        <f>IF(AP232&lt;0,0,AP229*AP231)</f>
        <v>20.006075630065382</v>
      </c>
      <c r="AQ235" s="450"/>
      <c r="AR235" s="450"/>
      <c r="AS235" s="450"/>
      <c r="AT235" s="450"/>
      <c r="AU235" s="450">
        <f>IF(AU232&lt;0,0,AU229*AU231)</f>
        <v>33.559581978029215</v>
      </c>
      <c r="AV235" s="450"/>
      <c r="AW235" s="450"/>
      <c r="AX235" s="450"/>
      <c r="AY235" s="450"/>
      <c r="AZ235" s="450">
        <f>IF(AZ232&lt;0,0,AZ229*AZ231)</f>
        <v>75.040367030721868</v>
      </c>
      <c r="BA235" s="450"/>
      <c r="BB235" s="450"/>
      <c r="BC235" s="450"/>
      <c r="BD235" s="450"/>
      <c r="BE235" s="450">
        <f>IF(BE232&lt;0,0,BE229*BE231)</f>
        <v>127.03012232860127</v>
      </c>
      <c r="BF235" s="450"/>
      <c r="BG235" s="450"/>
      <c r="BH235" s="450"/>
      <c r="BI235" s="450"/>
      <c r="BJ235" s="450">
        <f>IF(BJ232&lt;0,0,BJ229*BJ231)</f>
        <v>183.77502211684185</v>
      </c>
      <c r="BK235" s="450"/>
      <c r="BL235" s="450"/>
      <c r="BM235" s="450"/>
      <c r="BN235" s="450"/>
      <c r="BO235" s="450">
        <f>IF(BO232&lt;0,0,BO229*BO231)</f>
        <v>245.82540766483731</v>
      </c>
      <c r="BP235" s="450"/>
      <c r="BQ235" s="450"/>
      <c r="BR235" s="450"/>
      <c r="BS235" s="450"/>
      <c r="BT235" s="450">
        <f>IF(BT232&lt;0,0,BT229*BT231)</f>
        <v>320.97403119074579</v>
      </c>
      <c r="BU235" s="450"/>
      <c r="BV235" s="450"/>
      <c r="BW235" s="450"/>
      <c r="BX235" s="450"/>
      <c r="BY235" s="450">
        <f>IF(BY232&lt;0,0,BY229*BY231)</f>
        <v>400.96947676120016</v>
      </c>
      <c r="BZ235" s="450"/>
      <c r="CA235" s="450"/>
      <c r="CB235" s="450"/>
      <c r="CC235" s="450"/>
      <c r="CD235" s="450">
        <f>IF(CD232&lt;0,0,CD229*CD231)</f>
        <v>471.88883885766285</v>
      </c>
      <c r="CE235" s="450"/>
      <c r="CF235" s="450"/>
      <c r="CG235" s="450"/>
      <c r="CH235" s="450"/>
      <c r="CI235" s="450">
        <f>IF(CI232&lt;0,0,CI229*CI231)</f>
        <v>532.05283114248925</v>
      </c>
      <c r="CJ235" s="450"/>
      <c r="CK235" s="450"/>
      <c r="CL235" s="450"/>
      <c r="CM235" s="450"/>
      <c r="CN235" s="450">
        <f>IF(CN232&lt;0,0,CN229*CN231)</f>
        <v>573.66412357155502</v>
      </c>
      <c r="CO235" s="450"/>
      <c r="CP235" s="450"/>
      <c r="CQ235" s="450"/>
      <c r="CR235" s="450"/>
      <c r="CS235" s="450">
        <f>IF(CS232&lt;0,0,CS229*CS231)</f>
        <v>619.37701676194411</v>
      </c>
      <c r="CT235" s="450"/>
      <c r="CU235" s="450"/>
      <c r="CV235" s="450"/>
      <c r="CW235" s="450"/>
      <c r="CX235" s="450">
        <f>IF(CX232&lt;0,0,CX229*CX231)</f>
        <v>663.81867339052917</v>
      </c>
    </row>
    <row r="236" spans="1:102">
      <c r="B236" s="447" t="s">
        <v>405</v>
      </c>
      <c r="C236" s="67"/>
      <c r="D236" s="67"/>
      <c r="E236" s="67"/>
      <c r="F236" s="67"/>
      <c r="G236" s="235"/>
      <c r="H236" s="235"/>
      <c r="I236" s="235"/>
      <c r="J236" s="235"/>
      <c r="K236" s="235"/>
      <c r="L236" s="235"/>
      <c r="M236" s="235"/>
      <c r="N236" s="235"/>
      <c r="O236" s="235"/>
      <c r="P236" s="235"/>
      <c r="Q236" s="235"/>
      <c r="R236" s="235"/>
      <c r="S236" s="235"/>
      <c r="T236" s="235"/>
      <c r="U236" s="235"/>
      <c r="V236" s="235"/>
      <c r="W236" s="235"/>
      <c r="X236" s="235"/>
      <c r="Y236" s="235"/>
      <c r="Z236" s="235"/>
      <c r="AA236" s="235"/>
      <c r="AB236" s="235"/>
      <c r="AC236" s="235"/>
      <c r="AD236" s="235"/>
      <c r="AE236" s="235"/>
      <c r="AF236" s="235">
        <f>AF234*AF229</f>
        <v>0</v>
      </c>
      <c r="AG236" s="235"/>
      <c r="AH236" s="235"/>
      <c r="AI236" s="235"/>
      <c r="AJ236" s="235"/>
      <c r="AK236" s="235">
        <f>AK234*AK229</f>
        <v>14.830399999999978</v>
      </c>
      <c r="AL236" s="235"/>
      <c r="AM236" s="235"/>
      <c r="AN236" s="235"/>
      <c r="AO236" s="235"/>
      <c r="AP236" s="235">
        <f>AP234*AP229</f>
        <v>20.006075630065382</v>
      </c>
      <c r="AQ236" s="235"/>
      <c r="AR236" s="235"/>
      <c r="AS236" s="235"/>
      <c r="AT236" s="235"/>
      <c r="AU236" s="235">
        <f>AU234*AU229</f>
        <v>33.559581978029215</v>
      </c>
      <c r="AV236" s="235"/>
      <c r="AW236" s="235"/>
      <c r="AX236" s="235"/>
      <c r="AY236" s="235"/>
      <c r="AZ236" s="235">
        <f>AZ234*AZ229</f>
        <v>75.040367030721868</v>
      </c>
      <c r="BA236" s="235"/>
      <c r="BB236" s="235"/>
      <c r="BC236" s="235"/>
      <c r="BD236" s="235"/>
      <c r="BE236" s="235">
        <f>BE234*BE229</f>
        <v>127.03012232860127</v>
      </c>
      <c r="BF236" s="235"/>
      <c r="BG236" s="235"/>
      <c r="BH236" s="235"/>
      <c r="BI236" s="235"/>
      <c r="BJ236" s="235">
        <f>BJ234*BJ229</f>
        <v>183.77502211684185</v>
      </c>
      <c r="BK236" s="235"/>
      <c r="BL236" s="235"/>
      <c r="BM236" s="235"/>
      <c r="BN236" s="235"/>
      <c r="BO236" s="235">
        <f>BO234*BO229</f>
        <v>245.82540766483731</v>
      </c>
      <c r="BP236" s="235"/>
      <c r="BQ236" s="235"/>
      <c r="BR236" s="235"/>
      <c r="BS236" s="235"/>
      <c r="BT236" s="235">
        <f>BT234*BT229</f>
        <v>320.97403119074579</v>
      </c>
      <c r="BU236" s="235"/>
      <c r="BV236" s="235"/>
      <c r="BW236" s="235"/>
      <c r="BX236" s="235"/>
      <c r="BY236" s="235">
        <f>BY234*BY229</f>
        <v>400.96947676120016</v>
      </c>
      <c r="BZ236" s="235"/>
      <c r="CA236" s="235"/>
      <c r="CB236" s="235"/>
      <c r="CC236" s="235"/>
      <c r="CD236" s="235">
        <f>CD234*CD229</f>
        <v>471.88883885766285</v>
      </c>
      <c r="CE236" s="235"/>
      <c r="CF236" s="235"/>
      <c r="CG236" s="235"/>
      <c r="CH236" s="235"/>
      <c r="CI236" s="235">
        <f>CI234*CI229</f>
        <v>532.05283114248925</v>
      </c>
      <c r="CJ236" s="235"/>
      <c r="CK236" s="235"/>
      <c r="CL236" s="235"/>
      <c r="CM236" s="235"/>
      <c r="CN236" s="235">
        <f>CN234*CN229</f>
        <v>573.66412357155502</v>
      </c>
      <c r="CO236" s="235"/>
      <c r="CP236" s="235"/>
      <c r="CQ236" s="235"/>
      <c r="CR236" s="235"/>
      <c r="CS236" s="235">
        <f>CS234*CS229</f>
        <v>619.37701676194411</v>
      </c>
      <c r="CT236" s="235"/>
      <c r="CU236" s="235"/>
      <c r="CV236" s="235"/>
      <c r="CW236" s="235"/>
      <c r="CX236" s="235">
        <f>CX234*CX229</f>
        <v>663.81867339052917</v>
      </c>
    </row>
    <row r="240" spans="1:102" customFormat="1"/>
  </sheetData>
  <phoneticPr fontId="4" type="noConversion"/>
  <pageMargins left="0" right="0" top="0" bottom="0" header="0" footer="0"/>
  <pageSetup paperSize="5" scale="25" orientation="landscape" r:id="rId1"/>
  <headerFooter alignWithMargins="0"/>
  <ignoredErrors>
    <ignoredError sqref="AK109:AK118 AK74" formula="1"/>
    <ignoredError sqref="AH109:AJ109"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2"/>
  <sheetViews>
    <sheetView zoomScaleNormal="100" workbookViewId="0"/>
  </sheetViews>
  <sheetFormatPr defaultRowHeight="13.5"/>
  <sheetData>
    <row r="1" spans="1:6">
      <c r="A1" t="s">
        <v>157</v>
      </c>
    </row>
    <row r="2" spans="1:6">
      <c r="A2" s="2" t="s">
        <v>154</v>
      </c>
      <c r="B2" s="2" t="s">
        <v>565</v>
      </c>
      <c r="C2" s="2" t="s">
        <v>156</v>
      </c>
      <c r="D2" s="2" t="s">
        <v>620</v>
      </c>
      <c r="E2" s="2" t="s">
        <v>155</v>
      </c>
      <c r="F2" s="2" t="s">
        <v>149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2:AR236"/>
  <sheetViews>
    <sheetView topLeftCell="Q1" zoomScale="85" zoomScaleNormal="85" workbookViewId="0">
      <selection activeCell="AF40" sqref="AF40"/>
    </sheetView>
  </sheetViews>
  <sheetFormatPr defaultRowHeight="12.75" outlineLevelRow="1" outlineLevelCol="1"/>
  <cols>
    <col min="1" max="1" width="9" style="64"/>
    <col min="2" max="2" width="58.25" style="64" bestFit="1" customWidth="1"/>
    <col min="3" max="6" width="9.75" style="413" hidden="1" customWidth="1" outlineLevel="1"/>
    <col min="7" max="7" width="9.75" style="413" hidden="1" customWidth="1" collapsed="1"/>
    <col min="8" max="11" width="9.75" style="413" hidden="1" customWidth="1" outlineLevel="1"/>
    <col min="12" max="12" width="9.75" style="413" hidden="1" customWidth="1" collapsed="1"/>
    <col min="13" max="16" width="9.75" style="413" hidden="1" customWidth="1" outlineLevel="1"/>
    <col min="17" max="17" width="9.75" style="64" customWidth="1" collapsed="1"/>
    <col min="18" max="21" width="9.75" style="413" customWidth="1" outlineLevel="1"/>
    <col min="22" max="22" width="9.75" style="413" customWidth="1"/>
    <col min="23" max="26" width="9.75" style="413" customWidth="1" outlineLevel="1"/>
    <col min="27" max="27" width="9.75" style="413" customWidth="1"/>
    <col min="28" max="31" width="9.75" style="413" customWidth="1" outlineLevel="1"/>
    <col min="32" max="39" width="9.75" style="64" customWidth="1"/>
    <col min="40" max="16384" width="9" style="64"/>
  </cols>
  <sheetData>
    <row r="2" spans="2:44">
      <c r="B2" s="220"/>
      <c r="C2" s="220" t="s">
        <v>11</v>
      </c>
      <c r="D2" s="220" t="s">
        <v>1</v>
      </c>
      <c r="E2" s="220" t="s">
        <v>102</v>
      </c>
      <c r="F2" s="220" t="s">
        <v>104</v>
      </c>
      <c r="G2" s="220">
        <v>2013</v>
      </c>
      <c r="H2" s="220" t="s">
        <v>95</v>
      </c>
      <c r="I2" s="220" t="s">
        <v>97</v>
      </c>
      <c r="J2" s="220" t="s">
        <v>106</v>
      </c>
      <c r="K2" s="220" t="s">
        <v>96</v>
      </c>
      <c r="L2" s="220">
        <v>2014</v>
      </c>
      <c r="M2" s="220" t="s">
        <v>98</v>
      </c>
      <c r="N2" s="220" t="s">
        <v>99</v>
      </c>
      <c r="O2" s="220" t="s">
        <v>148</v>
      </c>
      <c r="P2" s="220" t="s">
        <v>100</v>
      </c>
      <c r="Q2" s="220">
        <v>2015</v>
      </c>
      <c r="R2" s="220" t="s">
        <v>101</v>
      </c>
      <c r="S2" s="220" t="s">
        <v>158</v>
      </c>
      <c r="T2" s="220" t="s">
        <v>159</v>
      </c>
      <c r="U2" s="220" t="s">
        <v>52</v>
      </c>
      <c r="V2" s="220">
        <v>2016</v>
      </c>
      <c r="W2" s="220" t="s">
        <v>476</v>
      </c>
      <c r="X2" s="220" t="s">
        <v>477</v>
      </c>
      <c r="Y2" s="220" t="s">
        <v>478</v>
      </c>
      <c r="Z2" s="220" t="s">
        <v>479</v>
      </c>
      <c r="AA2" s="220">
        <v>2017</v>
      </c>
      <c r="AB2" s="220" t="s">
        <v>608</v>
      </c>
      <c r="AC2" s="220" t="s">
        <v>609</v>
      </c>
      <c r="AD2" s="220" t="s">
        <v>610</v>
      </c>
      <c r="AE2" s="220" t="s">
        <v>611</v>
      </c>
      <c r="AF2" s="220">
        <v>2018</v>
      </c>
      <c r="AG2" s="220">
        <v>2019</v>
      </c>
      <c r="AH2" s="220">
        <v>2020</v>
      </c>
      <c r="AI2" s="220">
        <v>2021</v>
      </c>
      <c r="AJ2" s="220">
        <v>2022</v>
      </c>
      <c r="AK2" s="220">
        <v>2023</v>
      </c>
      <c r="AL2" s="220">
        <v>2024</v>
      </c>
      <c r="AM2" s="220">
        <v>2025</v>
      </c>
      <c r="AN2" s="220">
        <v>2026</v>
      </c>
      <c r="AO2" s="220">
        <v>2027</v>
      </c>
      <c r="AP2" s="220">
        <v>2028</v>
      </c>
      <c r="AQ2" s="220">
        <v>2029</v>
      </c>
      <c r="AR2" s="220">
        <v>2030</v>
      </c>
    </row>
    <row r="3" spans="2:44">
      <c r="AN3" s="413"/>
      <c r="AO3" s="413"/>
      <c r="AP3" s="413"/>
      <c r="AQ3" s="413"/>
      <c r="AR3" s="413"/>
    </row>
    <row r="4" spans="2:44">
      <c r="B4" s="221" t="s">
        <v>260</v>
      </c>
      <c r="C4" s="222"/>
      <c r="D4" s="222"/>
      <c r="E4" s="222"/>
      <c r="F4" s="222"/>
      <c r="G4" s="222"/>
      <c r="H4" s="222"/>
      <c r="I4" s="222"/>
      <c r="J4" s="222"/>
      <c r="K4" s="222"/>
      <c r="L4" s="222"/>
      <c r="M4" s="222"/>
      <c r="N4" s="222"/>
      <c r="O4" s="222"/>
      <c r="P4" s="222"/>
      <c r="Q4" s="222"/>
      <c r="R4" s="222"/>
      <c r="S4" s="222"/>
      <c r="T4" s="222"/>
      <c r="U4" s="222"/>
      <c r="V4" s="222"/>
      <c r="W4" s="222"/>
      <c r="X4" s="222"/>
      <c r="Y4" s="222"/>
      <c r="Z4" s="222"/>
      <c r="AA4" s="222"/>
      <c r="AB4" s="735"/>
      <c r="AC4" s="735"/>
      <c r="AD4" s="735"/>
      <c r="AE4" s="735"/>
      <c r="AF4" s="222"/>
      <c r="AG4" s="222"/>
      <c r="AH4" s="222"/>
      <c r="AI4" s="222"/>
      <c r="AJ4" s="222"/>
      <c r="AK4" s="222"/>
      <c r="AL4" s="222"/>
      <c r="AM4" s="222"/>
      <c r="AN4" s="222"/>
      <c r="AO4" s="222"/>
      <c r="AP4" s="222"/>
      <c r="AQ4" s="222"/>
      <c r="AR4" s="222"/>
    </row>
    <row r="5" spans="2:44">
      <c r="B5" s="64" t="s">
        <v>82</v>
      </c>
      <c r="M5" s="416"/>
      <c r="N5" s="416"/>
      <c r="O5" s="416"/>
      <c r="P5" s="411"/>
      <c r="Q5" s="415"/>
      <c r="R5" s="416"/>
      <c r="S5" s="416"/>
      <c r="T5" s="416"/>
      <c r="U5" s="416"/>
      <c r="W5" s="416"/>
      <c r="X5" s="416"/>
      <c r="Y5" s="416"/>
      <c r="Z5" s="416"/>
      <c r="AB5" s="416"/>
      <c r="AC5" s="416"/>
      <c r="AD5" s="416"/>
      <c r="AE5" s="416"/>
      <c r="AN5" s="413"/>
      <c r="AO5" s="413"/>
      <c r="AP5" s="413"/>
      <c r="AQ5" s="413"/>
      <c r="AR5" s="413"/>
    </row>
    <row r="6" spans="2:44">
      <c r="B6" s="197" t="s">
        <v>266</v>
      </c>
      <c r="C6" s="223"/>
      <c r="D6" s="223"/>
      <c r="E6" s="223"/>
      <c r="F6" s="223"/>
      <c r="G6" s="223"/>
      <c r="H6" s="223"/>
      <c r="I6" s="223"/>
      <c r="J6" s="223"/>
      <c r="K6" s="223"/>
      <c r="L6" s="223">
        <f>Vimizim!BE62</f>
        <v>36.656424288034856</v>
      </c>
      <c r="M6" s="570"/>
      <c r="N6" s="570"/>
      <c r="O6" s="570"/>
      <c r="P6" s="570"/>
      <c r="Q6" s="223">
        <f>Vimizim!BF62</f>
        <v>77.642119689848499</v>
      </c>
      <c r="R6" s="570"/>
      <c r="S6" s="570"/>
      <c r="T6" s="570"/>
      <c r="U6" s="570"/>
      <c r="V6" s="223">
        <f>Vimizim!BG62</f>
        <v>117.91705628323572</v>
      </c>
      <c r="W6" s="570"/>
      <c r="X6" s="570"/>
      <c r="Y6" s="570"/>
      <c r="Z6" s="570"/>
      <c r="AA6" s="223">
        <f>Vimizim!BH62</f>
        <v>132.92051117068957</v>
      </c>
      <c r="AB6" s="570"/>
      <c r="AC6" s="570"/>
      <c r="AD6" s="570"/>
      <c r="AE6" s="570"/>
      <c r="AF6" s="223">
        <f>Vimizim!BI62</f>
        <v>148.41306135018934</v>
      </c>
      <c r="AG6" s="223">
        <f>Vimizim!BJ62</f>
        <v>162.74688757355386</v>
      </c>
      <c r="AH6" s="223">
        <f>Vimizim!BK62</f>
        <v>178.46508369221237</v>
      </c>
      <c r="AI6" s="223">
        <f>Vimizim!BL62</f>
        <v>195.70135301588351</v>
      </c>
      <c r="AJ6" s="223">
        <f>Vimizim!BM62</f>
        <v>209.61156056156122</v>
      </c>
      <c r="AK6" s="223">
        <f>Vimizim!BN62</f>
        <v>224.51048827182632</v>
      </c>
      <c r="AL6" s="223">
        <f>Vimizim!BO62</f>
        <v>240.4684131400773</v>
      </c>
      <c r="AM6" s="223">
        <f>Vimizim!BP62</f>
        <v>257.56060736055753</v>
      </c>
      <c r="AN6" s="223">
        <f>Vimizim!BQ62</f>
        <v>269.29941496715367</v>
      </c>
      <c r="AO6" s="223">
        <f>Vimizim!BR62</f>
        <v>281.5732407406847</v>
      </c>
      <c r="AP6" s="223">
        <f>Vimizim!BS62</f>
        <v>291.53421090178216</v>
      </c>
      <c r="AQ6" s="223">
        <f>Vimizim!BT62</f>
        <v>301.84756158841981</v>
      </c>
      <c r="AR6" s="223">
        <f>Vimizim!BU62</f>
        <v>312.5257586581169</v>
      </c>
    </row>
    <row r="7" spans="2:44">
      <c r="B7" s="197" t="s">
        <v>25</v>
      </c>
      <c r="C7" s="223"/>
      <c r="D7" s="223"/>
      <c r="E7" s="223"/>
      <c r="F7" s="223"/>
      <c r="G7" s="223"/>
      <c r="H7" s="223"/>
      <c r="I7" s="223"/>
      <c r="J7" s="223"/>
      <c r="K7" s="223"/>
      <c r="L7" s="223">
        <f>Vimizim!BE63</f>
        <v>20.475976814744911</v>
      </c>
      <c r="M7" s="570"/>
      <c r="N7" s="570"/>
      <c r="O7" s="570"/>
      <c r="P7" s="570"/>
      <c r="Q7" s="223">
        <f>Vimizim!BF63</f>
        <v>72.391011179150112</v>
      </c>
      <c r="R7" s="570"/>
      <c r="S7" s="570"/>
      <c r="T7" s="570"/>
      <c r="U7" s="570"/>
      <c r="V7" s="223">
        <f>Vimizim!BG63</f>
        <v>113.74931206600183</v>
      </c>
      <c r="W7" s="570"/>
      <c r="X7" s="570"/>
      <c r="Y7" s="570"/>
      <c r="Z7" s="570"/>
      <c r="AA7" s="223">
        <f>Vimizim!BH63</f>
        <v>129.69247010258636</v>
      </c>
      <c r="AB7" s="570"/>
      <c r="AC7" s="570"/>
      <c r="AD7" s="570"/>
      <c r="AE7" s="570"/>
      <c r="AF7" s="223">
        <f>Vimizim!BI63</f>
        <v>150.93907963220229</v>
      </c>
      <c r="AG7" s="223">
        <f>Vimizim!BJ63</f>
        <v>176.5360079820895</v>
      </c>
      <c r="AH7" s="223">
        <f>Vimizim!BK63</f>
        <v>206.47377862772817</v>
      </c>
      <c r="AI7" s="223">
        <f>Vimizim!BL63</f>
        <v>230.98902978553417</v>
      </c>
      <c r="AJ7" s="223">
        <f>Vimizim!BM63</f>
        <v>252.54198093499042</v>
      </c>
      <c r="AK7" s="223">
        <f>Vimizim!BN63</f>
        <v>276.10597868558676</v>
      </c>
      <c r="AL7" s="223">
        <f>Vimizim!BO63</f>
        <v>294.84846667773235</v>
      </c>
      <c r="AM7" s="223">
        <f>Vimizim!BP63</f>
        <v>307.36647946688538</v>
      </c>
      <c r="AN7" s="223">
        <f>Vimizim!BQ63</f>
        <v>320.41595387751153</v>
      </c>
      <c r="AO7" s="223">
        <f>Vimizim!BR63</f>
        <v>334.01945351134668</v>
      </c>
      <c r="AP7" s="223">
        <f>Vimizim!BS63</f>
        <v>348.20049992476106</v>
      </c>
      <c r="AQ7" s="223">
        <f>Vimizim!BT63</f>
        <v>362.98361329944169</v>
      </c>
      <c r="AR7" s="223">
        <f>Vimizim!BU63</f>
        <v>378.3943548397794</v>
      </c>
    </row>
    <row r="8" spans="2:44">
      <c r="B8" s="197" t="s">
        <v>68</v>
      </c>
      <c r="C8" s="223"/>
      <c r="D8" s="223"/>
      <c r="E8" s="223"/>
      <c r="F8" s="223"/>
      <c r="G8" s="223"/>
      <c r="H8" s="223"/>
      <c r="I8" s="223"/>
      <c r="J8" s="223"/>
      <c r="K8" s="223"/>
      <c r="L8" s="223">
        <f>Vimizim!BE64</f>
        <v>1.7544123796189819</v>
      </c>
      <c r="M8" s="570"/>
      <c r="N8" s="570"/>
      <c r="O8" s="570"/>
      <c r="P8" s="570"/>
      <c r="Q8" s="223">
        <f>Vimizim!BF64</f>
        <v>9.6704544257060299</v>
      </c>
      <c r="R8" s="570"/>
      <c r="S8" s="570"/>
      <c r="T8" s="570"/>
      <c r="U8" s="570"/>
      <c r="V8" s="223">
        <f>Vimizim!BG64</f>
        <v>12.794923741013836</v>
      </c>
      <c r="W8" s="570"/>
      <c r="X8" s="570"/>
      <c r="Y8" s="570"/>
      <c r="Z8" s="570"/>
      <c r="AA8" s="223">
        <f>Vimizim!BH64</f>
        <v>15.69977783970341</v>
      </c>
      <c r="AB8" s="570"/>
      <c r="AC8" s="570"/>
      <c r="AD8" s="570"/>
      <c r="AE8" s="570"/>
      <c r="AF8" s="223">
        <f>Vimizim!BI64</f>
        <v>18.100745054732368</v>
      </c>
      <c r="AG8" s="223">
        <f>Vimizim!BJ64</f>
        <v>20.975450414253391</v>
      </c>
      <c r="AH8" s="223">
        <f>Vimizim!BK64</f>
        <v>24.310521778278442</v>
      </c>
      <c r="AI8" s="223">
        <f>Vimizim!BL64</f>
        <v>26.955111845028846</v>
      </c>
      <c r="AJ8" s="223">
        <f>Vimizim!BM64</f>
        <v>29.212832388787639</v>
      </c>
      <c r="AK8" s="223">
        <f>Vimizim!BN64</f>
        <v>31.664812838496722</v>
      </c>
      <c r="AL8" s="223">
        <f>Vimizim!BO64</f>
        <v>33.529923297832163</v>
      </c>
      <c r="AM8" s="223">
        <f>Vimizim!BP64</f>
        <v>36.356300522482265</v>
      </c>
      <c r="AN8" s="223">
        <f>Vimizim!BQ64</f>
        <v>39.427558878010409</v>
      </c>
      <c r="AO8" s="223">
        <f>Vimizim!BR64</f>
        <v>42.765533790420797</v>
      </c>
      <c r="AP8" s="223">
        <f>Vimizim!BS64</f>
        <v>46.39406239306642</v>
      </c>
      <c r="AQ8" s="223">
        <f>Vimizim!BT64</f>
        <v>50.339171604013366</v>
      </c>
      <c r="AR8" s="223">
        <f>Vimizim!BU64</f>
        <v>54.629284236178528</v>
      </c>
    </row>
    <row r="9" spans="2:44">
      <c r="B9" s="197" t="s">
        <v>26</v>
      </c>
      <c r="C9" s="223"/>
      <c r="D9" s="223"/>
      <c r="E9" s="223"/>
      <c r="F9" s="223"/>
      <c r="G9" s="223"/>
      <c r="H9" s="223"/>
      <c r="I9" s="223"/>
      <c r="J9" s="223"/>
      <c r="K9" s="223"/>
      <c r="L9" s="223">
        <f>Vimizim!BE65</f>
        <v>18.418018359893008</v>
      </c>
      <c r="M9" s="570"/>
      <c r="N9" s="570"/>
      <c r="O9" s="570"/>
      <c r="P9" s="570"/>
      <c r="Q9" s="223">
        <f>Vimizim!BF65</f>
        <v>87.266070114752864</v>
      </c>
      <c r="R9" s="570"/>
      <c r="S9" s="570"/>
      <c r="T9" s="570"/>
      <c r="U9" s="570"/>
      <c r="V9" s="223">
        <f>Vimizim!BG65</f>
        <v>112.34113041236203</v>
      </c>
      <c r="W9" s="570"/>
      <c r="X9" s="570"/>
      <c r="Y9" s="570"/>
      <c r="Z9" s="570"/>
      <c r="AA9" s="223">
        <f>Vimizim!BH65</f>
        <v>140.70049030863382</v>
      </c>
      <c r="AB9" s="570"/>
      <c r="AC9" s="570"/>
      <c r="AD9" s="570"/>
      <c r="AE9" s="570"/>
      <c r="AF9" s="223">
        <f>Vimizim!BI65</f>
        <v>155.07769204617063</v>
      </c>
      <c r="AG9" s="223">
        <f>Vimizim!BJ65</f>
        <v>163.16001334572687</v>
      </c>
      <c r="AH9" s="223">
        <f>Vimizim!BK65</f>
        <v>171.66906958480328</v>
      </c>
      <c r="AI9" s="223">
        <f>Vimizim!BL65</f>
        <v>180.62761172027319</v>
      </c>
      <c r="AJ9" s="223">
        <f>Vimizim!BM65</f>
        <v>185.53438328424909</v>
      </c>
      <c r="AK9" s="223">
        <f>Vimizim!BN65</f>
        <v>190.58035470588703</v>
      </c>
      <c r="AL9" s="223">
        <f>Vimizim!BO65</f>
        <v>195.76956050449942</v>
      </c>
      <c r="AM9" s="223">
        <f>Vimizim!BP65</f>
        <v>201.10615312181903</v>
      </c>
      <c r="AN9" s="223">
        <f>Vimizim!BQ65</f>
        <v>206.59440637469569</v>
      </c>
      <c r="AO9" s="223">
        <f>Vimizim!BR65</f>
        <v>212.23871900876688</v>
      </c>
      <c r="AP9" s="223">
        <f>Vimizim!BS65</f>
        <v>215.9163635428192</v>
      </c>
      <c r="AQ9" s="223">
        <f>Vimizim!BT65</f>
        <v>219.66408577693159</v>
      </c>
      <c r="AR9" s="223">
        <f>Vimizim!BU65</f>
        <v>223.4832443466353</v>
      </c>
    </row>
    <row r="10" spans="2:44">
      <c r="B10" s="200" t="s">
        <v>258</v>
      </c>
      <c r="C10" s="224"/>
      <c r="D10" s="224"/>
      <c r="E10" s="224"/>
      <c r="F10" s="224"/>
      <c r="G10" s="224"/>
      <c r="H10" s="224">
        <f>H16+H14</f>
        <v>0.9</v>
      </c>
      <c r="I10" s="224">
        <f>I16+I14</f>
        <v>14.3</v>
      </c>
      <c r="J10" s="224">
        <f>J16+J14</f>
        <v>0</v>
      </c>
      <c r="K10" s="224">
        <f>K16+K14</f>
        <v>0</v>
      </c>
      <c r="L10" s="224">
        <f>SUM(L6:L9)</f>
        <v>77.304831842291762</v>
      </c>
      <c r="M10" s="571">
        <f>M16-M14</f>
        <v>54.921999999999997</v>
      </c>
      <c r="N10" s="571">
        <f>N16-N14</f>
        <v>57.678999999999995</v>
      </c>
      <c r="O10" s="571">
        <f>O16-O14</f>
        <v>71.205999999999989</v>
      </c>
      <c r="P10" s="571">
        <f>P16-P14</f>
        <v>63.193000000000012</v>
      </c>
      <c r="Q10" s="224">
        <f>P10+O10+N10+M10</f>
        <v>247</v>
      </c>
      <c r="R10" s="571">
        <f t="shared" ref="R10:T10" si="0">R16-R14</f>
        <v>74.378</v>
      </c>
      <c r="S10" s="571">
        <f t="shared" si="0"/>
        <v>106.529</v>
      </c>
      <c r="T10" s="571">
        <f t="shared" si="0"/>
        <v>80.403000000000006</v>
      </c>
      <c r="U10" s="571">
        <f>V10-T10-S10-R10</f>
        <v>94.492422502613394</v>
      </c>
      <c r="V10" s="224">
        <f t="shared" ref="V10:AR10" si="1">V16+V14</f>
        <v>355.80242250261341</v>
      </c>
      <c r="W10" s="571">
        <f t="shared" si="1"/>
        <v>105.821</v>
      </c>
      <c r="X10" s="571">
        <f t="shared" si="1"/>
        <v>103.2</v>
      </c>
      <c r="Y10" s="571">
        <f t="shared" si="1"/>
        <v>90.3</v>
      </c>
      <c r="Z10" s="571">
        <f t="shared" si="1"/>
        <v>119.69224942161318</v>
      </c>
      <c r="AA10" s="224">
        <f t="shared" si="1"/>
        <v>419.01324942161318</v>
      </c>
      <c r="AB10" s="571">
        <f t="shared" si="1"/>
        <v>119.33669966850712</v>
      </c>
      <c r="AC10" s="571">
        <f t="shared" si="1"/>
        <v>116.38093956577556</v>
      </c>
      <c r="AD10" s="571">
        <f t="shared" si="1"/>
        <v>101.83332212005361</v>
      </c>
      <c r="AE10" s="571">
        <f t="shared" si="1"/>
        <v>134.97961672895832</v>
      </c>
      <c r="AF10" s="224">
        <f t="shared" si="1"/>
        <v>472.53057808329464</v>
      </c>
      <c r="AG10" s="224">
        <f t="shared" si="1"/>
        <v>523.41835931562355</v>
      </c>
      <c r="AH10" s="224">
        <f t="shared" si="1"/>
        <v>580.91845368302222</v>
      </c>
      <c r="AI10" s="224">
        <f t="shared" si="1"/>
        <v>634.27310636671973</v>
      </c>
      <c r="AJ10" s="224">
        <f t="shared" si="1"/>
        <v>676.90075716958836</v>
      </c>
      <c r="AK10" s="224">
        <f t="shared" si="1"/>
        <v>722.86163450179674</v>
      </c>
      <c r="AL10" s="224">
        <f t="shared" si="1"/>
        <v>764.61636362014121</v>
      </c>
      <c r="AM10" s="224">
        <f t="shared" si="1"/>
        <v>802.38954047174423</v>
      </c>
      <c r="AN10" s="224">
        <f t="shared" si="1"/>
        <v>835.73733409737122</v>
      </c>
      <c r="AO10" s="224">
        <f t="shared" si="1"/>
        <v>870.5969470512191</v>
      </c>
      <c r="AP10" s="224">
        <f t="shared" si="1"/>
        <v>902.04513676242891</v>
      </c>
      <c r="AQ10" s="224">
        <f t="shared" si="1"/>
        <v>934.83443226880649</v>
      </c>
      <c r="AR10" s="224">
        <f t="shared" si="1"/>
        <v>969.03264208071005</v>
      </c>
    </row>
    <row r="11" spans="2:44" s="413" customFormat="1" hidden="1" outlineLevel="1">
      <c r="B11" s="70" t="s">
        <v>482</v>
      </c>
      <c r="C11" s="239"/>
      <c r="D11" s="239"/>
      <c r="E11" s="239"/>
      <c r="F11" s="239"/>
      <c r="G11" s="239"/>
      <c r="H11" s="239"/>
      <c r="I11" s="239"/>
      <c r="J11" s="239"/>
      <c r="K11" s="239"/>
      <c r="L11" s="239">
        <f>Vimizim!BE66</f>
        <v>77.304831842291762</v>
      </c>
      <c r="M11" s="575"/>
      <c r="N11" s="575"/>
      <c r="O11" s="575"/>
      <c r="P11" s="575"/>
      <c r="Q11" s="239">
        <f>Vimizim!BF66</f>
        <v>246.96965540945752</v>
      </c>
      <c r="R11" s="575">
        <f>R16-R14</f>
        <v>74.378</v>
      </c>
      <c r="S11" s="575">
        <f>S16-S14</f>
        <v>106.529</v>
      </c>
      <c r="T11" s="575">
        <f>T16-T14</f>
        <v>80.403000000000006</v>
      </c>
      <c r="U11" s="575"/>
      <c r="V11" s="239"/>
      <c r="W11" s="575"/>
      <c r="X11" s="575"/>
      <c r="Y11" s="575"/>
      <c r="Z11" s="575"/>
      <c r="AA11" s="239"/>
      <c r="AB11" s="575"/>
      <c r="AC11" s="575"/>
      <c r="AD11" s="575"/>
      <c r="AE11" s="575"/>
      <c r="AF11" s="239"/>
      <c r="AG11" s="239"/>
      <c r="AH11" s="239"/>
      <c r="AI11" s="239"/>
      <c r="AJ11" s="239"/>
      <c r="AK11" s="239"/>
      <c r="AL11" s="239"/>
      <c r="AM11" s="239"/>
      <c r="AN11" s="239"/>
      <c r="AO11" s="239"/>
      <c r="AP11" s="239"/>
      <c r="AQ11" s="239"/>
      <c r="AR11" s="239"/>
    </row>
    <row r="12" spans="2:44" s="413" customFormat="1" collapsed="1">
      <c r="B12" s="190" t="s">
        <v>273</v>
      </c>
      <c r="C12" s="179"/>
      <c r="D12" s="179"/>
      <c r="E12" s="179"/>
      <c r="F12" s="179"/>
      <c r="G12" s="188"/>
      <c r="H12" s="179"/>
      <c r="I12" s="179"/>
      <c r="J12" s="179"/>
      <c r="K12" s="179"/>
      <c r="L12" s="188"/>
      <c r="M12" s="572"/>
      <c r="N12" s="572"/>
      <c r="O12" s="572"/>
      <c r="P12" s="572"/>
      <c r="Q12" s="188">
        <f t="shared" ref="Q12:AA12" si="2">Q10/L10-1</f>
        <v>2.1951430992554308</v>
      </c>
      <c r="R12" s="423">
        <f t="shared" si="2"/>
        <v>0.35424784239466889</v>
      </c>
      <c r="S12" s="423">
        <f t="shared" si="2"/>
        <v>0.84692869155151795</v>
      </c>
      <c r="T12" s="423">
        <f t="shared" si="2"/>
        <v>0.12916046400584236</v>
      </c>
      <c r="U12" s="423">
        <f t="shared" si="2"/>
        <v>0.49529888599391358</v>
      </c>
      <c r="V12" s="188">
        <f t="shared" si="2"/>
        <v>0.44049563766240252</v>
      </c>
      <c r="W12" s="423">
        <f t="shared" si="2"/>
        <v>0.4227459732716663</v>
      </c>
      <c r="X12" s="423">
        <f t="shared" si="2"/>
        <v>-3.1249706652648479E-2</v>
      </c>
      <c r="Y12" s="423">
        <f t="shared" si="2"/>
        <v>0.12309242192455483</v>
      </c>
      <c r="Z12" s="423">
        <f t="shared" si="2"/>
        <v>0.26668621939820447</v>
      </c>
      <c r="AA12" s="188">
        <f t="shared" si="2"/>
        <v>0.17765710102363186</v>
      </c>
      <c r="AB12" s="423">
        <f t="shared" ref="AB12" si="3">AB10/W10-1</f>
        <v>0.12772228261410423</v>
      </c>
      <c r="AC12" s="423">
        <f t="shared" ref="AC12" si="4">AC10/X10-1</f>
        <v>0.12772228261410423</v>
      </c>
      <c r="AD12" s="423">
        <f t="shared" ref="AD12" si="5">AD10/Y10-1</f>
        <v>0.12772228261410423</v>
      </c>
      <c r="AE12" s="423">
        <f t="shared" ref="AE12" si="6">AE10/Z10-1</f>
        <v>0.12772228261410423</v>
      </c>
      <c r="AF12" s="188">
        <f>AF10/AA10-1</f>
        <v>0.12772228261410423</v>
      </c>
      <c r="AG12" s="188">
        <f t="shared" ref="AG12:AM12" si="7">AG10/AF10-1</f>
        <v>0.1076920385528124</v>
      </c>
      <c r="AH12" s="188">
        <f t="shared" si="7"/>
        <v>0.10985494364886406</v>
      </c>
      <c r="AI12" s="188">
        <f t="shared" si="7"/>
        <v>9.1845339643505941E-2</v>
      </c>
      <c r="AJ12" s="188">
        <f t="shared" si="7"/>
        <v>6.7207091669156283E-2</v>
      </c>
      <c r="AK12" s="188">
        <f t="shared" si="7"/>
        <v>6.789898939453165E-2</v>
      </c>
      <c r="AL12" s="188">
        <f t="shared" si="7"/>
        <v>5.7763100329874639E-2</v>
      </c>
      <c r="AM12" s="188">
        <f t="shared" si="7"/>
        <v>4.9401475888853241E-2</v>
      </c>
    </row>
    <row r="13" spans="2:44" s="413" customFormat="1">
      <c r="M13" s="416"/>
      <c r="N13" s="416"/>
      <c r="O13" s="416"/>
      <c r="P13" s="416"/>
      <c r="R13" s="416"/>
      <c r="S13" s="416"/>
      <c r="T13" s="416"/>
      <c r="U13" s="416"/>
      <c r="W13" s="416"/>
      <c r="X13" s="416"/>
      <c r="Y13" s="416"/>
      <c r="Z13" s="416"/>
      <c r="AB13" s="416"/>
      <c r="AC13" s="416"/>
      <c r="AD13" s="416"/>
      <c r="AE13" s="416"/>
    </row>
    <row r="14" spans="2:44">
      <c r="B14" s="197" t="s">
        <v>200</v>
      </c>
      <c r="C14" s="223"/>
      <c r="D14" s="223"/>
      <c r="E14" s="223"/>
      <c r="F14" s="223"/>
      <c r="G14" s="223"/>
      <c r="H14" s="223"/>
      <c r="I14" s="223"/>
      <c r="J14" s="223"/>
      <c r="K14" s="223"/>
      <c r="L14" s="223">
        <v>0</v>
      </c>
      <c r="M14" s="570">
        <v>-4.3</v>
      </c>
      <c r="N14" s="570">
        <v>-3.8</v>
      </c>
      <c r="O14" s="570">
        <v>-6.1</v>
      </c>
      <c r="P14" s="570">
        <v>-4.7</v>
      </c>
      <c r="Q14" s="223">
        <f>P14+O14+N14+M14</f>
        <v>-18.900000000000002</v>
      </c>
      <c r="R14" s="570">
        <v>-1.8</v>
      </c>
      <c r="S14" s="570">
        <v>0.3</v>
      </c>
      <c r="T14" s="570">
        <v>0.5</v>
      </c>
      <c r="U14" s="584">
        <v>0</v>
      </c>
      <c r="V14" s="223">
        <f>U14+T14+S14+R14</f>
        <v>-1</v>
      </c>
      <c r="W14" s="570"/>
      <c r="X14" s="570"/>
      <c r="Y14" s="570"/>
      <c r="Z14" s="570"/>
      <c r="AA14" s="585">
        <v>0</v>
      </c>
      <c r="AB14" s="570"/>
      <c r="AC14" s="570"/>
      <c r="AD14" s="570"/>
      <c r="AE14" s="570"/>
      <c r="AF14" s="585">
        <v>0</v>
      </c>
      <c r="AG14" s="585">
        <v>0</v>
      </c>
      <c r="AH14" s="585">
        <v>0</v>
      </c>
      <c r="AI14" s="585">
        <v>0</v>
      </c>
      <c r="AJ14" s="585">
        <v>0</v>
      </c>
      <c r="AK14" s="585">
        <v>0</v>
      </c>
      <c r="AL14" s="585">
        <v>0</v>
      </c>
      <c r="AM14" s="585">
        <v>0</v>
      </c>
      <c r="AN14" s="585">
        <v>0</v>
      </c>
      <c r="AO14" s="585">
        <v>0</v>
      </c>
      <c r="AP14" s="585">
        <v>0</v>
      </c>
      <c r="AQ14" s="585">
        <v>0</v>
      </c>
      <c r="AR14" s="585">
        <v>0</v>
      </c>
    </row>
    <row r="15" spans="2:44">
      <c r="M15" s="416"/>
      <c r="N15" s="416"/>
      <c r="O15" s="416"/>
      <c r="P15" s="416"/>
      <c r="R15" s="416"/>
      <c r="S15" s="416"/>
      <c r="T15" s="416"/>
      <c r="U15" s="416"/>
      <c r="W15" s="416"/>
      <c r="X15" s="416"/>
      <c r="Y15" s="416"/>
      <c r="Z15" s="416"/>
      <c r="AB15" s="416"/>
      <c r="AC15" s="416"/>
      <c r="AD15" s="416"/>
      <c r="AE15" s="416"/>
      <c r="AN15" s="413"/>
      <c r="AO15" s="413"/>
      <c r="AP15" s="413"/>
      <c r="AQ15" s="413"/>
      <c r="AR15" s="413"/>
    </row>
    <row r="16" spans="2:44">
      <c r="B16" s="200" t="s">
        <v>469</v>
      </c>
      <c r="C16" s="224">
        <v>0</v>
      </c>
      <c r="D16" s="224"/>
      <c r="E16" s="224"/>
      <c r="F16" s="224"/>
      <c r="G16" s="224"/>
      <c r="H16" s="224">
        <v>0.9</v>
      </c>
      <c r="I16" s="224">
        <v>14.3</v>
      </c>
      <c r="J16" s="224"/>
      <c r="K16" s="224"/>
      <c r="L16" s="224">
        <f>L10+L14</f>
        <v>77.304831842291762</v>
      </c>
      <c r="M16" s="571">
        <v>50.622</v>
      </c>
      <c r="N16" s="571">
        <v>53.878999999999998</v>
      </c>
      <c r="O16" s="571">
        <v>65.105999999999995</v>
      </c>
      <c r="P16" s="571">
        <f>Q16-O16-N16-M16</f>
        <v>58.493000000000009</v>
      </c>
      <c r="Q16" s="224">
        <v>228.1</v>
      </c>
      <c r="R16" s="571">
        <v>72.578000000000003</v>
      </c>
      <c r="S16" s="571">
        <v>106.82899999999999</v>
      </c>
      <c r="T16" s="571">
        <v>80.903000000000006</v>
      </c>
      <c r="U16" s="571">
        <f>V16-T16-S16-R16</f>
        <v>96.49242250261338</v>
      </c>
      <c r="V16" s="224">
        <f>SUM(V6:V9)</f>
        <v>356.80242250261341</v>
      </c>
      <c r="W16" s="571">
        <f>IS!AG6</f>
        <v>105.821</v>
      </c>
      <c r="X16" s="571">
        <f>IS!AH6</f>
        <v>103.2</v>
      </c>
      <c r="Y16" s="571">
        <f>IS!AI6</f>
        <v>90.3</v>
      </c>
      <c r="Z16" s="571">
        <f>AA16-Y16-X16-W16</f>
        <v>119.69224942161318</v>
      </c>
      <c r="AA16" s="224">
        <f t="shared" ref="AA16:AR16" si="8">SUM(AA6:AA9)</f>
        <v>419.01324942161318</v>
      </c>
      <c r="AB16" s="571">
        <f>($AF16/$AA16)*W16</f>
        <v>119.33669966850712</v>
      </c>
      <c r="AC16" s="571">
        <f t="shared" ref="AC16:AE16" si="9">($AF16/$AA16)*X16</f>
        <v>116.38093956577556</v>
      </c>
      <c r="AD16" s="571">
        <f t="shared" si="9"/>
        <v>101.83332212005361</v>
      </c>
      <c r="AE16" s="571">
        <f t="shared" si="9"/>
        <v>134.97961672895832</v>
      </c>
      <c r="AF16" s="224">
        <f t="shared" si="8"/>
        <v>472.53057808329464</v>
      </c>
      <c r="AG16" s="224">
        <f t="shared" si="8"/>
        <v>523.41835931562355</v>
      </c>
      <c r="AH16" s="224">
        <f t="shared" si="8"/>
        <v>580.91845368302222</v>
      </c>
      <c r="AI16" s="224">
        <f t="shared" si="8"/>
        <v>634.27310636671973</v>
      </c>
      <c r="AJ16" s="224">
        <f t="shared" si="8"/>
        <v>676.90075716958836</v>
      </c>
      <c r="AK16" s="224">
        <f t="shared" si="8"/>
        <v>722.86163450179674</v>
      </c>
      <c r="AL16" s="224">
        <f t="shared" si="8"/>
        <v>764.61636362014121</v>
      </c>
      <c r="AM16" s="224">
        <f t="shared" si="8"/>
        <v>802.38954047174423</v>
      </c>
      <c r="AN16" s="224">
        <f t="shared" si="8"/>
        <v>835.73733409737122</v>
      </c>
      <c r="AO16" s="224">
        <f t="shared" si="8"/>
        <v>870.5969470512191</v>
      </c>
      <c r="AP16" s="224">
        <f t="shared" si="8"/>
        <v>902.04513676242891</v>
      </c>
      <c r="AQ16" s="224">
        <f t="shared" si="8"/>
        <v>934.83443226880649</v>
      </c>
      <c r="AR16" s="224">
        <f t="shared" si="8"/>
        <v>969.03264208071005</v>
      </c>
    </row>
    <row r="17" spans="2:44" s="413" customFormat="1">
      <c r="B17" s="190" t="s">
        <v>273</v>
      </c>
      <c r="C17" s="179"/>
      <c r="D17" s="179"/>
      <c r="E17" s="179"/>
      <c r="F17" s="179"/>
      <c r="G17" s="188"/>
      <c r="H17" s="179"/>
      <c r="I17" s="179"/>
      <c r="J17" s="179"/>
      <c r="K17" s="179"/>
      <c r="L17" s="188"/>
      <c r="M17" s="572"/>
      <c r="N17" s="572"/>
      <c r="O17" s="572"/>
      <c r="P17" s="572"/>
      <c r="Q17" s="188">
        <f>Q16/L16-1</f>
        <v>1.9506564410532943</v>
      </c>
      <c r="R17" s="423">
        <f t="shared" ref="R17" si="10">R16/M16-1</f>
        <v>0.43372446762277272</v>
      </c>
      <c r="S17" s="423">
        <f t="shared" ref="S17" si="11">S16/N16-1</f>
        <v>0.98275766068412551</v>
      </c>
      <c r="T17" s="423">
        <f t="shared" ref="T17" si="12">T16/O16-1</f>
        <v>0.24263508739593909</v>
      </c>
      <c r="U17" s="423">
        <f t="shared" ref="U17" si="13">U16/P16-1</f>
        <v>0.64964051258464028</v>
      </c>
      <c r="V17" s="188">
        <f t="shared" ref="V17:AA17" si="14">V16/Q16-1</f>
        <v>0.56423683692509163</v>
      </c>
      <c r="W17" s="423">
        <f t="shared" si="14"/>
        <v>0.45803135936509687</v>
      </c>
      <c r="X17" s="423">
        <f t="shared" si="14"/>
        <v>-3.397017663742985E-2</v>
      </c>
      <c r="Y17" s="423">
        <f t="shared" si="14"/>
        <v>0.11615144061406868</v>
      </c>
      <c r="Z17" s="423">
        <f t="shared" si="14"/>
        <v>0.24043159366603595</v>
      </c>
      <c r="AA17" s="188">
        <f t="shared" si="14"/>
        <v>0.17435651496604998</v>
      </c>
      <c r="AB17" s="423">
        <f t="shared" ref="AB17" si="15">AB16/W16-1</f>
        <v>0.12772228261410423</v>
      </c>
      <c r="AC17" s="423">
        <f t="shared" ref="AC17" si="16">AC16/X16-1</f>
        <v>0.12772228261410423</v>
      </c>
      <c r="AD17" s="423">
        <f t="shared" ref="AD17" si="17">AD16/Y16-1</f>
        <v>0.12772228261410423</v>
      </c>
      <c r="AE17" s="423">
        <f t="shared" ref="AE17" si="18">AE16/Z16-1</f>
        <v>0.12772228261410423</v>
      </c>
      <c r="AF17" s="188">
        <f t="shared" ref="AF17" si="19">AF16/AA16-1</f>
        <v>0.12772228261410423</v>
      </c>
      <c r="AG17" s="188">
        <f t="shared" ref="AG17" si="20">AG16/AF16-1</f>
        <v>0.1076920385528124</v>
      </c>
      <c r="AH17" s="188">
        <f t="shared" ref="AH17" si="21">AH16/AG16-1</f>
        <v>0.10985494364886406</v>
      </c>
      <c r="AI17" s="188">
        <f t="shared" ref="AI17" si="22">AI16/AH16-1</f>
        <v>9.1845339643505941E-2</v>
      </c>
      <c r="AJ17" s="188">
        <f t="shared" ref="AJ17" si="23">AJ16/AI16-1</f>
        <v>6.7207091669156283E-2</v>
      </c>
      <c r="AK17" s="188">
        <f t="shared" ref="AK17" si="24">AK16/AJ16-1</f>
        <v>6.789898939453165E-2</v>
      </c>
      <c r="AL17" s="188">
        <f t="shared" ref="AL17" si="25">AL16/AK16-1</f>
        <v>5.7763100329874639E-2</v>
      </c>
      <c r="AM17" s="188">
        <f t="shared" ref="AM17" si="26">AM16/AL16-1</f>
        <v>4.9401475888853241E-2</v>
      </c>
    </row>
    <row r="18" spans="2:44">
      <c r="M18" s="416"/>
      <c r="N18" s="416"/>
      <c r="O18" s="416"/>
      <c r="P18" s="416"/>
      <c r="R18" s="416"/>
      <c r="S18" s="416"/>
      <c r="T18" s="416"/>
      <c r="U18" s="416"/>
      <c r="W18" s="416"/>
      <c r="X18" s="416"/>
      <c r="Y18" s="416"/>
      <c r="Z18" s="416"/>
      <c r="AB18" s="416"/>
      <c r="AC18" s="416"/>
      <c r="AD18" s="416"/>
      <c r="AE18" s="416"/>
    </row>
    <row r="19" spans="2:44">
      <c r="B19" s="221" t="s">
        <v>261</v>
      </c>
      <c r="C19" s="222"/>
      <c r="D19" s="222"/>
      <c r="E19" s="222"/>
      <c r="F19" s="222"/>
      <c r="G19" s="222"/>
      <c r="H19" s="222"/>
      <c r="I19" s="222"/>
      <c r="J19" s="222"/>
      <c r="K19" s="222"/>
      <c r="L19" s="222"/>
      <c r="M19" s="222"/>
      <c r="N19" s="222"/>
      <c r="O19" s="222"/>
      <c r="P19" s="222"/>
      <c r="Q19" s="222"/>
      <c r="R19" s="222"/>
      <c r="S19" s="222"/>
      <c r="T19" s="222"/>
      <c r="U19" s="222"/>
      <c r="V19" s="222"/>
      <c r="W19" s="222"/>
      <c r="X19" s="222"/>
      <c r="Y19" s="222"/>
      <c r="Z19" s="222"/>
      <c r="AA19" s="222"/>
      <c r="AB19" s="735"/>
      <c r="AC19" s="735"/>
      <c r="AD19" s="735"/>
      <c r="AE19" s="735"/>
      <c r="AF19" s="222"/>
      <c r="AG19" s="222"/>
      <c r="AH19" s="222"/>
      <c r="AI19" s="222"/>
      <c r="AJ19" s="222"/>
      <c r="AK19" s="222"/>
      <c r="AL19" s="222"/>
      <c r="AM19" s="222"/>
      <c r="AN19" s="222"/>
      <c r="AO19" s="222"/>
      <c r="AP19" s="222"/>
      <c r="AQ19" s="222"/>
      <c r="AR19" s="222"/>
    </row>
    <row r="20" spans="2:44">
      <c r="B20" s="64" t="s">
        <v>82</v>
      </c>
      <c r="M20" s="416"/>
      <c r="N20" s="416"/>
      <c r="O20" s="416"/>
      <c r="P20" s="416"/>
      <c r="R20" s="416"/>
      <c r="S20" s="416"/>
      <c r="T20" s="416"/>
      <c r="U20" s="416"/>
      <c r="W20" s="416"/>
      <c r="X20" s="416"/>
      <c r="Y20" s="416"/>
      <c r="Z20" s="416"/>
      <c r="AB20" s="416"/>
      <c r="AC20" s="416"/>
      <c r="AD20" s="416"/>
      <c r="AE20" s="416"/>
      <c r="AN20" s="413"/>
      <c r="AO20" s="413"/>
      <c r="AP20" s="413"/>
      <c r="AQ20" s="413"/>
      <c r="AR20" s="413"/>
    </row>
    <row r="21" spans="2:44">
      <c r="B21" s="197" t="s">
        <v>266</v>
      </c>
      <c r="C21" s="223"/>
      <c r="D21" s="223"/>
      <c r="E21" s="223"/>
      <c r="F21" s="223"/>
      <c r="G21" s="223"/>
      <c r="H21" s="223"/>
      <c r="I21" s="223"/>
      <c r="J21" s="223"/>
      <c r="K21" s="223"/>
      <c r="L21" s="223">
        <f>Naglazyme!AK62</f>
        <v>39.764361461200544</v>
      </c>
      <c r="M21" s="570"/>
      <c r="N21" s="570"/>
      <c r="O21" s="570"/>
      <c r="P21" s="570"/>
      <c r="Q21" s="223">
        <f>Naglazyme!AL62</f>
        <v>42.724934687379111</v>
      </c>
      <c r="R21" s="570"/>
      <c r="S21" s="570"/>
      <c r="T21" s="570"/>
      <c r="U21" s="570"/>
      <c r="V21" s="223">
        <f>Naglazyme!AM62</f>
        <v>44.4175541832441</v>
      </c>
      <c r="W21" s="570"/>
      <c r="X21" s="570"/>
      <c r="Y21" s="570"/>
      <c r="Z21" s="570"/>
      <c r="AA21" s="223">
        <f>Naglazyme!AN62</f>
        <v>47.518932490733185</v>
      </c>
      <c r="AB21" s="570"/>
      <c r="AC21" s="570"/>
      <c r="AD21" s="570"/>
      <c r="AE21" s="570"/>
      <c r="AF21" s="223">
        <f>Naglazyme!AO62</f>
        <v>49.693130807672816</v>
      </c>
      <c r="AG21" s="223">
        <f>Naglazyme!AP62</f>
        <v>50.78948228765006</v>
      </c>
      <c r="AH21" s="223">
        <f>Naglazyme!AQ62</f>
        <v>51.907578328813855</v>
      </c>
      <c r="AI21" s="223">
        <f>Naglazyme!AR62</f>
        <v>53.047825116104846</v>
      </c>
      <c r="AJ21" s="223">
        <f>Naglazyme!AS62</f>
        <v>54.21063613543285</v>
      </c>
      <c r="AK21" s="223">
        <f>Naglazyme!AT62</f>
        <v>55.396432301434288</v>
      </c>
      <c r="AL21" s="223">
        <f>Naglazyme!AU62</f>
        <v>56.605642087421081</v>
      </c>
      <c r="AM21" s="223">
        <f>Naglazyme!AV62</f>
        <v>57.838701657558723</v>
      </c>
      <c r="AN21" s="223">
        <f>Naglazyme!AW62</f>
        <v>59.096055001310624</v>
      </c>
      <c r="AO21" s="223">
        <f>Naglazyme!AX62</f>
        <v>60.378154070187243</v>
      </c>
      <c r="AP21" s="223">
        <f>Naglazyme!AY62</f>
        <v>61.685458916839131</v>
      </c>
      <c r="AQ21" s="223">
        <f>Naglazyme!AZ62</f>
        <v>63.018437836532954</v>
      </c>
      <c r="AR21" s="223">
        <f>Naglazyme!BA62</f>
        <v>64.37756751105124</v>
      </c>
    </row>
    <row r="22" spans="2:44">
      <c r="B22" s="197" t="s">
        <v>25</v>
      </c>
      <c r="C22" s="223"/>
      <c r="D22" s="223"/>
      <c r="E22" s="223"/>
      <c r="F22" s="223"/>
      <c r="G22" s="223"/>
      <c r="H22" s="223"/>
      <c r="I22" s="223"/>
      <c r="J22" s="223"/>
      <c r="K22" s="223"/>
      <c r="L22" s="223">
        <f>Naglazyme!AK63</f>
        <v>42.49773922133776</v>
      </c>
      <c r="M22" s="570"/>
      <c r="N22" s="570"/>
      <c r="O22" s="570"/>
      <c r="P22" s="570"/>
      <c r="Q22" s="223">
        <f>Naglazyme!AL63</f>
        <v>42.161984212273033</v>
      </c>
      <c r="R22" s="570"/>
      <c r="S22" s="570"/>
      <c r="T22" s="570"/>
      <c r="U22" s="570"/>
      <c r="V22" s="223">
        <f>Naglazyme!AM63</f>
        <v>41.636298395398704</v>
      </c>
      <c r="W22" s="570"/>
      <c r="X22" s="570"/>
      <c r="Y22" s="570"/>
      <c r="Z22" s="570"/>
      <c r="AA22" s="223">
        <f>Naglazyme!AN63</f>
        <v>44.410514751797663</v>
      </c>
      <c r="AB22" s="570"/>
      <c r="AC22" s="570"/>
      <c r="AD22" s="570"/>
      <c r="AE22" s="570"/>
      <c r="AF22" s="223">
        <f>Naglazyme!AO63</f>
        <v>46.303855109514529</v>
      </c>
      <c r="AG22" s="223">
        <f>Naglazyme!AP63</f>
        <v>47.18416097088722</v>
      </c>
      <c r="AH22" s="223">
        <f>Naglazyme!AQ63</f>
        <v>48.078939385659567</v>
      </c>
      <c r="AI22" s="223">
        <f>Naglazyme!AR63</f>
        <v>48.988411087072301</v>
      </c>
      <c r="AJ22" s="223">
        <f>Naglazyme!AS63</f>
        <v>49.912800023792975</v>
      </c>
      <c r="AK22" s="223">
        <f>Naglazyme!AT63</f>
        <v>50.852333405323201</v>
      </c>
      <c r="AL22" s="223">
        <f>Naglazyme!AU63</f>
        <v>51.807241748032858</v>
      </c>
      <c r="AM22" s="223">
        <f>Naglazyme!AV63</f>
        <v>52.777758921829907</v>
      </c>
      <c r="AN22" s="223">
        <f>Naglazyme!AW63</f>
        <v>53.764122197474364</v>
      </c>
      <c r="AO22" s="223">
        <f>Naglazyme!AX63</f>
        <v>54.76657229454522</v>
      </c>
      <c r="AP22" s="223">
        <f>Naglazyme!AY63</f>
        <v>55.785353430068909</v>
      </c>
      <c r="AQ22" s="223">
        <f>Naglazyme!AZ63</f>
        <v>56.820713367818854</v>
      </c>
      <c r="AR22" s="223">
        <f>Naglazyme!BA63</f>
        <v>57.872903468294609</v>
      </c>
    </row>
    <row r="23" spans="2:44">
      <c r="B23" s="197" t="s">
        <v>68</v>
      </c>
      <c r="C23" s="223"/>
      <c r="D23" s="223"/>
      <c r="E23" s="223"/>
      <c r="F23" s="223"/>
      <c r="G23" s="223"/>
      <c r="H23" s="223"/>
      <c r="I23" s="223"/>
      <c r="J23" s="223"/>
      <c r="K23" s="223"/>
      <c r="L23" s="223">
        <f>Naglazyme!AK64</f>
        <v>8.0087430720162711</v>
      </c>
      <c r="M23" s="570"/>
      <c r="N23" s="570"/>
      <c r="O23" s="570"/>
      <c r="P23" s="570"/>
      <c r="Q23" s="223">
        <f>Naglazyme!AL64</f>
        <v>7.3588557459912556</v>
      </c>
      <c r="R23" s="570"/>
      <c r="S23" s="570"/>
      <c r="T23" s="570"/>
      <c r="U23" s="570"/>
      <c r="V23" s="223">
        <f>Naglazyme!AM64</f>
        <v>6.8341980675607923</v>
      </c>
      <c r="W23" s="570"/>
      <c r="X23" s="570"/>
      <c r="Y23" s="570"/>
      <c r="Z23" s="570"/>
      <c r="AA23" s="223">
        <f>Naglazyme!AN64</f>
        <v>7.2230562796301925</v>
      </c>
      <c r="AB23" s="570"/>
      <c r="AC23" s="570"/>
      <c r="AD23" s="570"/>
      <c r="AE23" s="570"/>
      <c r="AF23" s="223">
        <f>Naglazyme!AO64</f>
        <v>7.4645135095046022</v>
      </c>
      <c r="AG23" s="223">
        <f>Naglazyme!AP64</f>
        <v>7.5415531240208784</v>
      </c>
      <c r="AH23" s="223">
        <f>Naglazyme!AQ64</f>
        <v>7.6213547506198545</v>
      </c>
      <c r="AI23" s="223">
        <f>Naglazyme!AR64</f>
        <v>7.7040187813253782</v>
      </c>
      <c r="AJ23" s="223">
        <f>Naglazyme!AS64</f>
        <v>7.7896477825703281</v>
      </c>
      <c r="AK23" s="223">
        <f>Naglazyme!AT64</f>
        <v>7.8783465325655477</v>
      </c>
      <c r="AL23" s="223">
        <f>Naglazyme!AU64</f>
        <v>7.9702220592358275</v>
      </c>
      <c r="AM23" s="223">
        <f>Naglazyme!AV64</f>
        <v>8.0653836787309707</v>
      </c>
      <c r="AN23" s="223">
        <f>Naglazyme!AW64</f>
        <v>8.1639430345200132</v>
      </c>
      <c r="AO23" s="223">
        <f>Naglazyme!AX64</f>
        <v>8.2660141370767377</v>
      </c>
      <c r="AP23" s="223">
        <f>Naglazyme!AY64</f>
        <v>8.3717134041647956</v>
      </c>
      <c r="AQ23" s="223">
        <f>Naglazyme!AZ64</f>
        <v>8.4811597017308582</v>
      </c>
      <c r="AR23" s="223">
        <f>Naglazyme!BA64</f>
        <v>8.5944743854142569</v>
      </c>
    </row>
    <row r="24" spans="2:44">
      <c r="B24" s="197" t="s">
        <v>26</v>
      </c>
      <c r="C24" s="223"/>
      <c r="D24" s="223"/>
      <c r="E24" s="223"/>
      <c r="F24" s="223"/>
      <c r="G24" s="223"/>
      <c r="H24" s="223"/>
      <c r="I24" s="223"/>
      <c r="J24" s="223"/>
      <c r="K24" s="223"/>
      <c r="L24" s="223">
        <f>Naglazyme!AK65</f>
        <v>244.32159787561639</v>
      </c>
      <c r="M24" s="570"/>
      <c r="N24" s="570"/>
      <c r="O24" s="570"/>
      <c r="P24" s="570"/>
      <c r="Q24" s="223">
        <f>Naglazyme!AL65</f>
        <v>223.34745279306114</v>
      </c>
      <c r="R24" s="570"/>
      <c r="S24" s="570"/>
      <c r="T24" s="570"/>
      <c r="U24" s="570"/>
      <c r="V24" s="223">
        <f>Naglazyme!AM65</f>
        <v>216.92094653143423</v>
      </c>
      <c r="W24" s="570"/>
      <c r="X24" s="570"/>
      <c r="Y24" s="570"/>
      <c r="Z24" s="570"/>
      <c r="AA24" s="223">
        <f>Naglazyme!AN65</f>
        <v>221.33363934816734</v>
      </c>
      <c r="AB24" s="570"/>
      <c r="AC24" s="570"/>
      <c r="AD24" s="570"/>
      <c r="AE24" s="570"/>
      <c r="AF24" s="223">
        <f>Naglazyme!AO65</f>
        <v>240.61248754911787</v>
      </c>
      <c r="AG24" s="223">
        <f>Naglazyme!AP65</f>
        <v>245.11492877258794</v>
      </c>
      <c r="AH24" s="223">
        <f>Naglazyme!AQ65</f>
        <v>249.64721219493273</v>
      </c>
      <c r="AI24" s="223">
        <f>Naglazyme!AR65</f>
        <v>254.20985747527862</v>
      </c>
      <c r="AJ24" s="223">
        <f>Naglazyme!AS65</f>
        <v>258.80338103158675</v>
      </c>
      <c r="AK24" s="223">
        <f>Naglazyme!AT65</f>
        <v>263.42829608805425</v>
      </c>
      <c r="AL24" s="223">
        <f>Naglazyme!AU65</f>
        <v>268.08511272213906</v>
      </c>
      <c r="AM24" s="223">
        <f>Naglazyme!AV65</f>
        <v>272.77433791120814</v>
      </c>
      <c r="AN24" s="223">
        <f>Naglazyme!AW65</f>
        <v>277.49647557881826</v>
      </c>
      <c r="AO24" s="223">
        <f>Naglazyme!AX65</f>
        <v>282.25202664062897</v>
      </c>
      <c r="AP24" s="223">
        <f>Naglazyme!AY65</f>
        <v>287.04148904995469</v>
      </c>
      <c r="AQ24" s="223">
        <f>Naglazyme!AZ65</f>
        <v>291.86535784295768</v>
      </c>
      <c r="AR24" s="223">
        <f>Naglazyme!BA65</f>
        <v>296.72412518348619</v>
      </c>
    </row>
    <row r="25" spans="2:44">
      <c r="B25" s="200" t="s">
        <v>259</v>
      </c>
      <c r="C25" s="224"/>
      <c r="D25" s="224"/>
      <c r="E25" s="224"/>
      <c r="F25" s="224"/>
      <c r="G25" s="224"/>
      <c r="H25" s="224">
        <f>H31+H29</f>
        <v>0</v>
      </c>
      <c r="I25" s="224">
        <f>I31+I29</f>
        <v>0.8</v>
      </c>
      <c r="J25" s="224">
        <f>J31+J29</f>
        <v>0</v>
      </c>
      <c r="K25" s="224">
        <f>K31+K29</f>
        <v>0</v>
      </c>
      <c r="L25" s="224">
        <f>SUM(L21:L24)</f>
        <v>334.59244163017098</v>
      </c>
      <c r="M25" s="571">
        <f>M31-M29</f>
        <v>81.466999999999999</v>
      </c>
      <c r="N25" s="571">
        <f>N31-N29</f>
        <v>116.08799999999999</v>
      </c>
      <c r="O25" s="571">
        <f>O31-O29</f>
        <v>56.331000000000003</v>
      </c>
      <c r="P25" s="571">
        <f>P31-P29</f>
        <v>61.714000000000027</v>
      </c>
      <c r="Q25" s="224">
        <f>P25+O25+N25+M25</f>
        <v>315.60000000000002</v>
      </c>
      <c r="R25" s="571">
        <f>R31+R29</f>
        <v>64.603000000000009</v>
      </c>
      <c r="S25" s="571">
        <f>S31+S29</f>
        <v>79.844000000000008</v>
      </c>
      <c r="T25" s="571">
        <f>T31+T29</f>
        <v>77.727999999999994</v>
      </c>
      <c r="U25" s="571">
        <f>V25-T25-S25-R25</f>
        <v>88.233997177637832</v>
      </c>
      <c r="V25" s="224">
        <f t="shared" ref="V25:AM25" si="27">V31+V29</f>
        <v>310.40899717763784</v>
      </c>
      <c r="W25" s="571">
        <f t="shared" si="27"/>
        <v>80.558000000000007</v>
      </c>
      <c r="X25" s="571">
        <f t="shared" si="27"/>
        <v>85.7</v>
      </c>
      <c r="Y25" s="571">
        <f t="shared" si="27"/>
        <v>72.099999999999994</v>
      </c>
      <c r="Z25" s="571">
        <f t="shared" si="27"/>
        <v>82.128142870328347</v>
      </c>
      <c r="AA25" s="224">
        <f t="shared" si="27"/>
        <v>320.48614287032837</v>
      </c>
      <c r="AB25" s="571">
        <f t="shared" si="27"/>
        <v>86.487084884703464</v>
      </c>
      <c r="AC25" s="571">
        <f t="shared" si="27"/>
        <v>92.007537111386654</v>
      </c>
      <c r="AD25" s="571">
        <f t="shared" si="27"/>
        <v>77.406574395927393</v>
      </c>
      <c r="AE25" s="571">
        <f t="shared" si="27"/>
        <v>88.172790583792306</v>
      </c>
      <c r="AF25" s="224">
        <f t="shared" si="27"/>
        <v>344.07398697580982</v>
      </c>
      <c r="AG25" s="224">
        <f t="shared" si="27"/>
        <v>350.63012515514612</v>
      </c>
      <c r="AH25" s="224">
        <f t="shared" si="27"/>
        <v>357.255084660026</v>
      </c>
      <c r="AI25" s="224">
        <f t="shared" si="27"/>
        <v>363.95011245978117</v>
      </c>
      <c r="AJ25" s="224">
        <f t="shared" si="27"/>
        <v>370.71646497338293</v>
      </c>
      <c r="AK25" s="224">
        <f t="shared" si="27"/>
        <v>377.55540832737728</v>
      </c>
      <c r="AL25" s="224">
        <f t="shared" si="27"/>
        <v>384.46821861682884</v>
      </c>
      <c r="AM25" s="224">
        <f t="shared" si="27"/>
        <v>391.45618216932775</v>
      </c>
      <c r="AN25" s="224">
        <f t="shared" ref="AN25:AR25" si="28">AN31+AN29</f>
        <v>398.52059581212325</v>
      </c>
      <c r="AO25" s="224">
        <f t="shared" si="28"/>
        <v>405.66276714243816</v>
      </c>
      <c r="AP25" s="224">
        <f t="shared" si="28"/>
        <v>412.88401480102755</v>
      </c>
      <c r="AQ25" s="224">
        <f t="shared" si="28"/>
        <v>420.18566874904036</v>
      </c>
      <c r="AR25" s="224">
        <f t="shared" si="28"/>
        <v>427.56907054824626</v>
      </c>
    </row>
    <row r="26" spans="2:44" s="413" customFormat="1" hidden="1" outlineLevel="1">
      <c r="B26" s="70" t="s">
        <v>482</v>
      </c>
      <c r="C26" s="239"/>
      <c r="D26" s="239"/>
      <c r="E26" s="239"/>
      <c r="F26" s="239"/>
      <c r="G26" s="239"/>
      <c r="H26" s="239"/>
      <c r="I26" s="239"/>
      <c r="J26" s="239"/>
      <c r="K26" s="239"/>
      <c r="L26" s="239">
        <f>Naglazyme!AK66</f>
        <v>334.59244163017098</v>
      </c>
      <c r="M26" s="575"/>
      <c r="N26" s="575"/>
      <c r="O26" s="575"/>
      <c r="P26" s="575"/>
      <c r="Q26" s="239">
        <f>Naglazyme!AL66</f>
        <v>315.5932274387045</v>
      </c>
      <c r="R26" s="575"/>
      <c r="S26" s="575"/>
      <c r="T26" s="575"/>
      <c r="U26" s="575"/>
      <c r="V26" s="239"/>
      <c r="W26" s="575"/>
      <c r="X26" s="575"/>
      <c r="Y26" s="575"/>
      <c r="Z26" s="575"/>
      <c r="AA26" s="239"/>
      <c r="AB26" s="575"/>
      <c r="AC26" s="575"/>
      <c r="AD26" s="575"/>
      <c r="AE26" s="575"/>
      <c r="AF26" s="239"/>
      <c r="AG26" s="239"/>
      <c r="AH26" s="239"/>
      <c r="AI26" s="239"/>
      <c r="AJ26" s="239"/>
      <c r="AK26" s="239"/>
      <c r="AL26" s="239"/>
      <c r="AM26" s="239"/>
      <c r="AN26" s="239"/>
      <c r="AO26" s="239"/>
      <c r="AP26" s="239"/>
      <c r="AQ26" s="239"/>
      <c r="AR26" s="239"/>
    </row>
    <row r="27" spans="2:44" s="413" customFormat="1" collapsed="1">
      <c r="B27" s="190" t="s">
        <v>273</v>
      </c>
      <c r="C27" s="179"/>
      <c r="D27" s="179"/>
      <c r="E27" s="179"/>
      <c r="F27" s="179"/>
      <c r="G27" s="188"/>
      <c r="H27" s="179"/>
      <c r="I27" s="179"/>
      <c r="J27" s="179"/>
      <c r="K27" s="179"/>
      <c r="L27" s="188"/>
      <c r="M27" s="572"/>
      <c r="N27" s="572"/>
      <c r="O27" s="572"/>
      <c r="P27" s="572"/>
      <c r="Q27" s="188">
        <f>Q25/L25-1</f>
        <v>-5.6762912926657028E-2</v>
      </c>
      <c r="R27" s="423">
        <f t="shared" ref="R27" si="29">R25/M25-1</f>
        <v>-0.20700406299483209</v>
      </c>
      <c r="S27" s="423">
        <f t="shared" ref="S27" si="30">S25/N25-1</f>
        <v>-0.31221142581489891</v>
      </c>
      <c r="T27" s="423">
        <f t="shared" ref="T27" si="31">T25/O25-1</f>
        <v>0.37984413555591034</v>
      </c>
      <c r="U27" s="423">
        <f t="shared" ref="U27" si="32">U25/P25-1</f>
        <v>0.42972416595323248</v>
      </c>
      <c r="V27" s="188">
        <f t="shared" ref="V27:AA27" si="33">V25/Q25-1</f>
        <v>-1.6448044430805386E-2</v>
      </c>
      <c r="W27" s="423">
        <f t="shared" si="33"/>
        <v>0.2469699549556521</v>
      </c>
      <c r="X27" s="423">
        <f t="shared" si="33"/>
        <v>7.3343018886829148E-2</v>
      </c>
      <c r="Y27" s="423">
        <f t="shared" si="33"/>
        <v>-7.2406340057636909E-2</v>
      </c>
      <c r="Z27" s="423">
        <f t="shared" si="33"/>
        <v>-6.9200699306604219E-2</v>
      </c>
      <c r="AA27" s="188">
        <f t="shared" si="33"/>
        <v>3.2464090230360343E-2</v>
      </c>
      <c r="AB27" s="423">
        <f t="shared" ref="AB27" si="34">AB25/W25-1</f>
        <v>7.3600199666121968E-2</v>
      </c>
      <c r="AC27" s="423">
        <f t="shared" ref="AC27" si="35">AC25/X25-1</f>
        <v>7.3600199666121968E-2</v>
      </c>
      <c r="AD27" s="423">
        <f t="shared" ref="AD27" si="36">AD25/Y25-1</f>
        <v>7.3600199666121968E-2</v>
      </c>
      <c r="AE27" s="423">
        <f t="shared" ref="AE27" si="37">AE25/Z25-1</f>
        <v>7.3600199666121968E-2</v>
      </c>
      <c r="AF27" s="188">
        <f t="shared" ref="AF27" si="38">AF25/AA25-1</f>
        <v>7.3600199666121968E-2</v>
      </c>
      <c r="AG27" s="188">
        <f t="shared" ref="AG27" si="39">AG25/AF25-1</f>
        <v>1.9054443019539402E-2</v>
      </c>
      <c r="AH27" s="188">
        <f t="shared" ref="AH27" si="40">AH25/AG25-1</f>
        <v>1.8894438981671868E-2</v>
      </c>
      <c r="AI27" s="188">
        <f t="shared" ref="AI27" si="41">AI25/AH25-1</f>
        <v>1.874018897764973E-2</v>
      </c>
      <c r="AJ27" s="188">
        <f t="shared" ref="AJ27" si="42">AJ25/AI25-1</f>
        <v>1.859142855560858E-2</v>
      </c>
      <c r="AK27" s="188">
        <f t="shared" ref="AK27" si="43">AK25/AJ25-1</f>
        <v>1.8447908307728911E-2</v>
      </c>
      <c r="AL27" s="188">
        <f t="shared" ref="AL27" si="44">AL25/AK25-1</f>
        <v>1.8309392838725902E-2</v>
      </c>
      <c r="AM27" s="188">
        <f t="shared" ref="AM27" si="45">AM25/AL25-1</f>
        <v>1.8175659818226331E-2</v>
      </c>
      <c r="AN27" s="188">
        <f t="shared" ref="AN27" si="46">AN25/AM25-1</f>
        <v>1.8046499109164005E-2</v>
      </c>
      <c r="AO27" s="188">
        <f t="shared" ref="AO27" si="47">AO25/AN25-1</f>
        <v>1.7921711965125153E-2</v>
      </c>
      <c r="AP27" s="188">
        <f t="shared" ref="AP27" si="48">AP25/AO25-1</f>
        <v>1.7801110290345701E-2</v>
      </c>
      <c r="AQ27" s="188">
        <f t="shared" ref="AQ27" si="49">AQ25/AP25-1</f>
        <v>1.7684515956694291E-2</v>
      </c>
      <c r="AR27" s="188">
        <f t="shared" ref="AR27" si="50">AR25/AQ25-1</f>
        <v>1.7571760172562456E-2</v>
      </c>
    </row>
    <row r="28" spans="2:44" s="413" customFormat="1">
      <c r="M28" s="416"/>
      <c r="N28" s="416"/>
      <c r="O28" s="416"/>
      <c r="P28" s="416"/>
      <c r="R28" s="416"/>
      <c r="S28" s="416"/>
      <c r="T28" s="416"/>
      <c r="U28" s="416"/>
      <c r="W28" s="416"/>
      <c r="X28" s="416"/>
      <c r="Y28" s="416"/>
      <c r="Z28" s="416"/>
      <c r="AB28" s="416"/>
      <c r="AC28" s="416"/>
      <c r="AD28" s="416"/>
      <c r="AE28" s="416"/>
    </row>
    <row r="29" spans="2:44">
      <c r="B29" s="197" t="s">
        <v>200</v>
      </c>
      <c r="C29" s="223"/>
      <c r="D29" s="223"/>
      <c r="E29" s="223"/>
      <c r="F29" s="223"/>
      <c r="G29" s="223"/>
      <c r="H29" s="223"/>
      <c r="I29" s="223">
        <v>0.8</v>
      </c>
      <c r="J29" s="223"/>
      <c r="K29" s="223"/>
      <c r="L29" s="223">
        <v>-0.2</v>
      </c>
      <c r="M29" s="570">
        <v>-3.3</v>
      </c>
      <c r="N29" s="570">
        <v>-5</v>
      </c>
      <c r="O29" s="570">
        <v>-2.2000000000000002</v>
      </c>
      <c r="P29" s="570">
        <f>Q29-O29-N29-M29</f>
        <v>-2.0000000000000009</v>
      </c>
      <c r="Q29" s="223">
        <v>-12.5</v>
      </c>
      <c r="R29" s="570">
        <v>-0.8</v>
      </c>
      <c r="S29" s="570">
        <v>1.4</v>
      </c>
      <c r="T29" s="570">
        <v>0</v>
      </c>
      <c r="U29" s="584">
        <v>0</v>
      </c>
      <c r="V29" s="223">
        <f>U29+T29+S29+R29</f>
        <v>0.59999999999999987</v>
      </c>
      <c r="W29" s="570"/>
      <c r="X29" s="570"/>
      <c r="Y29" s="570"/>
      <c r="Z29" s="570"/>
      <c r="AA29" s="585">
        <v>0</v>
      </c>
      <c r="AB29" s="570"/>
      <c r="AC29" s="570"/>
      <c r="AD29" s="570"/>
      <c r="AE29" s="570"/>
      <c r="AF29" s="585">
        <v>0</v>
      </c>
      <c r="AG29" s="585">
        <v>0</v>
      </c>
      <c r="AH29" s="585">
        <v>0</v>
      </c>
      <c r="AI29" s="585">
        <v>0</v>
      </c>
      <c r="AJ29" s="585">
        <v>0</v>
      </c>
      <c r="AK29" s="585">
        <v>0</v>
      </c>
      <c r="AL29" s="585">
        <v>0</v>
      </c>
      <c r="AM29" s="585">
        <v>0</v>
      </c>
      <c r="AN29" s="585">
        <v>0</v>
      </c>
      <c r="AO29" s="585">
        <v>0</v>
      </c>
      <c r="AP29" s="585">
        <v>0</v>
      </c>
      <c r="AQ29" s="585">
        <v>0</v>
      </c>
      <c r="AR29" s="585">
        <v>0</v>
      </c>
    </row>
    <row r="30" spans="2:44">
      <c r="M30" s="416"/>
      <c r="N30" s="416"/>
      <c r="O30" s="416"/>
      <c r="P30" s="416"/>
      <c r="R30" s="416"/>
      <c r="S30" s="416"/>
      <c r="T30" s="416"/>
      <c r="U30" s="416"/>
      <c r="W30" s="416"/>
      <c r="X30" s="416"/>
      <c r="Y30" s="416"/>
      <c r="Z30" s="416"/>
      <c r="AB30" s="416"/>
      <c r="AC30" s="416"/>
      <c r="AD30" s="416"/>
      <c r="AE30" s="416"/>
      <c r="AN30" s="413"/>
      <c r="AO30" s="413"/>
      <c r="AP30" s="413"/>
      <c r="AQ30" s="413"/>
      <c r="AR30" s="413"/>
    </row>
    <row r="31" spans="2:44">
      <c r="B31" s="200" t="s">
        <v>470</v>
      </c>
      <c r="C31" s="224">
        <v>69.400000000000006</v>
      </c>
      <c r="D31" s="224"/>
      <c r="E31" s="224"/>
      <c r="F31" s="224"/>
      <c r="G31" s="224"/>
      <c r="H31" s="224"/>
      <c r="I31" s="224"/>
      <c r="J31" s="224"/>
      <c r="K31" s="224"/>
      <c r="L31" s="224">
        <f>L25+L29</f>
        <v>334.39244163017099</v>
      </c>
      <c r="M31" s="571">
        <v>78.167000000000002</v>
      </c>
      <c r="N31" s="571">
        <v>111.08799999999999</v>
      </c>
      <c r="O31" s="571">
        <v>54.131</v>
      </c>
      <c r="P31" s="571">
        <f>Q31-O31-N31-M31</f>
        <v>59.714000000000027</v>
      </c>
      <c r="Q31" s="224">
        <v>303.10000000000002</v>
      </c>
      <c r="R31" s="571">
        <v>65.403000000000006</v>
      </c>
      <c r="S31" s="571">
        <v>78.444000000000003</v>
      </c>
      <c r="T31" s="571">
        <v>77.727999999999994</v>
      </c>
      <c r="U31" s="571">
        <f>V31-T31-S31-R31</f>
        <v>88.233997177637789</v>
      </c>
      <c r="V31" s="224">
        <f>SUM(V21:V24)</f>
        <v>309.80899717763782</v>
      </c>
      <c r="W31" s="571">
        <f>IS!AG8</f>
        <v>80.558000000000007</v>
      </c>
      <c r="X31" s="571">
        <f>IS!AH8</f>
        <v>85.7</v>
      </c>
      <c r="Y31" s="571">
        <f>IS!AI8</f>
        <v>72.099999999999994</v>
      </c>
      <c r="Z31" s="571">
        <f>AA31-Y31-X31-W31</f>
        <v>82.128142870328347</v>
      </c>
      <c r="AA31" s="224">
        <f t="shared" ref="AA31:AM31" si="51">SUM(AA21:AA24)</f>
        <v>320.48614287032837</v>
      </c>
      <c r="AB31" s="571">
        <f>($AF31/$AA31)*W31</f>
        <v>86.487084884703464</v>
      </c>
      <c r="AC31" s="571">
        <f t="shared" ref="AC31" si="52">($AF31/$AA31)*X31</f>
        <v>92.007537111386654</v>
      </c>
      <c r="AD31" s="571">
        <f t="shared" ref="AD31" si="53">($AF31/$AA31)*Y31</f>
        <v>77.406574395927393</v>
      </c>
      <c r="AE31" s="571">
        <f t="shared" ref="AE31" si="54">($AF31/$AA31)*Z31</f>
        <v>88.172790583792306</v>
      </c>
      <c r="AF31" s="224">
        <f t="shared" si="51"/>
        <v>344.07398697580982</v>
      </c>
      <c r="AG31" s="224">
        <f t="shared" si="51"/>
        <v>350.63012515514612</v>
      </c>
      <c r="AH31" s="224">
        <f t="shared" si="51"/>
        <v>357.255084660026</v>
      </c>
      <c r="AI31" s="224">
        <f t="shared" si="51"/>
        <v>363.95011245978117</v>
      </c>
      <c r="AJ31" s="224">
        <f t="shared" si="51"/>
        <v>370.71646497338293</v>
      </c>
      <c r="AK31" s="224">
        <f t="shared" si="51"/>
        <v>377.55540832737728</v>
      </c>
      <c r="AL31" s="224">
        <f t="shared" si="51"/>
        <v>384.46821861682884</v>
      </c>
      <c r="AM31" s="224">
        <f t="shared" si="51"/>
        <v>391.45618216932775</v>
      </c>
      <c r="AN31" s="224">
        <f t="shared" ref="AN31:AR31" si="55">SUM(AN21:AN24)</f>
        <v>398.52059581212325</v>
      </c>
      <c r="AO31" s="224">
        <f t="shared" si="55"/>
        <v>405.66276714243816</v>
      </c>
      <c r="AP31" s="224">
        <f t="shared" si="55"/>
        <v>412.88401480102755</v>
      </c>
      <c r="AQ31" s="224">
        <f t="shared" si="55"/>
        <v>420.18566874904036</v>
      </c>
      <c r="AR31" s="224">
        <f t="shared" si="55"/>
        <v>427.56907054824626</v>
      </c>
    </row>
    <row r="32" spans="2:44" s="413" customFormat="1">
      <c r="B32" s="190" t="s">
        <v>273</v>
      </c>
      <c r="C32" s="179"/>
      <c r="D32" s="179"/>
      <c r="E32" s="179"/>
      <c r="F32" s="179"/>
      <c r="G32" s="188"/>
      <c r="H32" s="179"/>
      <c r="I32" s="179"/>
      <c r="J32" s="179"/>
      <c r="K32" s="179"/>
      <c r="L32" s="188"/>
      <c r="M32" s="572"/>
      <c r="N32" s="572"/>
      <c r="O32" s="572"/>
      <c r="P32" s="572"/>
      <c r="Q32" s="188">
        <f>Q31/L31-1</f>
        <v>-9.357999085631119E-2</v>
      </c>
      <c r="R32" s="423">
        <f t="shared" ref="R32" si="56">R31/M31-1</f>
        <v>-0.16329141453554563</v>
      </c>
      <c r="S32" s="423">
        <f t="shared" ref="S32" si="57">S31/N31-1</f>
        <v>-0.29385712228143446</v>
      </c>
      <c r="T32" s="423">
        <f t="shared" ref="T32" si="58">T31/O31-1</f>
        <v>0.43592396223975149</v>
      </c>
      <c r="U32" s="423">
        <f t="shared" ref="U32" si="59">U31/P31-1</f>
        <v>0.47760989345275395</v>
      </c>
      <c r="V32" s="188">
        <f t="shared" ref="V32:AA32" si="60">V31/Q31-1</f>
        <v>2.2134599728267146E-2</v>
      </c>
      <c r="W32" s="423">
        <f t="shared" si="60"/>
        <v>0.23171719951684167</v>
      </c>
      <c r="X32" s="423">
        <f t="shared" si="60"/>
        <v>9.249910764366942E-2</v>
      </c>
      <c r="Y32" s="423">
        <f t="shared" si="60"/>
        <v>-7.2406340057636909E-2</v>
      </c>
      <c r="Z32" s="423">
        <f t="shared" si="60"/>
        <v>-6.9200699306603775E-2</v>
      </c>
      <c r="AA32" s="188">
        <f t="shared" si="60"/>
        <v>3.4463639823114844E-2</v>
      </c>
      <c r="AB32" s="423">
        <f t="shared" ref="AB32" si="61">AB31/W31-1</f>
        <v>7.3600199666121968E-2</v>
      </c>
      <c r="AC32" s="423">
        <f t="shared" ref="AC32" si="62">AC31/X31-1</f>
        <v>7.3600199666121968E-2</v>
      </c>
      <c r="AD32" s="423">
        <f t="shared" ref="AD32" si="63">AD31/Y31-1</f>
        <v>7.3600199666121968E-2</v>
      </c>
      <c r="AE32" s="423">
        <f t="shared" ref="AE32" si="64">AE31/Z31-1</f>
        <v>7.3600199666121968E-2</v>
      </c>
      <c r="AF32" s="188">
        <f t="shared" ref="AF32" si="65">AF31/AA31-1</f>
        <v>7.3600199666121968E-2</v>
      </c>
      <c r="AG32" s="188">
        <f t="shared" ref="AG32" si="66">AG31/AF31-1</f>
        <v>1.9054443019539402E-2</v>
      </c>
      <c r="AH32" s="188">
        <f t="shared" ref="AH32" si="67">AH31/AG31-1</f>
        <v>1.8894438981671868E-2</v>
      </c>
      <c r="AI32" s="188">
        <f t="shared" ref="AI32" si="68">AI31/AH31-1</f>
        <v>1.874018897764973E-2</v>
      </c>
      <c r="AJ32" s="188">
        <f t="shared" ref="AJ32" si="69">AJ31/AI31-1</f>
        <v>1.859142855560858E-2</v>
      </c>
      <c r="AK32" s="188">
        <f t="shared" ref="AK32" si="70">AK31/AJ31-1</f>
        <v>1.8447908307728911E-2</v>
      </c>
      <c r="AL32" s="188">
        <f t="shared" ref="AL32" si="71">AL31/AK31-1</f>
        <v>1.8309392838725902E-2</v>
      </c>
      <c r="AM32" s="188">
        <f t="shared" ref="AM32" si="72">AM31/AL31-1</f>
        <v>1.8175659818226331E-2</v>
      </c>
      <c r="AN32" s="188">
        <f t="shared" ref="AN32" si="73">AN31/AM31-1</f>
        <v>1.8046499109164005E-2</v>
      </c>
      <c r="AO32" s="188">
        <f t="shared" ref="AO32" si="74">AO31/AN31-1</f>
        <v>1.7921711965125153E-2</v>
      </c>
      <c r="AP32" s="188">
        <f t="shared" ref="AP32" si="75">AP31/AO31-1</f>
        <v>1.7801110290345701E-2</v>
      </c>
      <c r="AQ32" s="188">
        <f t="shared" ref="AQ32" si="76">AQ31/AP31-1</f>
        <v>1.7684515956694291E-2</v>
      </c>
      <c r="AR32" s="188">
        <f t="shared" ref="AR32" si="77">AR31/AQ31-1</f>
        <v>1.7571760172562456E-2</v>
      </c>
    </row>
    <row r="33" spans="2:44">
      <c r="M33" s="416"/>
      <c r="N33" s="416"/>
      <c r="O33" s="416"/>
      <c r="P33" s="416"/>
      <c r="R33" s="416"/>
      <c r="S33" s="416"/>
      <c r="T33" s="416"/>
      <c r="U33" s="416"/>
      <c r="W33" s="416"/>
      <c r="X33" s="416"/>
      <c r="Y33" s="416"/>
      <c r="Z33" s="416"/>
      <c r="AB33" s="416"/>
      <c r="AC33" s="416"/>
      <c r="AD33" s="416"/>
      <c r="AE33" s="416"/>
    </row>
    <row r="34" spans="2:44">
      <c r="B34" s="221" t="s">
        <v>262</v>
      </c>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735"/>
      <c r="AC34" s="735"/>
      <c r="AD34" s="735"/>
      <c r="AE34" s="735"/>
      <c r="AF34" s="222"/>
      <c r="AG34" s="222"/>
      <c r="AH34" s="222"/>
      <c r="AI34" s="222"/>
      <c r="AJ34" s="222"/>
      <c r="AK34" s="222"/>
      <c r="AL34" s="222"/>
      <c r="AM34" s="222"/>
      <c r="AN34" s="222"/>
      <c r="AO34" s="222"/>
      <c r="AP34" s="222"/>
      <c r="AQ34" s="222"/>
      <c r="AR34" s="222"/>
    </row>
    <row r="35" spans="2:44">
      <c r="B35" s="225" t="s">
        <v>227</v>
      </c>
      <c r="C35" s="223"/>
      <c r="D35" s="223"/>
      <c r="E35" s="223"/>
      <c r="F35" s="223"/>
      <c r="G35" s="223"/>
      <c r="H35" s="223"/>
      <c r="I35" s="223"/>
      <c r="J35" s="223"/>
      <c r="K35" s="223"/>
      <c r="L35" s="223">
        <f>PKU!F87</f>
        <v>141.28223703135671</v>
      </c>
      <c r="M35" s="570"/>
      <c r="N35" s="570"/>
      <c r="O35" s="570"/>
      <c r="P35" s="570"/>
      <c r="Q35" s="223">
        <f>PKU!G87</f>
        <v>168.15405211378868</v>
      </c>
      <c r="R35" s="570"/>
      <c r="S35" s="570"/>
      <c r="T35" s="570"/>
      <c r="U35" s="570"/>
      <c r="V35" s="223">
        <f>PKU!H87</f>
        <v>188.79688042380619</v>
      </c>
      <c r="W35" s="570"/>
      <c r="X35" s="570"/>
      <c r="Y35" s="570"/>
      <c r="Z35" s="570"/>
      <c r="AA35" s="223">
        <f>PKU!I87</f>
        <v>210.36870365437133</v>
      </c>
      <c r="AB35" s="570"/>
      <c r="AC35" s="570"/>
      <c r="AD35" s="570"/>
      <c r="AE35" s="570"/>
      <c r="AF35" s="223">
        <f>PKU!J87</f>
        <v>231.71082031590004</v>
      </c>
      <c r="AG35" s="223">
        <f>PKU!K87</f>
        <v>251.02349782997592</v>
      </c>
      <c r="AH35" s="223">
        <f>PKU!L87</f>
        <v>268.63743794204061</v>
      </c>
      <c r="AI35" s="223">
        <f>PKU!M87</f>
        <v>284.22237858176589</v>
      </c>
      <c r="AJ35" s="223">
        <f>PKU!N87</f>
        <v>299.99959128017014</v>
      </c>
      <c r="AK35" s="223">
        <f>PKU!O87</f>
        <v>316.54163504681458</v>
      </c>
      <c r="AL35" s="223">
        <f>PKU!P87</f>
        <v>328.72651007016981</v>
      </c>
      <c r="AM35" s="223">
        <f>PKU!Q87</f>
        <v>340.08188215675688</v>
      </c>
      <c r="AN35" s="223">
        <f>PKU!R87</f>
        <v>352.18718848610786</v>
      </c>
      <c r="AO35" s="223">
        <f>PKU!S87</f>
        <v>364.57720272971886</v>
      </c>
      <c r="AP35" s="223">
        <f>PKU!T87</f>
        <v>377.4097803317452</v>
      </c>
      <c r="AQ35" s="223">
        <f>PKU!U87</f>
        <v>390.65354452344468</v>
      </c>
      <c r="AR35" s="223">
        <f>PKU!V87</f>
        <v>404.33525081069081</v>
      </c>
    </row>
    <row r="36" spans="2:44">
      <c r="B36" s="225" t="s">
        <v>228</v>
      </c>
      <c r="C36" s="223"/>
      <c r="D36" s="223"/>
      <c r="E36" s="223"/>
      <c r="F36" s="223"/>
      <c r="G36" s="223"/>
      <c r="H36" s="223"/>
      <c r="I36" s="223"/>
      <c r="J36" s="223"/>
      <c r="K36" s="223"/>
      <c r="L36" s="223">
        <f>PKU!F88</f>
        <v>59.556889181545159</v>
      </c>
      <c r="M36" s="570"/>
      <c r="N36" s="570"/>
      <c r="O36" s="570"/>
      <c r="P36" s="570"/>
      <c r="Q36" s="223">
        <f>PKU!G88</f>
        <v>69.150666527188804</v>
      </c>
      <c r="R36" s="570"/>
      <c r="S36" s="570"/>
      <c r="T36" s="570"/>
      <c r="U36" s="570"/>
      <c r="V36" s="223">
        <f>PKU!H88</f>
        <v>74.617213046834479</v>
      </c>
      <c r="W36" s="570"/>
      <c r="X36" s="570"/>
      <c r="Y36" s="570"/>
      <c r="Z36" s="570"/>
      <c r="AA36" s="223">
        <f>PKU!I88</f>
        <v>83.803123905267455</v>
      </c>
      <c r="AB36" s="570"/>
      <c r="AC36" s="570"/>
      <c r="AD36" s="570"/>
      <c r="AE36" s="570"/>
      <c r="AF36" s="223">
        <f>PKU!J88</f>
        <v>90.998815725729074</v>
      </c>
      <c r="AG36" s="223">
        <f>PKU!K88</f>
        <v>97.685610074274464</v>
      </c>
      <c r="AH36" s="223">
        <f>PKU!L88</f>
        <v>103.64229356681932</v>
      </c>
      <c r="AI36" s="223">
        <f>PKU!M88</f>
        <v>108.81650368768523</v>
      </c>
      <c r="AJ36" s="223">
        <f>PKU!N88</f>
        <v>114.89433072351554</v>
      </c>
      <c r="AK36" s="223">
        <f>PKU!O88</f>
        <v>121.14427770013036</v>
      </c>
      <c r="AL36" s="223">
        <f>PKU!P88</f>
        <v>123.94384467573553</v>
      </c>
      <c r="AM36" s="223">
        <f>PKU!Q88</f>
        <v>128.47807345892116</v>
      </c>
      <c r="AN36" s="223">
        <f>PKU!R88</f>
        <v>132.99510926614568</v>
      </c>
      <c r="AO36" s="223">
        <f>PKU!S88</f>
        <v>137.67778059595568</v>
      </c>
      <c r="AP36" s="223">
        <f>PKU!T88</f>
        <v>142.51269927406324</v>
      </c>
      <c r="AQ36" s="223">
        <f>PKU!U88</f>
        <v>147.50655140739272</v>
      </c>
      <c r="AR36" s="223">
        <f>PKU!V88</f>
        <v>152.6641485968245</v>
      </c>
    </row>
    <row r="37" spans="2:44">
      <c r="B37" s="226" t="s">
        <v>164</v>
      </c>
      <c r="C37" s="224"/>
      <c r="D37" s="224"/>
      <c r="E37" s="224"/>
      <c r="F37" s="224"/>
      <c r="G37" s="224"/>
      <c r="H37" s="224"/>
      <c r="I37" s="224"/>
      <c r="J37" s="224"/>
      <c r="K37" s="224"/>
      <c r="L37" s="224">
        <f>PKU!F90</f>
        <v>200.83912621290187</v>
      </c>
      <c r="M37" s="571"/>
      <c r="N37" s="571">
        <f>N43-N41</f>
        <v>58.190000000000005</v>
      </c>
      <c r="O37" s="571">
        <f>O43-O41</f>
        <v>62.318999999999996</v>
      </c>
      <c r="P37" s="571"/>
      <c r="Q37" s="224">
        <f>PKU!G90</f>
        <v>237.30471864097748</v>
      </c>
      <c r="R37" s="571">
        <f>R43-R41</f>
        <v>60.091999999999992</v>
      </c>
      <c r="S37" s="571">
        <f>S43-S41</f>
        <v>66.115000000000009</v>
      </c>
      <c r="T37" s="571">
        <f>T43-T41</f>
        <v>68.698999999999998</v>
      </c>
      <c r="U37" s="571">
        <f>V37-T37-S37-R37</f>
        <v>68.508093470640631</v>
      </c>
      <c r="V37" s="224">
        <f>PKU!H90</f>
        <v>263.41409347064064</v>
      </c>
      <c r="W37" s="571">
        <f>0.23*AA37</f>
        <v>67.659520338716931</v>
      </c>
      <c r="X37" s="571">
        <f>0.24*AA37</f>
        <v>70.601238614313317</v>
      </c>
      <c r="Y37" s="730">
        <f>0.26*AA37</f>
        <v>76.48467516550609</v>
      </c>
      <c r="Z37" s="571">
        <f>AA37-Y37-X37-W37</f>
        <v>79.426393441102476</v>
      </c>
      <c r="AA37" s="224">
        <f>PKU!I90</f>
        <v>294.17182755963881</v>
      </c>
      <c r="AB37" s="571">
        <f>($AF37/$AA37)*W37</f>
        <v>74.223216289574694</v>
      </c>
      <c r="AC37" s="571">
        <f t="shared" ref="AC37" si="78">($AF37/$AA37)*X37</f>
        <v>77.450312649990991</v>
      </c>
      <c r="AD37" s="571">
        <f t="shared" ref="AD37" si="79">($AF37/$AA37)*Y37</f>
        <v>83.904505370823571</v>
      </c>
      <c r="AE37" s="571">
        <f t="shared" ref="AE37" si="80">($AF37/$AA37)*Z37</f>
        <v>87.131601731239854</v>
      </c>
      <c r="AF37" s="224">
        <f>PKU!J90</f>
        <v>322.7096360416291</v>
      </c>
      <c r="AG37" s="224">
        <f>PKU!K90</f>
        <v>348.7091079042504</v>
      </c>
      <c r="AH37" s="224">
        <f>PKU!L90</f>
        <v>372.27973150885992</v>
      </c>
      <c r="AI37" s="224">
        <f>PKU!M90</f>
        <v>334.08304992903345</v>
      </c>
      <c r="AJ37" s="224">
        <f>PKU!N90</f>
        <v>290.42574540257999</v>
      </c>
      <c r="AK37" s="224">
        <f>PKU!O90</f>
        <v>207.90080855479883</v>
      </c>
      <c r="AL37" s="224">
        <f>PKU!P90</f>
        <v>96.192450383504848</v>
      </c>
      <c r="AM37" s="224">
        <f>PKU!Q90</f>
        <v>81.119442315964207</v>
      </c>
      <c r="AN37" s="224">
        <f>PKU!R90</f>
        <v>63.937929675664087</v>
      </c>
      <c r="AO37" s="224">
        <f>PKU!S90</f>
        <v>55.286109676279317</v>
      </c>
      <c r="AP37" s="224">
        <f>PKU!T90</f>
        <v>45.66358297020254</v>
      </c>
      <c r="AQ37" s="224">
        <f>PKU!U90</f>
        <v>34.992981786144647</v>
      </c>
      <c r="AR37" s="224">
        <f>PKU!V90</f>
        <v>23.19844117624806</v>
      </c>
    </row>
    <row r="38" spans="2:44">
      <c r="B38" s="205"/>
      <c r="C38" s="205"/>
      <c r="D38" s="205"/>
      <c r="E38" s="205"/>
      <c r="F38" s="205"/>
      <c r="G38" s="205"/>
      <c r="H38" s="205"/>
      <c r="I38" s="205"/>
      <c r="J38" s="205"/>
      <c r="K38" s="205"/>
      <c r="L38" s="205"/>
      <c r="M38" s="573"/>
      <c r="N38" s="573"/>
      <c r="O38" s="573"/>
      <c r="P38" s="573"/>
      <c r="Q38" s="205"/>
      <c r="R38" s="573"/>
      <c r="S38" s="573"/>
      <c r="T38" s="573"/>
      <c r="U38" s="573"/>
      <c r="V38" s="205"/>
      <c r="W38" s="573"/>
      <c r="X38" s="573"/>
      <c r="Y38" s="573"/>
      <c r="Z38" s="573"/>
      <c r="AA38" s="205"/>
      <c r="AB38" s="573"/>
      <c r="AC38" s="573"/>
      <c r="AD38" s="573"/>
      <c r="AE38" s="573"/>
      <c r="AF38" s="205"/>
      <c r="AG38" s="205"/>
      <c r="AH38" s="205"/>
      <c r="AI38" s="205"/>
      <c r="AJ38" s="205"/>
      <c r="AK38" s="205"/>
      <c r="AL38" s="205"/>
      <c r="AM38" s="205"/>
      <c r="AN38" s="205"/>
      <c r="AO38" s="205"/>
      <c r="AP38" s="205"/>
      <c r="AQ38" s="205"/>
      <c r="AR38" s="205"/>
    </row>
    <row r="39" spans="2:44">
      <c r="B39" s="225" t="s">
        <v>227</v>
      </c>
      <c r="C39" s="223"/>
      <c r="D39" s="223"/>
      <c r="E39" s="223"/>
      <c r="F39" s="223"/>
      <c r="G39" s="223"/>
      <c r="H39" s="223"/>
      <c r="I39" s="223"/>
      <c r="J39" s="223"/>
      <c r="K39" s="223"/>
      <c r="L39" s="223">
        <f>PKU!F92</f>
        <v>39.064538539170137</v>
      </c>
      <c r="M39" s="570"/>
      <c r="N39" s="570"/>
      <c r="O39" s="570"/>
      <c r="P39" s="570"/>
      <c r="Q39" s="223">
        <f>PKU!G92</f>
        <v>39.34804819462655</v>
      </c>
      <c r="R39" s="570"/>
      <c r="S39" s="570"/>
      <c r="T39" s="570"/>
      <c r="U39" s="570"/>
      <c r="V39" s="223">
        <f>PKU!H92</f>
        <v>66.078908148332161</v>
      </c>
      <c r="W39" s="570"/>
      <c r="X39" s="570"/>
      <c r="Y39" s="570"/>
      <c r="Z39" s="570"/>
      <c r="AA39" s="223">
        <f>PKU!I92</f>
        <v>84.147481461748541</v>
      </c>
      <c r="AB39" s="570"/>
      <c r="AC39" s="570"/>
      <c r="AD39" s="570"/>
      <c r="AE39" s="570"/>
      <c r="AF39" s="223">
        <f>PKU!J92</f>
        <v>104.26986914215502</v>
      </c>
      <c r="AG39" s="223">
        <f>PKU!K92</f>
        <v>119.23616146923855</v>
      </c>
      <c r="AH39" s="223">
        <f>PKU!L92</f>
        <v>141.03465491957132</v>
      </c>
      <c r="AI39" s="223">
        <f>PKU!M92</f>
        <v>163.42786768451538</v>
      </c>
      <c r="AJ39" s="223">
        <f>PKU!N92</f>
        <v>172.4997649860978</v>
      </c>
      <c r="AK39" s="223">
        <f>PKU!O92</f>
        <v>182.01144015191838</v>
      </c>
      <c r="AL39" s="223">
        <f>PKU!P92</f>
        <v>189.01774329034762</v>
      </c>
      <c r="AM39" s="223">
        <f>PKU!Q92</f>
        <v>195.54708224013518</v>
      </c>
      <c r="AN39" s="223">
        <f>PKU!R92</f>
        <v>202.50763337951201</v>
      </c>
      <c r="AO39" s="223">
        <f>PKU!S92</f>
        <v>209.63189156958833</v>
      </c>
      <c r="AP39" s="223">
        <f>PKU!T92</f>
        <v>217.01062369075348</v>
      </c>
      <c r="AQ39" s="223">
        <f>PKU!U92</f>
        <v>224.62578810098069</v>
      </c>
      <c r="AR39" s="223">
        <f>PKU!V92</f>
        <v>232.4927692161472</v>
      </c>
    </row>
    <row r="40" spans="2:44">
      <c r="B40" s="225" t="s">
        <v>228</v>
      </c>
      <c r="C40" s="223"/>
      <c r="D40" s="223"/>
      <c r="E40" s="223"/>
      <c r="F40" s="223"/>
      <c r="G40" s="223"/>
      <c r="H40" s="223"/>
      <c r="I40" s="223"/>
      <c r="J40" s="223"/>
      <c r="K40" s="223"/>
      <c r="L40" s="223">
        <f>PKU!F93</f>
        <v>16.437701414106467</v>
      </c>
      <c r="M40" s="570"/>
      <c r="N40" s="570"/>
      <c r="O40" s="570"/>
      <c r="P40" s="570"/>
      <c r="Q40" s="223">
        <f>PKU!G93</f>
        <v>16.18125596736218</v>
      </c>
      <c r="R40" s="570"/>
      <c r="S40" s="570"/>
      <c r="T40" s="570"/>
      <c r="U40" s="570"/>
      <c r="V40" s="223">
        <f>PKU!H93</f>
        <v>26.116024566392067</v>
      </c>
      <c r="W40" s="570"/>
      <c r="X40" s="570"/>
      <c r="Y40" s="570"/>
      <c r="Z40" s="570"/>
      <c r="AA40" s="223">
        <f>PKU!I93</f>
        <v>33.521249562106981</v>
      </c>
      <c r="AB40" s="570"/>
      <c r="AC40" s="570"/>
      <c r="AD40" s="570"/>
      <c r="AE40" s="570"/>
      <c r="AF40" s="223">
        <f>PKU!J93</f>
        <v>40.949467076578081</v>
      </c>
      <c r="AG40" s="223">
        <f>PKU!K93</f>
        <v>46.40066478528037</v>
      </c>
      <c r="AH40" s="223">
        <f>PKU!L93</f>
        <v>54.412204122580142</v>
      </c>
      <c r="AI40" s="223">
        <f>PKU!M93</f>
        <v>62.569489620418999</v>
      </c>
      <c r="AJ40" s="223">
        <f>PKU!N93</f>
        <v>66.064240166021435</v>
      </c>
      <c r="AK40" s="223">
        <f>PKU!O93</f>
        <v>69.657959677574951</v>
      </c>
      <c r="AL40" s="223">
        <f>PKU!P93</f>
        <v>71.267710688547922</v>
      </c>
      <c r="AM40" s="223">
        <f>PKU!Q93</f>
        <v>73.874892238879667</v>
      </c>
      <c r="AN40" s="223">
        <f>PKU!R93</f>
        <v>76.472187828033753</v>
      </c>
      <c r="AO40" s="223">
        <f>PKU!S93</f>
        <v>79.164723842674505</v>
      </c>
      <c r="AP40" s="223">
        <f>PKU!T93</f>
        <v>81.944802082586349</v>
      </c>
      <c r="AQ40" s="223">
        <f>PKU!U93</f>
        <v>84.816267059250805</v>
      </c>
      <c r="AR40" s="223">
        <f>PKU!V93</f>
        <v>87.781885443174076</v>
      </c>
    </row>
    <row r="41" spans="2:44">
      <c r="B41" s="226" t="s">
        <v>165</v>
      </c>
      <c r="C41" s="224"/>
      <c r="D41" s="562"/>
      <c r="E41" s="562"/>
      <c r="F41" s="224"/>
      <c r="G41" s="224"/>
      <c r="H41" s="224"/>
      <c r="I41" s="562"/>
      <c r="J41" s="562"/>
      <c r="K41" s="224"/>
      <c r="L41" s="224">
        <f>PKU!F95</f>
        <v>55.5022399532766</v>
      </c>
      <c r="M41" s="571"/>
      <c r="N41" s="571">
        <v>1.9</v>
      </c>
      <c r="O41" s="571">
        <v>1.9</v>
      </c>
      <c r="P41" s="571"/>
      <c r="Q41" s="224">
        <f>PKU!G95</f>
        <v>55.529304161988733</v>
      </c>
      <c r="R41" s="571">
        <v>16.600000000000001</v>
      </c>
      <c r="S41" s="571">
        <v>24.1</v>
      </c>
      <c r="T41" s="571">
        <v>22.2</v>
      </c>
      <c r="U41" s="571">
        <f>V41-T41-S41-R41</f>
        <v>29.294932714724226</v>
      </c>
      <c r="V41" s="224">
        <f>PKU!H95</f>
        <v>92.194932714724231</v>
      </c>
      <c r="W41" s="571">
        <f>W43-W37</f>
        <v>24.686479661283073</v>
      </c>
      <c r="X41" s="571">
        <f>X43-X37</f>
        <v>31.398761385686683</v>
      </c>
      <c r="Y41" s="730">
        <f>Y43-Y37</f>
        <v>29.315324834493907</v>
      </c>
      <c r="Z41" s="571">
        <f>AA41-Y41-X41-W41</f>
        <v>32.268165142391851</v>
      </c>
      <c r="AA41" s="224">
        <f>PKU!I95</f>
        <v>117.66873102385551</v>
      </c>
      <c r="AB41" s="571">
        <f t="shared" ref="AB41:AE41" si="81">AB43-AB37</f>
        <v>30.699351368595799</v>
      </c>
      <c r="AC41" s="571">
        <f t="shared" si="81"/>
        <v>38.441029705209999</v>
      </c>
      <c r="AD41" s="571">
        <f t="shared" si="81"/>
        <v>36.304357581924123</v>
      </c>
      <c r="AE41" s="571">
        <f t="shared" si="81"/>
        <v>39.774597563003226</v>
      </c>
      <c r="AF41" s="224">
        <f>PKU!J95</f>
        <v>145.2193362187331</v>
      </c>
      <c r="AG41" s="224">
        <f>PKU!K95</f>
        <v>165.63682625451892</v>
      </c>
      <c r="AH41" s="224">
        <f>PKU!L95</f>
        <v>195.44685904215146</v>
      </c>
      <c r="AI41" s="224">
        <f>PKU!M95</f>
        <v>225.99735730493438</v>
      </c>
      <c r="AJ41" s="224">
        <f>PKU!N95</f>
        <v>238.56400515211925</v>
      </c>
      <c r="AK41" s="224">
        <f>PKU!O95</f>
        <v>251.66939982949333</v>
      </c>
      <c r="AL41" s="224">
        <f>PKU!P95</f>
        <v>260.28545397889553</v>
      </c>
      <c r="AM41" s="224">
        <f>PKU!Q95</f>
        <v>237.30471864097748</v>
      </c>
      <c r="AN41" s="224">
        <f>PKU!R95</f>
        <v>223.18385696603664</v>
      </c>
      <c r="AO41" s="224">
        <f>PKU!S95</f>
        <v>187.71780001797083</v>
      </c>
      <c r="AP41" s="224">
        <f>PKU!T95</f>
        <v>142.0038272423364</v>
      </c>
      <c r="AQ41" s="224">
        <f>PKU!U95</f>
        <v>138.86212225315387</v>
      </c>
      <c r="AR41" s="224">
        <f>PKU!V95</f>
        <v>134.89568110932288</v>
      </c>
    </row>
    <row r="42" spans="2:44">
      <c r="B42" s="205"/>
      <c r="C42" s="205"/>
      <c r="D42" s="205"/>
      <c r="E42" s="205"/>
      <c r="F42" s="205"/>
      <c r="G42" s="205"/>
      <c r="H42" s="205"/>
      <c r="I42" s="205"/>
      <c r="J42" s="205"/>
      <c r="K42" s="205"/>
      <c r="L42" s="205"/>
      <c r="M42" s="573"/>
      <c r="N42" s="573"/>
      <c r="O42" s="573"/>
      <c r="P42" s="573"/>
      <c r="Q42" s="205"/>
      <c r="R42" s="573"/>
      <c r="S42" s="573"/>
      <c r="T42" s="573"/>
      <c r="U42" s="573"/>
      <c r="V42" s="205"/>
      <c r="W42" s="573"/>
      <c r="X42" s="573"/>
      <c r="Y42" s="573"/>
      <c r="Z42" s="573"/>
      <c r="AA42" s="205"/>
      <c r="AB42" s="573"/>
      <c r="AC42" s="573"/>
      <c r="AD42" s="573"/>
      <c r="AE42" s="573"/>
      <c r="AF42" s="205"/>
      <c r="AG42" s="205"/>
      <c r="AH42" s="205"/>
      <c r="AI42" s="205"/>
      <c r="AJ42" s="205"/>
      <c r="AK42" s="205"/>
      <c r="AL42" s="205"/>
      <c r="AM42" s="205"/>
      <c r="AN42" s="205"/>
      <c r="AO42" s="205"/>
      <c r="AP42" s="205"/>
      <c r="AQ42" s="205"/>
      <c r="AR42" s="205"/>
    </row>
    <row r="43" spans="2:44" s="413" customFormat="1">
      <c r="B43" s="226" t="s">
        <v>168</v>
      </c>
      <c r="C43" s="224">
        <v>37.6</v>
      </c>
      <c r="D43" s="562"/>
      <c r="E43" s="562"/>
      <c r="F43" s="224"/>
      <c r="G43" s="224"/>
      <c r="H43" s="224">
        <v>45.2</v>
      </c>
      <c r="I43" s="562">
        <v>46.9</v>
      </c>
      <c r="J43" s="562"/>
      <c r="K43" s="224"/>
      <c r="L43" s="224">
        <f t="shared" ref="L43:AM43" si="82">L41+L37</f>
        <v>256.34136616617849</v>
      </c>
      <c r="M43" s="571">
        <v>50.192999999999998</v>
      </c>
      <c r="N43" s="571">
        <v>60.09</v>
      </c>
      <c r="O43" s="571">
        <v>64.218999999999994</v>
      </c>
      <c r="P43" s="571">
        <f>Q43-O43-N43-M43</f>
        <v>118.33202280296622</v>
      </c>
      <c r="Q43" s="224">
        <f t="shared" si="82"/>
        <v>292.83402280296622</v>
      </c>
      <c r="R43" s="571">
        <v>76.691999999999993</v>
      </c>
      <c r="S43" s="571">
        <v>90.215000000000003</v>
      </c>
      <c r="T43" s="571">
        <v>90.899000000000001</v>
      </c>
      <c r="U43" s="571">
        <f>V43-T43-S43-R43</f>
        <v>97.803026185364885</v>
      </c>
      <c r="V43" s="224">
        <f t="shared" si="82"/>
        <v>355.60902618536488</v>
      </c>
      <c r="W43" s="571">
        <f>IS!AG10</f>
        <v>92.346000000000004</v>
      </c>
      <c r="X43" s="571">
        <f>IS!AH10</f>
        <v>102</v>
      </c>
      <c r="Y43" s="571">
        <f>IS!AI10</f>
        <v>105.8</v>
      </c>
      <c r="Z43" s="571">
        <f>Z41+Z37</f>
        <v>111.69455858349433</v>
      </c>
      <c r="AA43" s="224">
        <f t="shared" si="82"/>
        <v>411.84055858349433</v>
      </c>
      <c r="AB43" s="571">
        <f>($AF43/$AA43)*W43</f>
        <v>104.92256765817049</v>
      </c>
      <c r="AC43" s="571">
        <f t="shared" ref="AC43" si="83">($AF43/$AA43)*X43</f>
        <v>115.89134235520099</v>
      </c>
      <c r="AD43" s="571">
        <f t="shared" ref="AD43" si="84">($AF43/$AA43)*Y43</f>
        <v>120.20886295274769</v>
      </c>
      <c r="AE43" s="571">
        <f t="shared" ref="AE43" si="85">($AF43/$AA43)*Z43</f>
        <v>126.90619929424308</v>
      </c>
      <c r="AF43" s="224">
        <f t="shared" si="82"/>
        <v>467.92897226036223</v>
      </c>
      <c r="AG43" s="224">
        <f t="shared" si="82"/>
        <v>514.3459341587693</v>
      </c>
      <c r="AH43" s="224">
        <f t="shared" si="82"/>
        <v>567.72659055101144</v>
      </c>
      <c r="AI43" s="224">
        <f t="shared" si="82"/>
        <v>560.08040723396789</v>
      </c>
      <c r="AJ43" s="224">
        <f t="shared" si="82"/>
        <v>528.98975055469919</v>
      </c>
      <c r="AK43" s="224">
        <f t="shared" si="82"/>
        <v>459.57020838429219</v>
      </c>
      <c r="AL43" s="224">
        <f t="shared" si="82"/>
        <v>356.47790436240041</v>
      </c>
      <c r="AM43" s="224">
        <f t="shared" si="82"/>
        <v>318.42416095694171</v>
      </c>
      <c r="AN43" s="224">
        <f t="shared" ref="AN43:AR43" si="86">AN41+AN37</f>
        <v>287.12178664170074</v>
      </c>
      <c r="AO43" s="224">
        <f t="shared" si="86"/>
        <v>243.00390969425015</v>
      </c>
      <c r="AP43" s="224">
        <f t="shared" si="86"/>
        <v>187.66741021253893</v>
      </c>
      <c r="AQ43" s="224">
        <f t="shared" si="86"/>
        <v>173.85510403929851</v>
      </c>
      <c r="AR43" s="224">
        <f t="shared" si="86"/>
        <v>158.09412228557093</v>
      </c>
    </row>
    <row r="44" spans="2:44" s="413" customFormat="1">
      <c r="B44" s="190" t="s">
        <v>273</v>
      </c>
      <c r="C44" s="179"/>
      <c r="D44" s="179"/>
      <c r="E44" s="179"/>
      <c r="F44" s="179"/>
      <c r="G44" s="188"/>
      <c r="H44" s="179"/>
      <c r="I44" s="179"/>
      <c r="J44" s="179"/>
      <c r="K44" s="179"/>
      <c r="L44" s="188"/>
      <c r="M44" s="572"/>
      <c r="N44" s="572"/>
      <c r="O44" s="572"/>
      <c r="P44" s="572"/>
      <c r="Q44" s="188">
        <f>Q43/L43-1</f>
        <v>0.14235960891747235</v>
      </c>
      <c r="R44" s="423">
        <f t="shared" ref="R44" si="87">R43/M43-1</f>
        <v>0.5279421433267586</v>
      </c>
      <c r="S44" s="423">
        <f t="shared" ref="S44" si="88">S43/N43-1</f>
        <v>0.50133133632884008</v>
      </c>
      <c r="T44" s="423">
        <f t="shared" ref="T44" si="89">T43/O43-1</f>
        <v>0.41545337049782782</v>
      </c>
      <c r="U44" s="423">
        <f t="shared" ref="U44" si="90">U43/P43-1</f>
        <v>-0.17348639980391456</v>
      </c>
      <c r="V44" s="188">
        <f t="shared" ref="V44:AA44" si="91">V43/Q43-1</f>
        <v>0.21437059390000224</v>
      </c>
      <c r="W44" s="423">
        <f t="shared" si="91"/>
        <v>0.20411516194648738</v>
      </c>
      <c r="X44" s="423">
        <f t="shared" si="91"/>
        <v>0.13063237820761509</v>
      </c>
      <c r="Y44" s="423">
        <f t="shared" si="91"/>
        <v>0.16392919614077162</v>
      </c>
      <c r="Z44" s="423">
        <f t="shared" si="91"/>
        <v>0.14203581361379336</v>
      </c>
      <c r="AA44" s="188">
        <f t="shared" si="91"/>
        <v>0.15812740469871578</v>
      </c>
      <c r="AB44" s="423">
        <f t="shared" ref="AB44" si="92">AB43/W43-1</f>
        <v>0.13618963093334302</v>
      </c>
      <c r="AC44" s="423">
        <f t="shared" ref="AC44" si="93">AC43/X43-1</f>
        <v>0.13618963093334302</v>
      </c>
      <c r="AD44" s="423">
        <f t="shared" ref="AD44" si="94">AD43/Y43-1</f>
        <v>0.13618963093334302</v>
      </c>
      <c r="AE44" s="423">
        <f t="shared" ref="AE44" si="95">AE43/Z43-1</f>
        <v>0.13618963093334302</v>
      </c>
      <c r="AF44" s="188">
        <f t="shared" ref="AF44" si="96">AF43/AA43-1</f>
        <v>0.13618963093334302</v>
      </c>
      <c r="AG44" s="188">
        <f t="shared" ref="AG44" si="97">AG43/AF43-1</f>
        <v>9.919659745406828E-2</v>
      </c>
      <c r="AH44" s="188">
        <f t="shared" ref="AH44" si="98">AH43/AG43-1</f>
        <v>0.10378356830903712</v>
      </c>
      <c r="AI44" s="188">
        <f t="shared" ref="AI44" si="99">AI43/AH43-1</f>
        <v>-1.3468073266785896E-2</v>
      </c>
      <c r="AJ44" s="188">
        <f t="shared" ref="AJ44" si="100">AJ43/AI43-1</f>
        <v>-5.5511059265247464E-2</v>
      </c>
      <c r="AK44" s="188">
        <f t="shared" ref="AK44" si="101">AK43/AJ43-1</f>
        <v>-0.13123041060363383</v>
      </c>
      <c r="AL44" s="188">
        <f t="shared" ref="AL44" si="102">AL43/AK43-1</f>
        <v>-0.22432329629096859</v>
      </c>
      <c r="AM44" s="188">
        <f t="shared" ref="AM44" si="103">AM43/AL43-1</f>
        <v>-0.10674923449609586</v>
      </c>
      <c r="AN44" s="188">
        <f t="shared" ref="AN44" si="104">AN43/AM43-1</f>
        <v>-9.8304017575707059E-2</v>
      </c>
      <c r="AO44" s="188">
        <f t="shared" ref="AO44" si="105">AO43/AN43-1</f>
        <v>-0.15365562280547274</v>
      </c>
      <c r="AP44" s="188">
        <f t="shared" ref="AP44" si="106">AP43/AO43-1</f>
        <v>-0.22771855626247395</v>
      </c>
      <c r="AQ44" s="188">
        <f t="shared" ref="AQ44" si="107">AQ43/AP43-1</f>
        <v>-7.3599918907590656E-2</v>
      </c>
      <c r="AR44" s="188">
        <f t="shared" ref="AR44" si="108">AR43/AQ43-1</f>
        <v>-9.0655847240268206E-2</v>
      </c>
    </row>
    <row r="45" spans="2:44">
      <c r="M45" s="416"/>
      <c r="N45" s="416"/>
      <c r="O45" s="416"/>
      <c r="P45" s="416"/>
      <c r="R45" s="416"/>
      <c r="S45" s="416"/>
      <c r="T45" s="416"/>
      <c r="U45" s="416"/>
      <c r="W45" s="416"/>
      <c r="X45" s="416"/>
      <c r="Y45" s="416"/>
      <c r="Z45" s="416"/>
      <c r="AB45" s="416"/>
      <c r="AC45" s="416"/>
      <c r="AD45" s="416"/>
      <c r="AE45" s="416"/>
    </row>
    <row r="46" spans="2:44">
      <c r="B46" s="221" t="s">
        <v>264</v>
      </c>
      <c r="C46" s="222"/>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735"/>
      <c r="AC46" s="735"/>
      <c r="AD46" s="735"/>
      <c r="AE46" s="735"/>
      <c r="AF46" s="222"/>
      <c r="AG46" s="222"/>
      <c r="AH46" s="222"/>
      <c r="AI46" s="222"/>
      <c r="AJ46" s="222"/>
      <c r="AK46" s="222"/>
      <c r="AL46" s="222"/>
      <c r="AM46" s="222"/>
      <c r="AN46" s="222"/>
      <c r="AO46" s="222"/>
      <c r="AP46" s="222"/>
      <c r="AQ46" s="222"/>
      <c r="AR46" s="222"/>
    </row>
    <row r="47" spans="2:44">
      <c r="B47" s="64" t="s">
        <v>256</v>
      </c>
      <c r="C47" s="223">
        <v>48.4</v>
      </c>
      <c r="D47" s="223"/>
      <c r="E47" s="223"/>
      <c r="F47" s="223"/>
      <c r="G47" s="223"/>
      <c r="H47" s="223">
        <v>55.9</v>
      </c>
      <c r="I47" s="223"/>
      <c r="J47" s="223"/>
      <c r="K47" s="223"/>
      <c r="L47" s="223">
        <f>Aldurazyme!Z46</f>
        <v>228.78473354141784</v>
      </c>
      <c r="M47" s="570">
        <v>53.4</v>
      </c>
      <c r="N47" s="570">
        <v>56.5</v>
      </c>
      <c r="O47" s="570">
        <v>53.8</v>
      </c>
      <c r="P47" s="570">
        <f>Q47-O47-N47-M47</f>
        <v>54.102512856575039</v>
      </c>
      <c r="Q47" s="223">
        <f>Aldurazyme!AA46</f>
        <v>217.80251285657502</v>
      </c>
      <c r="R47" s="570">
        <v>52.8</v>
      </c>
      <c r="S47" s="570">
        <v>56.8</v>
      </c>
      <c r="T47" s="570">
        <v>58.9</v>
      </c>
      <c r="U47" s="570">
        <f>V47-T47-S47-R47</f>
        <v>59.223095588150414</v>
      </c>
      <c r="V47" s="223">
        <f>Aldurazyme!AB46</f>
        <v>227.72309558815041</v>
      </c>
      <c r="W47" s="570"/>
      <c r="X47" s="570"/>
      <c r="Y47" s="570"/>
      <c r="Z47" s="570"/>
      <c r="AA47" s="223">
        <f>Aldurazyme!AC46</f>
        <v>231.65921375935841</v>
      </c>
      <c r="AB47" s="570"/>
      <c r="AC47" s="570"/>
      <c r="AD47" s="570"/>
      <c r="AE47" s="570"/>
      <c r="AF47" s="223">
        <f>Aldurazyme!AD46</f>
        <v>237.63946851924766</v>
      </c>
      <c r="AG47" s="223">
        <f>Aldurazyme!AE46</f>
        <v>243.76984505582294</v>
      </c>
      <c r="AH47" s="223">
        <f>Aldurazyme!AF46</f>
        <v>250.05410958567109</v>
      </c>
      <c r="AI47" s="223">
        <f>Aldurazyme!AG46</f>
        <v>256.49611892215449</v>
      </c>
      <c r="AJ47" s="223">
        <f>Aldurazyme!AH46</f>
        <v>263.09982255158474</v>
      </c>
      <c r="AK47" s="223">
        <f>Aldurazyme!AI46</f>
        <v>269.86926475509603</v>
      </c>
      <c r="AL47" s="223">
        <f>Aldurazyme!AJ46</f>
        <v>276.80858677719425</v>
      </c>
      <c r="AM47" s="223">
        <f>Aldurazyme!AK46</f>
        <v>283.92202904198041</v>
      </c>
      <c r="AN47" s="223">
        <f>Aldurazyme!AL46</f>
        <v>291.2139334180639</v>
      </c>
      <c r="AO47" s="223">
        <f>Aldurazyme!AM46</f>
        <v>298.68874553320484</v>
      </c>
      <c r="AP47" s="223">
        <f>Aldurazyme!AN46</f>
        <v>306.35101713974672</v>
      </c>
      <c r="AQ47" s="223">
        <f>Aldurazyme!AO46</f>
        <v>314.20540853192085</v>
      </c>
      <c r="AR47" s="223">
        <f>Aldurazyme!AP46</f>
        <v>322.25669101612851</v>
      </c>
    </row>
    <row r="48" spans="2:44">
      <c r="C48" s="223"/>
      <c r="D48" s="223"/>
      <c r="E48" s="223"/>
      <c r="F48" s="223"/>
      <c r="G48" s="223"/>
      <c r="H48" s="223"/>
      <c r="I48" s="223"/>
      <c r="J48" s="223"/>
      <c r="K48" s="223"/>
      <c r="L48" s="223"/>
      <c r="M48" s="570"/>
      <c r="N48" s="570"/>
      <c r="O48" s="570" t="s">
        <v>467</v>
      </c>
      <c r="P48" s="570"/>
      <c r="Q48" s="223"/>
      <c r="R48" s="570"/>
      <c r="S48" s="570"/>
      <c r="T48" s="570"/>
      <c r="U48" s="570"/>
      <c r="V48" s="223"/>
      <c r="W48" s="570"/>
      <c r="X48" s="570"/>
      <c r="Y48" s="570"/>
      <c r="Z48" s="570"/>
      <c r="AA48" s="223"/>
      <c r="AB48" s="570"/>
      <c r="AC48" s="570"/>
      <c r="AD48" s="570"/>
      <c r="AE48" s="570"/>
      <c r="AF48" s="223"/>
      <c r="AG48" s="223"/>
      <c r="AH48" s="223"/>
      <c r="AI48" s="223"/>
      <c r="AJ48" s="223"/>
      <c r="AK48" s="223"/>
      <c r="AL48" s="223"/>
      <c r="AM48" s="223"/>
      <c r="AN48" s="223"/>
      <c r="AO48" s="223"/>
      <c r="AP48" s="223"/>
      <c r="AQ48" s="223"/>
      <c r="AR48" s="223"/>
    </row>
    <row r="49" spans="2:44">
      <c r="B49" s="64" t="s">
        <v>254</v>
      </c>
      <c r="C49" s="223">
        <v>19.3</v>
      </c>
      <c r="D49" s="223"/>
      <c r="E49" s="223"/>
      <c r="F49" s="223"/>
      <c r="G49" s="223"/>
      <c r="H49" s="223">
        <v>21.9</v>
      </c>
      <c r="I49" s="223"/>
      <c r="J49" s="223"/>
      <c r="K49" s="223"/>
      <c r="L49" s="223">
        <f>Aldurazyme!Z51</f>
        <v>96.993527768870308</v>
      </c>
      <c r="M49" s="570">
        <v>22.3</v>
      </c>
      <c r="N49" s="570">
        <v>23.5</v>
      </c>
      <c r="O49" s="570">
        <v>23.3</v>
      </c>
      <c r="P49" s="570">
        <f>Q49-O49-N49-M49</f>
        <v>26.701105287694613</v>
      </c>
      <c r="Q49" s="223">
        <f>Aldurazyme!AA51</f>
        <v>95.801105287694611</v>
      </c>
      <c r="R49" s="570">
        <v>21.5</v>
      </c>
      <c r="S49" s="570">
        <v>22.8</v>
      </c>
      <c r="T49" s="570">
        <v>26.9</v>
      </c>
      <c r="U49" s="570">
        <f>V49-T49-S49-R49</f>
        <v>28.964704120040452</v>
      </c>
      <c r="V49" s="223">
        <f>Aldurazyme!AB51</f>
        <v>100.16470412004044</v>
      </c>
      <c r="W49" s="570"/>
      <c r="X49" s="570"/>
      <c r="Y49" s="570"/>
      <c r="Z49" s="570"/>
      <c r="AA49" s="223">
        <f>Aldurazyme!AC51</f>
        <v>101.89601780599878</v>
      </c>
      <c r="AB49" s="570"/>
      <c r="AC49" s="570"/>
      <c r="AD49" s="570"/>
      <c r="AE49" s="570"/>
      <c r="AF49" s="223">
        <f>Aldurazyme!AD51</f>
        <v>104.5264512586957</v>
      </c>
      <c r="AG49" s="223">
        <f>Aldurazyme!AE51</f>
        <v>107.22291623667509</v>
      </c>
      <c r="AH49" s="223">
        <f>Aldurazyme!AF51</f>
        <v>109.98706932188837</v>
      </c>
      <c r="AI49" s="223">
        <f>Aldurazyme!AG51</f>
        <v>112.82060694555739</v>
      </c>
      <c r="AJ49" s="223">
        <f>Aldurazyme!AH51</f>
        <v>115.72526630138574</v>
      </c>
      <c r="AK49" s="223">
        <f>Aldurazyme!AI51</f>
        <v>118.70282627887143</v>
      </c>
      <c r="AL49" s="223">
        <f>Aldurazyme!AJ51</f>
        <v>121.75510841714971</v>
      </c>
      <c r="AM49" s="223">
        <f>Aldurazyme!AK51</f>
        <v>124.88397787980588</v>
      </c>
      <c r="AN49" s="223">
        <f>Aldurazyme!AL51</f>
        <v>128.09134445110431</v>
      </c>
      <c r="AO49" s="223">
        <f>Aldurazyme!AM51</f>
        <v>131.37916355409101</v>
      </c>
      <c r="AP49" s="223">
        <f>Aldurazyme!AN51</f>
        <v>134.74943729103643</v>
      </c>
      <c r="AQ49" s="223">
        <f>Aldurazyme!AO51</f>
        <v>138.20421550669428</v>
      </c>
      <c r="AR49" s="223">
        <f>Aldurazyme!AP51</f>
        <v>141.74559687486277</v>
      </c>
    </row>
    <row r="50" spans="2:44">
      <c r="B50" s="197" t="s">
        <v>255</v>
      </c>
      <c r="C50" s="223">
        <f>C51-C49</f>
        <v>-2.6000000000000014</v>
      </c>
      <c r="D50" s="223"/>
      <c r="E50" s="223"/>
      <c r="F50" s="223"/>
      <c r="G50" s="223"/>
      <c r="H50" s="223">
        <f>H51-H49</f>
        <v>-3.7999999999999972</v>
      </c>
      <c r="I50" s="223"/>
      <c r="J50" s="223"/>
      <c r="K50" s="223"/>
      <c r="L50" s="223">
        <f>Aldurazyme!Z54</f>
        <v>8.6</v>
      </c>
      <c r="M50" s="570">
        <f>M51-M49</f>
        <v>-4.0570000000000022</v>
      </c>
      <c r="N50" s="570">
        <f>N51-N49</f>
        <v>-3.2609999999999992</v>
      </c>
      <c r="O50" s="570">
        <f>O51-O49</f>
        <v>-2.6999999999999993</v>
      </c>
      <c r="P50" s="570">
        <f>Q50-O50-N50-M50</f>
        <v>12.218</v>
      </c>
      <c r="Q50" s="223">
        <f>Aldurazyme!AA54</f>
        <v>2.2000000000000002</v>
      </c>
      <c r="R50" s="570">
        <f>R51-R49</f>
        <v>-5.0549999999999997</v>
      </c>
      <c r="S50" s="570">
        <f>S51-S49</f>
        <v>-4.1000000000000014</v>
      </c>
      <c r="T50" s="570">
        <f>T51-T49</f>
        <v>-3.1999999999999993</v>
      </c>
      <c r="U50" s="570">
        <f>V50-T50-S50-R50</f>
        <v>2.3550000000000004</v>
      </c>
      <c r="V50" s="223">
        <f>Aldurazyme!AB54</f>
        <v>-10</v>
      </c>
      <c r="W50" s="570"/>
      <c r="X50" s="570"/>
      <c r="Y50" s="570"/>
      <c r="Z50" s="570"/>
      <c r="AA50" s="223">
        <f>Aldurazyme!AC54</f>
        <v>-5</v>
      </c>
      <c r="AB50" s="570"/>
      <c r="AC50" s="570"/>
      <c r="AD50" s="570"/>
      <c r="AE50" s="570"/>
      <c r="AF50" s="223">
        <f>Aldurazyme!AD54</f>
        <v>2</v>
      </c>
      <c r="AG50" s="223">
        <f>Aldurazyme!AE54</f>
        <v>2</v>
      </c>
      <c r="AH50" s="223">
        <f>Aldurazyme!AF54</f>
        <v>2</v>
      </c>
      <c r="AI50" s="223">
        <f>Aldurazyme!AG54</f>
        <v>2</v>
      </c>
      <c r="AJ50" s="223">
        <f>Aldurazyme!AH54</f>
        <v>2</v>
      </c>
      <c r="AK50" s="223">
        <f>Aldurazyme!AI54</f>
        <v>2</v>
      </c>
      <c r="AL50" s="223">
        <f>Aldurazyme!AJ54</f>
        <v>2</v>
      </c>
      <c r="AM50" s="223">
        <f>Aldurazyme!AK54</f>
        <v>2</v>
      </c>
      <c r="AN50" s="223">
        <f>Aldurazyme!AL54</f>
        <v>2</v>
      </c>
      <c r="AO50" s="223">
        <f>Aldurazyme!AM54</f>
        <v>2</v>
      </c>
      <c r="AP50" s="223">
        <f>Aldurazyme!AN54</f>
        <v>2</v>
      </c>
      <c r="AQ50" s="223">
        <f>Aldurazyme!AO54</f>
        <v>2</v>
      </c>
      <c r="AR50" s="223">
        <f>Aldurazyme!AP54</f>
        <v>2</v>
      </c>
    </row>
    <row r="51" spans="2:44">
      <c r="B51" s="200" t="s">
        <v>257</v>
      </c>
      <c r="C51" s="224">
        <v>16.7</v>
      </c>
      <c r="D51" s="224"/>
      <c r="E51" s="224"/>
      <c r="F51" s="224"/>
      <c r="G51" s="224"/>
      <c r="H51" s="224">
        <v>18.100000000000001</v>
      </c>
      <c r="I51" s="224">
        <v>24.1</v>
      </c>
      <c r="J51" s="224"/>
      <c r="K51" s="224"/>
      <c r="L51" s="224">
        <f>Aldurazyme!Z56</f>
        <v>105.5935277688703</v>
      </c>
      <c r="M51" s="571">
        <v>18.242999999999999</v>
      </c>
      <c r="N51" s="571">
        <v>20.239000000000001</v>
      </c>
      <c r="O51" s="571">
        <v>20.6</v>
      </c>
      <c r="P51" s="571">
        <f>Q51-O51-N51-M51</f>
        <v>38.919105287694606</v>
      </c>
      <c r="Q51" s="224">
        <f>Aldurazyme!AA56</f>
        <v>98.001105287694614</v>
      </c>
      <c r="R51" s="571">
        <v>16.445</v>
      </c>
      <c r="S51" s="571">
        <v>18.7</v>
      </c>
      <c r="T51" s="571">
        <v>23.7</v>
      </c>
      <c r="U51" s="571">
        <f>V51-T51-S51-R51</f>
        <v>31.319704120040434</v>
      </c>
      <c r="V51" s="224">
        <f>Aldurazyme!AB56</f>
        <v>90.16470412004044</v>
      </c>
      <c r="W51" s="571">
        <f>IS!AG13</f>
        <v>19.355</v>
      </c>
      <c r="X51" s="571">
        <f>IS!AH13</f>
        <v>19.899999999999999</v>
      </c>
      <c r="Y51" s="571">
        <f>IS!AI13</f>
        <v>22.4</v>
      </c>
      <c r="Z51" s="571">
        <f>AA51-Y51-X51-W51</f>
        <v>35.24101780599878</v>
      </c>
      <c r="AA51" s="224">
        <f>Aldurazyme!AC56</f>
        <v>96.896017805998781</v>
      </c>
      <c r="AB51" s="571">
        <f>($AF51/$AA51)*W51</f>
        <v>21.278681114017974</v>
      </c>
      <c r="AC51" s="571">
        <f t="shared" ref="AC51" si="109">($AF51/$AA51)*X51</f>
        <v>21.87784831666017</v>
      </c>
      <c r="AD51" s="571">
        <f t="shared" ref="AD51" si="110">($AF51/$AA51)*Y51</f>
        <v>24.626321723275773</v>
      </c>
      <c r="AE51" s="571">
        <f t="shared" ref="AE51" si="111">($AF51/$AA51)*Z51</f>
        <v>38.743600104741788</v>
      </c>
      <c r="AF51" s="224">
        <f>Aldurazyme!AD56</f>
        <v>106.5264512586957</v>
      </c>
      <c r="AG51" s="224">
        <f>Aldurazyme!AE56</f>
        <v>109.22291623667509</v>
      </c>
      <c r="AH51" s="224">
        <f>Aldurazyme!AF56</f>
        <v>111.98706932188837</v>
      </c>
      <c r="AI51" s="224">
        <f>Aldurazyme!AG56</f>
        <v>114.82060694555739</v>
      </c>
      <c r="AJ51" s="224">
        <f>Aldurazyme!AH56</f>
        <v>117.72526630138574</v>
      </c>
      <c r="AK51" s="224">
        <f>Aldurazyme!AI56</f>
        <v>120.70282627887143</v>
      </c>
      <c r="AL51" s="224">
        <f>Aldurazyme!AJ56</f>
        <v>123.75510841714971</v>
      </c>
      <c r="AM51" s="224">
        <f>Aldurazyme!AK56</f>
        <v>126.88397787980588</v>
      </c>
      <c r="AN51" s="224">
        <f>Aldurazyme!AL56</f>
        <v>130.09134445110431</v>
      </c>
      <c r="AO51" s="224">
        <f>Aldurazyme!AM56</f>
        <v>133.37916355409101</v>
      </c>
      <c r="AP51" s="224">
        <f>Aldurazyme!AN56</f>
        <v>136.74943729103643</v>
      </c>
      <c r="AQ51" s="224">
        <f>Aldurazyme!AO56</f>
        <v>140.20421550669428</v>
      </c>
      <c r="AR51" s="224">
        <f>Aldurazyme!AP56</f>
        <v>143.74559687486277</v>
      </c>
    </row>
    <row r="52" spans="2:44" s="413" customFormat="1">
      <c r="B52" s="190" t="s">
        <v>273</v>
      </c>
      <c r="C52" s="179"/>
      <c r="D52" s="179"/>
      <c r="E52" s="179"/>
      <c r="F52" s="179"/>
      <c r="G52" s="188"/>
      <c r="H52" s="179"/>
      <c r="I52" s="179"/>
      <c r="J52" s="179"/>
      <c r="K52" s="179"/>
      <c r="L52" s="188"/>
      <c r="M52" s="572"/>
      <c r="N52" s="572"/>
      <c r="O52" s="572"/>
      <c r="P52" s="572"/>
      <c r="Q52" s="188">
        <f>Q51/L51-1</f>
        <v>-7.1902347062354544E-2</v>
      </c>
      <c r="R52" s="423">
        <f t="shared" ref="R52" si="112">R51/M51-1</f>
        <v>-9.8558351148385626E-2</v>
      </c>
      <c r="S52" s="423">
        <f t="shared" ref="S52" si="113">S51/N51-1</f>
        <v>-7.6041306388655583E-2</v>
      </c>
      <c r="T52" s="423">
        <f t="shared" ref="T52" si="114">T51/O51-1</f>
        <v>0.15048543689320382</v>
      </c>
      <c r="U52" s="423">
        <f t="shared" ref="U52" si="115">U51/P51-1</f>
        <v>-0.19526145607609691</v>
      </c>
      <c r="V52" s="188">
        <f t="shared" ref="V52:AA52" si="116">V51/Q51-1</f>
        <v>-7.9962375369639238E-2</v>
      </c>
      <c r="W52" s="423">
        <f t="shared" si="116"/>
        <v>0.17695348130130739</v>
      </c>
      <c r="X52" s="423">
        <f t="shared" si="116"/>
        <v>6.4171122994652441E-2</v>
      </c>
      <c r="Y52" s="423">
        <f t="shared" si="116"/>
        <v>-5.4852320675105481E-2</v>
      </c>
      <c r="Z52" s="423">
        <f t="shared" si="116"/>
        <v>0.12520276918737649</v>
      </c>
      <c r="AA52" s="188">
        <f t="shared" si="116"/>
        <v>7.4655750846768454E-2</v>
      </c>
      <c r="AB52" s="423">
        <f t="shared" ref="AB52" si="117">AB51/W51-1</f>
        <v>9.9389362646239876E-2</v>
      </c>
      <c r="AC52" s="423">
        <f t="shared" ref="AC52" si="118">AC51/X51-1</f>
        <v>9.9389362646239876E-2</v>
      </c>
      <c r="AD52" s="423">
        <f t="shared" ref="AD52" si="119">AD51/Y51-1</f>
        <v>9.9389362646239876E-2</v>
      </c>
      <c r="AE52" s="423">
        <f t="shared" ref="AE52" si="120">AE51/Z51-1</f>
        <v>9.9389362646239876E-2</v>
      </c>
      <c r="AF52" s="188">
        <f t="shared" ref="AF52" si="121">AF51/AA51-1</f>
        <v>9.9389362646239876E-2</v>
      </c>
      <c r="AG52" s="188">
        <f t="shared" ref="AG52" si="122">AG51/AF51-1</f>
        <v>2.5312633117112959E-2</v>
      </c>
      <c r="AH52" s="188">
        <f t="shared" ref="AH52" si="123">AH51/AG51-1</f>
        <v>2.5307446280079526E-2</v>
      </c>
      <c r="AI52" s="188">
        <f t="shared" ref="AI52" si="124">AI51/AH51-1</f>
        <v>2.5302364289259804E-2</v>
      </c>
      <c r="AJ52" s="188">
        <f t="shared" ref="AJ52" si="125">AJ51/AI51-1</f>
        <v>2.5297369811027259E-2</v>
      </c>
      <c r="AK52" s="188">
        <f t="shared" ref="AK52" si="126">AK51/AJ51-1</f>
        <v>2.5292446311931949E-2</v>
      </c>
      <c r="AL52" s="188">
        <f t="shared" ref="AL52" si="127">AL51/AK51-1</f>
        <v>2.5287578032566538E-2</v>
      </c>
      <c r="AM52" s="188">
        <f t="shared" ref="AM52" si="128">AM51/AL51-1</f>
        <v>2.5282749962203477E-2</v>
      </c>
      <c r="AN52" s="188">
        <f t="shared" ref="AN52" si="129">AN51/AM51-1</f>
        <v>2.5277947814157375E-2</v>
      </c>
      <c r="AO52" s="188">
        <f t="shared" ref="AO52" si="130">AO51/AN51-1</f>
        <v>2.5273158001856588E-2</v>
      </c>
      <c r="AP52" s="188">
        <f t="shared" ref="AP52" si="131">AP51/AO51-1</f>
        <v>2.5268367615595588E-2</v>
      </c>
      <c r="AQ52" s="188">
        <f t="shared" ref="AQ52" si="132">AQ51/AP51-1</f>
        <v>2.5263564399941485E-2</v>
      </c>
      <c r="AR52" s="188">
        <f t="shared" ref="AR52" si="133">AR51/AQ51-1</f>
        <v>2.5258736731774034E-2</v>
      </c>
    </row>
    <row r="53" spans="2:44">
      <c r="B53" s="190"/>
      <c r="C53" s="179"/>
      <c r="D53" s="179"/>
      <c r="E53" s="179"/>
      <c r="F53" s="179"/>
      <c r="G53" s="188"/>
      <c r="H53" s="179"/>
      <c r="I53" s="179"/>
      <c r="J53" s="179"/>
      <c r="K53" s="179"/>
      <c r="L53" s="188"/>
      <c r="M53" s="572"/>
      <c r="N53" s="572"/>
      <c r="O53" s="572"/>
      <c r="P53" s="572"/>
      <c r="Q53" s="188"/>
      <c r="R53" s="572"/>
      <c r="S53" s="572"/>
      <c r="T53" s="572"/>
      <c r="U53" s="572"/>
      <c r="V53" s="188"/>
      <c r="W53" s="572"/>
      <c r="X53" s="572"/>
      <c r="Y53" s="572"/>
      <c r="Z53" s="572"/>
      <c r="AA53" s="188"/>
      <c r="AB53" s="572"/>
      <c r="AC53" s="572"/>
      <c r="AD53" s="572"/>
      <c r="AE53" s="572"/>
      <c r="AF53" s="188"/>
      <c r="AG53" s="188"/>
      <c r="AH53" s="188"/>
      <c r="AI53" s="188"/>
      <c r="AJ53" s="188"/>
      <c r="AK53" s="188"/>
      <c r="AL53" s="188"/>
      <c r="AM53" s="188"/>
    </row>
    <row r="54" spans="2:44">
      <c r="B54" s="221" t="s">
        <v>280</v>
      </c>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735"/>
      <c r="AC54" s="735"/>
      <c r="AD54" s="735"/>
      <c r="AE54" s="735"/>
      <c r="AF54" s="222"/>
      <c r="AG54" s="222"/>
      <c r="AH54" s="222"/>
      <c r="AI54" s="222"/>
      <c r="AJ54" s="222"/>
      <c r="AK54" s="222"/>
      <c r="AL54" s="222"/>
      <c r="AM54" s="222"/>
      <c r="AN54" s="222"/>
      <c r="AO54" s="222"/>
      <c r="AP54" s="222"/>
      <c r="AQ54" s="222"/>
      <c r="AR54" s="222"/>
    </row>
    <row r="55" spans="2:44">
      <c r="B55" s="200" t="s">
        <v>281</v>
      </c>
      <c r="C55" s="224">
        <v>3.6</v>
      </c>
      <c r="D55" s="224"/>
      <c r="E55" s="224"/>
      <c r="F55" s="224"/>
      <c r="G55" s="224"/>
      <c r="H55" s="224">
        <v>4.7</v>
      </c>
      <c r="I55" s="224">
        <v>4.5999999999999996</v>
      </c>
      <c r="J55" s="224"/>
      <c r="K55" s="224"/>
      <c r="L55" s="224">
        <v>18.100000000000001</v>
      </c>
      <c r="M55" s="571">
        <v>4.0869999999999997</v>
      </c>
      <c r="N55" s="571">
        <v>3.7269999999999999</v>
      </c>
      <c r="O55" s="571">
        <v>3.802</v>
      </c>
      <c r="P55" s="571">
        <f>Q55-O55-N55-M55</f>
        <v>4.3840000000000003</v>
      </c>
      <c r="Q55" s="224">
        <v>16</v>
      </c>
      <c r="R55" s="599">
        <v>4.3</v>
      </c>
      <c r="S55" s="599">
        <v>4.4649999999999999</v>
      </c>
      <c r="T55" s="599">
        <v>4.9809999999999999</v>
      </c>
      <c r="U55" s="571">
        <v>5</v>
      </c>
      <c r="V55" s="224">
        <f>SUM(R55:U55)</f>
        <v>18.746000000000002</v>
      </c>
      <c r="W55" s="571">
        <f>IS!AG14</f>
        <v>4.1100000000000003</v>
      </c>
      <c r="X55" s="571">
        <f>IS!AH14</f>
        <v>4.8</v>
      </c>
      <c r="Y55" s="571">
        <f>IS!AI14</f>
        <v>5.0999999999999996</v>
      </c>
      <c r="Z55" s="571">
        <f>AA55-Y55-X55-W55</f>
        <v>5.1109200000000028</v>
      </c>
      <c r="AA55" s="224">
        <f>V55*(1+AA56)</f>
        <v>19.120920000000002</v>
      </c>
      <c r="AB55" s="571">
        <f>($AF55/$AA55)*W55</f>
        <v>4.1922000000000006</v>
      </c>
      <c r="AC55" s="571">
        <f t="shared" ref="AC55" si="134">($AF55/$AA55)*X55</f>
        <v>4.8959999999999999</v>
      </c>
      <c r="AD55" s="571">
        <f t="shared" ref="AD55" si="135">($AF55/$AA55)*Y55</f>
        <v>5.202</v>
      </c>
      <c r="AE55" s="571">
        <f t="shared" ref="AE55" si="136">($AF55/$AA55)*Z55</f>
        <v>5.2131384000000027</v>
      </c>
      <c r="AF55" s="224">
        <f>AA55*(1+AF56)</f>
        <v>19.503338400000001</v>
      </c>
      <c r="AG55" s="224">
        <f t="shared" ref="AG55:AM55" si="137">AF55*(1+AG56)</f>
        <v>19.893405168000001</v>
      </c>
      <c r="AH55" s="224">
        <f t="shared" si="137"/>
        <v>20.291273271360001</v>
      </c>
      <c r="AI55" s="224">
        <f t="shared" si="137"/>
        <v>20.697098736787201</v>
      </c>
      <c r="AJ55" s="224">
        <f t="shared" si="137"/>
        <v>21.111040711522946</v>
      </c>
      <c r="AK55" s="224">
        <f t="shared" si="137"/>
        <v>21.533261525753407</v>
      </c>
      <c r="AL55" s="224">
        <f t="shared" si="137"/>
        <v>21.963926756268474</v>
      </c>
      <c r="AM55" s="224">
        <f t="shared" si="137"/>
        <v>22.403205291393846</v>
      </c>
      <c r="AN55" s="224">
        <f t="shared" ref="AN55" si="138">AM55*(1+AN56)</f>
        <v>22.851269397221724</v>
      </c>
      <c r="AO55" s="224">
        <f t="shared" ref="AO55" si="139">AN55*(1+AO56)</f>
        <v>23.308294785166158</v>
      </c>
      <c r="AP55" s="224">
        <f t="shared" ref="AP55" si="140">AO55*(1+AP56)</f>
        <v>23.774460680869481</v>
      </c>
      <c r="AQ55" s="224">
        <f t="shared" ref="AQ55" si="141">AP55*(1+AQ56)</f>
        <v>24.249949894486871</v>
      </c>
      <c r="AR55" s="224">
        <f t="shared" ref="AR55" si="142">AQ55*(1+AR56)</f>
        <v>24.734948892376607</v>
      </c>
    </row>
    <row r="56" spans="2:44" s="413" customFormat="1">
      <c r="B56" s="190" t="s">
        <v>273</v>
      </c>
      <c r="C56" s="179"/>
      <c r="D56" s="179"/>
      <c r="E56" s="179"/>
      <c r="F56" s="179"/>
      <c r="G56" s="188"/>
      <c r="H56" s="179"/>
      <c r="I56" s="179"/>
      <c r="J56" s="179"/>
      <c r="K56" s="179"/>
      <c r="L56" s="188"/>
      <c r="M56" s="572"/>
      <c r="N56" s="572"/>
      <c r="O56" s="572"/>
      <c r="P56" s="572"/>
      <c r="Q56" s="188">
        <f>Q55/L55-1</f>
        <v>-0.11602209944751385</v>
      </c>
      <c r="R56" s="423">
        <f t="shared" ref="R56" si="143">R55/M55-1</f>
        <v>5.2116466846097387E-2</v>
      </c>
      <c r="S56" s="423">
        <f t="shared" ref="S56" si="144">S55/N55-1</f>
        <v>0.19801448886503881</v>
      </c>
      <c r="T56" s="423">
        <f t="shared" ref="T56" si="145">T55/O55-1</f>
        <v>0.31009994739610725</v>
      </c>
      <c r="U56" s="423">
        <f t="shared" ref="U56" si="146">U55/P55-1</f>
        <v>0.14051094890510929</v>
      </c>
      <c r="V56" s="188">
        <f t="shared" ref="V56:Z56" si="147">V55/Q55-1</f>
        <v>0.17162500000000014</v>
      </c>
      <c r="W56" s="423">
        <f t="shared" si="147"/>
        <v>-4.418604651162783E-2</v>
      </c>
      <c r="X56" s="423">
        <f t="shared" si="147"/>
        <v>7.5027995520716706E-2</v>
      </c>
      <c r="Y56" s="423">
        <f t="shared" si="147"/>
        <v>2.3890784982935065E-2</v>
      </c>
      <c r="Z56" s="423">
        <f t="shared" si="147"/>
        <v>2.2184000000000648E-2</v>
      </c>
      <c r="AA56" s="188">
        <v>0.02</v>
      </c>
      <c r="AB56" s="423">
        <f t="shared" ref="AB56" si="148">AB55/W55-1</f>
        <v>2.0000000000000018E-2</v>
      </c>
      <c r="AC56" s="423">
        <f t="shared" ref="AC56" si="149">AC55/X55-1</f>
        <v>2.0000000000000018E-2</v>
      </c>
      <c r="AD56" s="423">
        <f t="shared" ref="AD56" si="150">AD55/Y55-1</f>
        <v>2.0000000000000018E-2</v>
      </c>
      <c r="AE56" s="423">
        <f t="shared" ref="AE56" si="151">AE55/Z55-1</f>
        <v>2.0000000000000018E-2</v>
      </c>
      <c r="AF56" s="188">
        <f>AA56</f>
        <v>0.02</v>
      </c>
      <c r="AG56" s="188">
        <f t="shared" ref="AG56:AR56" si="152">AF56</f>
        <v>0.02</v>
      </c>
      <c r="AH56" s="188">
        <f t="shared" si="152"/>
        <v>0.02</v>
      </c>
      <c r="AI56" s="188">
        <f t="shared" si="152"/>
        <v>0.02</v>
      </c>
      <c r="AJ56" s="188">
        <f t="shared" si="152"/>
        <v>0.02</v>
      </c>
      <c r="AK56" s="188">
        <f t="shared" si="152"/>
        <v>0.02</v>
      </c>
      <c r="AL56" s="188">
        <f t="shared" si="152"/>
        <v>0.02</v>
      </c>
      <c r="AM56" s="188">
        <f t="shared" si="152"/>
        <v>0.02</v>
      </c>
      <c r="AN56" s="188">
        <f t="shared" si="152"/>
        <v>0.02</v>
      </c>
      <c r="AO56" s="188">
        <f t="shared" si="152"/>
        <v>0.02</v>
      </c>
      <c r="AP56" s="188">
        <f t="shared" si="152"/>
        <v>0.02</v>
      </c>
      <c r="AQ56" s="188">
        <f t="shared" si="152"/>
        <v>0.02</v>
      </c>
      <c r="AR56" s="188">
        <f t="shared" si="152"/>
        <v>0.02</v>
      </c>
    </row>
    <row r="57" spans="2:44">
      <c r="B57" s="190"/>
      <c r="C57" s="179"/>
      <c r="D57" s="179"/>
      <c r="E57" s="179"/>
      <c r="F57" s="179"/>
      <c r="G57" s="188"/>
      <c r="H57" s="179"/>
      <c r="I57" s="179"/>
      <c r="J57" s="179"/>
      <c r="K57" s="179"/>
      <c r="L57" s="188"/>
      <c r="M57" s="572"/>
      <c r="N57" s="572"/>
      <c r="O57" s="572"/>
      <c r="P57" s="572"/>
      <c r="Q57" s="188"/>
      <c r="R57" s="572"/>
      <c r="S57" s="572"/>
      <c r="T57" s="572"/>
      <c r="U57" s="572"/>
      <c r="V57" s="188"/>
      <c r="W57" s="572"/>
      <c r="X57" s="572"/>
      <c r="Y57" s="572"/>
      <c r="Z57" s="572"/>
      <c r="AA57" s="188"/>
      <c r="AB57" s="572"/>
      <c r="AC57" s="572"/>
      <c r="AD57" s="572"/>
      <c r="AE57" s="572"/>
      <c r="AF57" s="188"/>
      <c r="AG57" s="188"/>
      <c r="AH57" s="188"/>
      <c r="AI57" s="188"/>
      <c r="AJ57" s="188"/>
      <c r="AK57" s="188"/>
      <c r="AL57" s="188"/>
      <c r="AM57" s="188"/>
    </row>
    <row r="58" spans="2:44">
      <c r="B58" s="221" t="s">
        <v>270</v>
      </c>
      <c r="C58" s="222"/>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735"/>
      <c r="AC58" s="735"/>
      <c r="AD58" s="735"/>
      <c r="AE58" s="735"/>
      <c r="AF58" s="222"/>
      <c r="AG58" s="222"/>
      <c r="AH58" s="222"/>
      <c r="AI58" s="222"/>
      <c r="AJ58" s="222"/>
      <c r="AK58" s="222"/>
      <c r="AL58" s="222"/>
      <c r="AM58" s="222"/>
      <c r="AN58" s="222"/>
      <c r="AO58" s="222"/>
      <c r="AP58" s="222"/>
      <c r="AQ58" s="222"/>
      <c r="AR58" s="222"/>
    </row>
    <row r="59" spans="2:44" s="205" customFormat="1">
      <c r="B59" s="197" t="s">
        <v>266</v>
      </c>
      <c r="C59" s="223"/>
      <c r="D59" s="223"/>
      <c r="E59" s="223"/>
      <c r="F59" s="223"/>
      <c r="G59" s="223"/>
      <c r="H59" s="223"/>
      <c r="I59" s="223"/>
      <c r="J59" s="223"/>
      <c r="K59" s="223"/>
      <c r="L59" s="223"/>
      <c r="M59" s="570"/>
      <c r="N59" s="570"/>
      <c r="O59" s="570"/>
      <c r="P59" s="570"/>
      <c r="Q59" s="223"/>
      <c r="R59" s="570"/>
      <c r="S59" s="570"/>
      <c r="T59" s="570"/>
      <c r="U59" s="570"/>
      <c r="V59" s="223"/>
      <c r="W59" s="570"/>
      <c r="X59" s="570"/>
      <c r="Y59" s="570"/>
      <c r="Z59" s="570"/>
      <c r="AA59" s="223">
        <f>'Brineura (BMN 190)'!T17</f>
        <v>7.4594904481627449</v>
      </c>
      <c r="AB59" s="570"/>
      <c r="AC59" s="570"/>
      <c r="AD59" s="570"/>
      <c r="AE59" s="570"/>
      <c r="AF59" s="223">
        <f>'Brineura (BMN 190)'!U17</f>
        <v>32.612256418331285</v>
      </c>
      <c r="AG59" s="223">
        <f>'Brineura (BMN 190)'!V17</f>
        <v>82.104660386179091</v>
      </c>
      <c r="AH59" s="223">
        <f>'Brineura (BMN 190)'!W17</f>
        <v>143.51206080068147</v>
      </c>
      <c r="AI59" s="223">
        <f>'Brineura (BMN 190)'!X17</f>
        <v>180.56800208560099</v>
      </c>
      <c r="AJ59" s="223">
        <f>'Brineura (BMN 190)'!Y17</f>
        <v>220.83152404964787</v>
      </c>
      <c r="AK59" s="223">
        <f>'Brineura (BMN 190)'!Z17</f>
        <v>237.22675451771116</v>
      </c>
      <c r="AL59" s="223">
        <f>'Brineura (BMN 190)'!AA17</f>
        <v>254.78525274885786</v>
      </c>
      <c r="AM59" s="223">
        <f>'Brineura (BMN 190)'!AB17</f>
        <v>273.58708133988154</v>
      </c>
      <c r="AN59" s="223">
        <f>'Brineura (BMN 190)'!AC17</f>
        <v>293.71769465020554</v>
      </c>
      <c r="AO59" s="223">
        <f>'Brineura (BMN 190)'!AD17</f>
        <v>315.26829604398216</v>
      </c>
      <c r="AP59" s="223">
        <f>'Brineura (BMN 190)'!AE17</f>
        <v>338.33621850579817</v>
      </c>
      <c r="AQ59" s="223">
        <f>'Brineura (BMN 190)'!AF17</f>
        <v>363.02533014406464</v>
      </c>
      <c r="AR59" s="223">
        <f>'Brineura (BMN 190)'!AG17</f>
        <v>389.44646619345457</v>
      </c>
    </row>
    <row r="60" spans="2:44" s="205" customFormat="1">
      <c r="B60" s="197" t="s">
        <v>25</v>
      </c>
      <c r="C60" s="223"/>
      <c r="D60" s="223"/>
      <c r="E60" s="223"/>
      <c r="F60" s="223"/>
      <c r="G60" s="223"/>
      <c r="H60" s="223"/>
      <c r="I60" s="223"/>
      <c r="J60" s="223"/>
      <c r="K60" s="223"/>
      <c r="L60" s="223"/>
      <c r="M60" s="570"/>
      <c r="N60" s="570"/>
      <c r="O60" s="570"/>
      <c r="P60" s="570"/>
      <c r="Q60" s="223"/>
      <c r="R60" s="570"/>
      <c r="S60" s="570"/>
      <c r="T60" s="570"/>
      <c r="U60" s="570"/>
      <c r="V60" s="223"/>
      <c r="W60" s="570"/>
      <c r="X60" s="570"/>
      <c r="Y60" s="570"/>
      <c r="Z60" s="570"/>
      <c r="AA60" s="223">
        <f>'Brineura (BMN 190)'!T26</f>
        <v>1.398654459030515</v>
      </c>
      <c r="AB60" s="570"/>
      <c r="AC60" s="570"/>
      <c r="AD60" s="570"/>
      <c r="AE60" s="570"/>
      <c r="AF60" s="223">
        <f>'Brineura (BMN 190)'!U26</f>
        <v>14.248073192474834</v>
      </c>
      <c r="AG60" s="223">
        <f>'Brineura (BMN 190)'!V26</f>
        <v>29.021818875310736</v>
      </c>
      <c r="AH60" s="223">
        <f>'Brineura (BMN 190)'!W26</f>
        <v>50.235203537810136</v>
      </c>
      <c r="AI60" s="223">
        <f>'Brineura (BMN 190)'!X26</f>
        <v>75.20265521300135</v>
      </c>
      <c r="AJ60" s="223">
        <f>'Brineura (BMN 190)'!Y26</f>
        <v>107.15130703922004</v>
      </c>
      <c r="AK60" s="223">
        <f>'Brineura (BMN 190)'!Z26</f>
        <v>111.75394059716683</v>
      </c>
      <c r="AL60" s="223">
        <f>'Brineura (BMN 190)'!AA26</f>
        <v>116.52959600188154</v>
      </c>
      <c r="AM60" s="223">
        <f>'Brineura (BMN 190)'!AB26</f>
        <v>121.48434472426889</v>
      </c>
      <c r="AN60" s="223">
        <f>'Brineura (BMN 190)'!AC26</f>
        <v>126.62446261798894</v>
      </c>
      <c r="AO60" s="223">
        <f>'Brineura (BMN 190)'!AD26</f>
        <v>131.95643661347981</v>
      </c>
      <c r="AP60" s="223">
        <f>'Brineura (BMN 190)'!AE26</f>
        <v>137.48697162706299</v>
      </c>
      <c r="AQ60" s="223">
        <f>'Brineura (BMN 190)'!AF26</f>
        <v>143.22299769194541</v>
      </c>
      <c r="AR60" s="223">
        <f>'Brineura (BMN 190)'!AG26</f>
        <v>149.1716773181478</v>
      </c>
    </row>
    <row r="61" spans="2:44" s="205" customFormat="1">
      <c r="B61" s="226" t="s">
        <v>271</v>
      </c>
      <c r="C61" s="224"/>
      <c r="D61" s="224"/>
      <c r="E61" s="224"/>
      <c r="F61" s="224"/>
      <c r="G61" s="224"/>
      <c r="H61" s="224"/>
      <c r="I61" s="224"/>
      <c r="J61" s="224"/>
      <c r="K61" s="224"/>
      <c r="L61" s="224"/>
      <c r="M61" s="571"/>
      <c r="N61" s="571"/>
      <c r="O61" s="571"/>
      <c r="P61" s="571"/>
      <c r="Q61" s="224"/>
      <c r="R61" s="571"/>
      <c r="S61" s="571"/>
      <c r="T61" s="571"/>
      <c r="U61" s="571"/>
      <c r="V61" s="224"/>
      <c r="W61" s="571"/>
      <c r="X61" s="571">
        <v>0.3</v>
      </c>
      <c r="Y61" s="571">
        <f>IS!AI15</f>
        <v>3.1</v>
      </c>
      <c r="Z61" s="571">
        <f>AA61-Y61-X61</f>
        <v>5.4581449071932608</v>
      </c>
      <c r="AA61" s="224">
        <f>'Brineura (BMN 190)'!T28</f>
        <v>8.8581449071932603</v>
      </c>
      <c r="AB61" s="571">
        <f>AF61*0.15</f>
        <v>7.0290494416209173</v>
      </c>
      <c r="AC61" s="571">
        <f>AF61*0.225</f>
        <v>10.543574162431376</v>
      </c>
      <c r="AD61" s="571">
        <f>AF61*0.25</f>
        <v>11.71508240270153</v>
      </c>
      <c r="AE61" s="571">
        <f>AF61-SUM(AB61:AD61)</f>
        <v>17.572623604052296</v>
      </c>
      <c r="AF61" s="224">
        <f>'Brineura (BMN 190)'!U28</f>
        <v>46.860329610806119</v>
      </c>
      <c r="AG61" s="224">
        <f>'Brineura (BMN 190)'!V28</f>
        <v>111.12647926148983</v>
      </c>
      <c r="AH61" s="224">
        <f>'Brineura (BMN 190)'!W28</f>
        <v>193.74726433849162</v>
      </c>
      <c r="AI61" s="224">
        <f>'Brineura (BMN 190)'!X28</f>
        <v>255.77065729860234</v>
      </c>
      <c r="AJ61" s="224">
        <f>'Brineura (BMN 190)'!Y28</f>
        <v>327.9828310888679</v>
      </c>
      <c r="AK61" s="224">
        <f>'Brineura (BMN 190)'!Z28</f>
        <v>348.98069511487802</v>
      </c>
      <c r="AL61" s="224">
        <f>'Brineura (BMN 190)'!AA28</f>
        <v>371.31484875073943</v>
      </c>
      <c r="AM61" s="224">
        <f>'Brineura (BMN 190)'!AB28</f>
        <v>395.07142606415044</v>
      </c>
      <c r="AN61" s="224">
        <f>'Brineura (BMN 190)'!AC28</f>
        <v>420.34215726819446</v>
      </c>
      <c r="AO61" s="224">
        <f>'Brineura (BMN 190)'!AD28</f>
        <v>447.22473265746197</v>
      </c>
      <c r="AP61" s="224">
        <f>'Brineura (BMN 190)'!AE28</f>
        <v>475.82319013286116</v>
      </c>
      <c r="AQ61" s="224">
        <f>'Brineura (BMN 190)'!AF28</f>
        <v>506.24832783601005</v>
      </c>
      <c r="AR61" s="224">
        <f>'Brineura (BMN 190)'!AG28</f>
        <v>538.6181435116024</v>
      </c>
    </row>
    <row r="62" spans="2:44" s="205" customFormat="1">
      <c r="B62" s="190" t="s">
        <v>273</v>
      </c>
      <c r="C62" s="179"/>
      <c r="D62" s="179"/>
      <c r="E62" s="179"/>
      <c r="F62" s="179"/>
      <c r="G62" s="188"/>
      <c r="H62" s="179"/>
      <c r="I62" s="179"/>
      <c r="J62" s="179"/>
      <c r="K62" s="179"/>
      <c r="L62" s="188"/>
      <c r="M62" s="572"/>
      <c r="N62" s="572"/>
      <c r="O62" s="572"/>
      <c r="P62" s="572"/>
      <c r="Q62" s="188"/>
      <c r="R62" s="572"/>
      <c r="S62" s="572"/>
      <c r="T62" s="572"/>
      <c r="U62" s="572"/>
      <c r="V62" s="188"/>
      <c r="W62" s="572"/>
      <c r="X62" s="572"/>
      <c r="Y62" s="572"/>
      <c r="Z62" s="572"/>
      <c r="AA62" s="188"/>
      <c r="AB62" s="572"/>
      <c r="AC62" s="572"/>
      <c r="AD62" s="572"/>
      <c r="AE62" s="572"/>
      <c r="AF62" s="188">
        <f>AF61/AA61-1</f>
        <v>4.2900838834498147</v>
      </c>
      <c r="AG62" s="188">
        <f t="shared" ref="AG62:AM62" si="153">AG61/AF61-1</f>
        <v>1.3714404099254089</v>
      </c>
      <c r="AH62" s="188">
        <f t="shared" si="153"/>
        <v>0.74348423189569623</v>
      </c>
      <c r="AI62" s="188">
        <f t="shared" si="153"/>
        <v>0.32012525788106627</v>
      </c>
      <c r="AJ62" s="188">
        <f t="shared" si="153"/>
        <v>0.28233173638038012</v>
      </c>
      <c r="AK62" s="188">
        <f t="shared" si="153"/>
        <v>6.4021229270750046E-2</v>
      </c>
      <c r="AL62" s="188">
        <f t="shared" si="153"/>
        <v>6.3998249612372993E-2</v>
      </c>
      <c r="AM62" s="188">
        <f t="shared" si="153"/>
        <v>6.397960489147736E-2</v>
      </c>
      <c r="AN62" s="188">
        <f t="shared" ref="AN62" si="154">AN61/AM61-1</f>
        <v>6.3964968197777639E-2</v>
      </c>
      <c r="AO62" s="188">
        <f t="shared" ref="AO62" si="155">AO61/AN61-1</f>
        <v>6.3954031077866347E-2</v>
      </c>
      <c r="AP62" s="188">
        <f t="shared" ref="AP62" si="156">AP61/AO61-1</f>
        <v>6.3946502478661627E-2</v>
      </c>
      <c r="AQ62" s="188">
        <f t="shared" ref="AQ62" si="157">AQ61/AP61-1</f>
        <v>6.3942107770437628E-2</v>
      </c>
      <c r="AR62" s="188">
        <f t="shared" ref="AR62" si="158">AR61/AQ61-1</f>
        <v>6.3940587841463392E-2</v>
      </c>
    </row>
    <row r="63" spans="2:44" s="205" customFormat="1">
      <c r="B63" s="190"/>
      <c r="C63" s="179"/>
      <c r="D63" s="179"/>
      <c r="E63" s="179"/>
      <c r="F63" s="179"/>
      <c r="G63" s="188"/>
      <c r="H63" s="179"/>
      <c r="I63" s="179"/>
      <c r="J63" s="179"/>
      <c r="K63" s="179"/>
      <c r="L63" s="188"/>
      <c r="M63" s="572"/>
      <c r="N63" s="572"/>
      <c r="O63" s="572"/>
      <c r="P63" s="572"/>
      <c r="Q63" s="188"/>
      <c r="R63" s="572"/>
      <c r="S63" s="572"/>
      <c r="T63" s="572"/>
      <c r="U63" s="572"/>
      <c r="V63" s="188"/>
      <c r="W63" s="572"/>
      <c r="X63" s="572"/>
      <c r="Y63" s="572"/>
      <c r="Z63" s="572"/>
      <c r="AA63" s="188"/>
      <c r="AB63" s="572"/>
      <c r="AC63" s="572"/>
      <c r="AD63" s="572"/>
      <c r="AE63" s="572"/>
      <c r="AF63" s="188"/>
      <c r="AG63" s="188"/>
      <c r="AH63" s="188"/>
      <c r="AI63" s="188"/>
      <c r="AJ63" s="188"/>
      <c r="AK63" s="188"/>
      <c r="AL63" s="188"/>
      <c r="AM63" s="188"/>
      <c r="AN63" s="188"/>
      <c r="AO63" s="188"/>
      <c r="AP63" s="188"/>
      <c r="AQ63" s="188"/>
      <c r="AR63" s="188"/>
    </row>
    <row r="64" spans="2:44" outlineLevel="1">
      <c r="B64" s="221" t="s">
        <v>263</v>
      </c>
      <c r="C64" s="222"/>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row>
    <row r="65" spans="2:44" s="205" customFormat="1" outlineLevel="1">
      <c r="B65" s="225" t="s">
        <v>227</v>
      </c>
      <c r="C65" s="223"/>
      <c r="D65" s="223"/>
      <c r="E65" s="223"/>
      <c r="F65" s="223"/>
      <c r="G65" s="223"/>
      <c r="H65" s="223"/>
      <c r="I65" s="223"/>
      <c r="J65" s="223"/>
      <c r="K65" s="223"/>
      <c r="L65" s="223"/>
      <c r="M65" s="570"/>
      <c r="N65" s="570"/>
      <c r="O65" s="570"/>
      <c r="P65" s="570"/>
      <c r="Q65" s="223"/>
      <c r="R65" s="570"/>
      <c r="S65" s="570"/>
      <c r="T65" s="570"/>
      <c r="U65" s="570"/>
      <c r="V65" s="223"/>
      <c r="W65" s="570"/>
      <c r="X65" s="570"/>
      <c r="Y65" s="570"/>
      <c r="Z65" s="570"/>
      <c r="AA65" s="223">
        <f>PKU!I161</f>
        <v>0</v>
      </c>
      <c r="AB65" s="570"/>
      <c r="AC65" s="570"/>
      <c r="AD65" s="570"/>
      <c r="AE65" s="570"/>
      <c r="AF65" s="223">
        <f>PKU!J161</f>
        <v>0</v>
      </c>
      <c r="AG65" s="223">
        <f>PKU!K161</f>
        <v>18.962509933101636</v>
      </c>
      <c r="AH65" s="223">
        <f>PKU!L161</f>
        <v>33.143243736373023</v>
      </c>
      <c r="AI65" s="223">
        <f>PKU!M161</f>
        <v>59.795182104492511</v>
      </c>
      <c r="AJ65" s="223">
        <f>PKU!N161</f>
        <v>89.366218582281689</v>
      </c>
      <c r="AK65" s="223">
        <f>PKU!O161</f>
        <v>94.215359936004745</v>
      </c>
      <c r="AL65" s="223">
        <f>PKU!P161</f>
        <v>102.14616965736406</v>
      </c>
      <c r="AM65" s="223">
        <f>PKU!Q161</f>
        <v>109.86743114146988</v>
      </c>
      <c r="AN65" s="223">
        <f>PKU!R161</f>
        <v>118.43778388158556</v>
      </c>
      <c r="AO65" s="223">
        <f>PKU!S161</f>
        <v>127.59571064154717</v>
      </c>
      <c r="AP65" s="223">
        <f>PKU!T161</f>
        <v>137.48639526481074</v>
      </c>
      <c r="AQ65" s="223">
        <f>PKU!U161</f>
        <v>148.13625963056708</v>
      </c>
      <c r="AR65" s="223">
        <f>PKU!V161</f>
        <v>159.61336059962667</v>
      </c>
    </row>
    <row r="66" spans="2:44" s="205" customFormat="1" outlineLevel="1">
      <c r="B66" s="225" t="s">
        <v>235</v>
      </c>
      <c r="C66" s="223"/>
      <c r="D66" s="223"/>
      <c r="E66" s="223"/>
      <c r="F66" s="223"/>
      <c r="G66" s="223"/>
      <c r="H66" s="223"/>
      <c r="I66" s="223"/>
      <c r="J66" s="223"/>
      <c r="K66" s="223"/>
      <c r="L66" s="223"/>
      <c r="M66" s="570"/>
      <c r="N66" s="570"/>
      <c r="O66" s="570"/>
      <c r="P66" s="570"/>
      <c r="Q66" s="223"/>
      <c r="R66" s="570"/>
      <c r="S66" s="570"/>
      <c r="T66" s="570"/>
      <c r="U66" s="570"/>
      <c r="V66" s="223"/>
      <c r="W66" s="570"/>
      <c r="X66" s="570"/>
      <c r="Y66" s="570"/>
      <c r="Z66" s="570"/>
      <c r="AA66" s="223">
        <f>PKU!I162</f>
        <v>0</v>
      </c>
      <c r="AB66" s="570"/>
      <c r="AC66" s="570"/>
      <c r="AD66" s="570"/>
      <c r="AE66" s="570"/>
      <c r="AF66" s="223">
        <f>PKU!J162</f>
        <v>14.945820636927399</v>
      </c>
      <c r="AG66" s="223">
        <f>PKU!K162</f>
        <v>15.503748121303897</v>
      </c>
      <c r="AH66" s="223">
        <f>PKU!L162</f>
        <v>28.568991077674472</v>
      </c>
      <c r="AI66" s="223">
        <f>PKU!M162</f>
        <v>36.951126460721014</v>
      </c>
      <c r="AJ66" s="223">
        <f>PKU!N162</f>
        <v>24.213329366142762</v>
      </c>
      <c r="AK66" s="223">
        <f>PKU!O162</f>
        <v>27.7486947175036</v>
      </c>
      <c r="AL66" s="223">
        <f>PKU!P162</f>
        <v>29.393164610768654</v>
      </c>
      <c r="AM66" s="223">
        <f>PKU!Q162</f>
        <v>31.824216004391122</v>
      </c>
      <c r="AN66" s="223">
        <f>PKU!R162</f>
        <v>34.24288882260543</v>
      </c>
      <c r="AO66" s="223">
        <f>PKU!S162</f>
        <v>36.910063333195282</v>
      </c>
      <c r="AP66" s="223">
        <f>PKU!T162</f>
        <v>39.765261710281038</v>
      </c>
      <c r="AQ66" s="223">
        <f>PKU!U162</f>
        <v>42.847328577031568</v>
      </c>
      <c r="AR66" s="223">
        <f>PKU!V162</f>
        <v>46.166447581603478</v>
      </c>
    </row>
    <row r="67" spans="2:44" s="205" customFormat="1" outlineLevel="1">
      <c r="B67" s="226" t="s">
        <v>164</v>
      </c>
      <c r="C67" s="224"/>
      <c r="D67" s="224"/>
      <c r="E67" s="224"/>
      <c r="F67" s="224"/>
      <c r="G67" s="224"/>
      <c r="H67" s="224"/>
      <c r="I67" s="224"/>
      <c r="J67" s="224"/>
      <c r="K67" s="224"/>
      <c r="L67" s="224"/>
      <c r="M67" s="571"/>
      <c r="N67" s="571"/>
      <c r="O67" s="571"/>
      <c r="P67" s="571"/>
      <c r="Q67" s="224"/>
      <c r="R67" s="571"/>
      <c r="S67" s="571"/>
      <c r="T67" s="571"/>
      <c r="U67" s="571"/>
      <c r="V67" s="224"/>
      <c r="W67" s="571"/>
      <c r="X67" s="571"/>
      <c r="Y67" s="571"/>
      <c r="Z67" s="571"/>
      <c r="AA67" s="224">
        <f>PKU!I163</f>
        <v>0</v>
      </c>
      <c r="AB67" s="571">
        <v>0</v>
      </c>
      <c r="AC67" s="571">
        <v>0</v>
      </c>
      <c r="AD67" s="571">
        <v>2.5</v>
      </c>
      <c r="AE67" s="571">
        <f>AF67-SUM(AB67:AD67)</f>
        <v>12.445820636927399</v>
      </c>
      <c r="AF67" s="224">
        <f>PKU!J163</f>
        <v>14.945820636927399</v>
      </c>
      <c r="AG67" s="224">
        <f>PKU!K163</f>
        <v>34.466258054405529</v>
      </c>
      <c r="AH67" s="224">
        <f>PKU!L163</f>
        <v>61.712234814047491</v>
      </c>
      <c r="AI67" s="224">
        <f>PKU!M163</f>
        <v>96.746308565213525</v>
      </c>
      <c r="AJ67" s="224">
        <f>PKU!N163</f>
        <v>113.57954794842445</v>
      </c>
      <c r="AK67" s="224">
        <f>PKU!O163</f>
        <v>121.96405465350834</v>
      </c>
      <c r="AL67" s="224">
        <f>PKU!P163</f>
        <v>131.53933426813271</v>
      </c>
      <c r="AM67" s="224">
        <f>PKU!Q163</f>
        <v>141.691647145861</v>
      </c>
      <c r="AN67" s="224">
        <f>PKU!R163</f>
        <v>152.68067270419098</v>
      </c>
      <c r="AO67" s="224">
        <f>PKU!S163</f>
        <v>164.50577397474245</v>
      </c>
      <c r="AP67" s="224">
        <f>PKU!T163</f>
        <v>177.25165697509178</v>
      </c>
      <c r="AQ67" s="224">
        <f>PKU!U163</f>
        <v>190.98358820759864</v>
      </c>
      <c r="AR67" s="224">
        <f>PKU!V163</f>
        <v>205.77980818123015</v>
      </c>
    </row>
    <row r="68" spans="2:44" s="205" customFormat="1" outlineLevel="1">
      <c r="B68" s="227"/>
      <c r="G68" s="228"/>
      <c r="L68" s="228"/>
      <c r="M68" s="573"/>
      <c r="N68" s="573"/>
      <c r="O68" s="573"/>
      <c r="P68" s="573"/>
      <c r="Q68" s="228"/>
      <c r="R68" s="573"/>
      <c r="S68" s="573"/>
      <c r="T68" s="573"/>
      <c r="U68" s="573"/>
      <c r="V68" s="228"/>
      <c r="W68" s="573"/>
      <c r="X68" s="573"/>
      <c r="Y68" s="573"/>
      <c r="Z68" s="573"/>
      <c r="AA68" s="228"/>
      <c r="AB68" s="573"/>
      <c r="AC68" s="573"/>
      <c r="AD68" s="573"/>
      <c r="AE68" s="573"/>
      <c r="AF68" s="228"/>
      <c r="AG68" s="228"/>
      <c r="AH68" s="228"/>
      <c r="AI68" s="228"/>
      <c r="AJ68" s="228"/>
      <c r="AK68" s="228"/>
      <c r="AL68" s="228"/>
      <c r="AM68" s="228"/>
    </row>
    <row r="69" spans="2:44" s="205" customFormat="1" outlineLevel="1">
      <c r="B69" s="225" t="s">
        <v>227</v>
      </c>
      <c r="C69" s="229"/>
      <c r="D69" s="229"/>
      <c r="E69" s="229"/>
      <c r="F69" s="229"/>
      <c r="G69" s="229"/>
      <c r="H69" s="229"/>
      <c r="I69" s="229"/>
      <c r="J69" s="229"/>
      <c r="K69" s="229"/>
      <c r="L69" s="229"/>
      <c r="M69" s="574"/>
      <c r="N69" s="574"/>
      <c r="O69" s="574"/>
      <c r="P69" s="574"/>
      <c r="Q69" s="229"/>
      <c r="R69" s="574"/>
      <c r="S69" s="574"/>
      <c r="T69" s="574"/>
      <c r="U69" s="574"/>
      <c r="V69" s="229"/>
      <c r="W69" s="574"/>
      <c r="X69" s="574"/>
      <c r="Y69" s="574"/>
      <c r="Z69" s="574"/>
      <c r="AA69" s="229">
        <f>PKU!I166</f>
        <v>0</v>
      </c>
      <c r="AB69" s="574"/>
      <c r="AC69" s="574"/>
      <c r="AD69" s="574"/>
      <c r="AE69" s="574"/>
      <c r="AF69" s="223">
        <f>PKU!J166</f>
        <v>0</v>
      </c>
      <c r="AG69" s="223">
        <f>PKU!K166</f>
        <v>0</v>
      </c>
      <c r="AH69" s="223">
        <f>PKU!L166</f>
        <v>6.6368784765855722</v>
      </c>
      <c r="AI69" s="223">
        <f>PKU!M166</f>
        <v>11.600135307730557</v>
      </c>
      <c r="AJ69" s="223">
        <f>PKU!N166</f>
        <v>20.928313736572377</v>
      </c>
      <c r="AK69" s="223">
        <f>PKU!O166</f>
        <v>31.278176503798591</v>
      </c>
      <c r="AL69" s="223">
        <f>PKU!P166</f>
        <v>32.975375977601658</v>
      </c>
      <c r="AM69" s="223">
        <f>PKU!Q166</f>
        <v>35.751159380077418</v>
      </c>
      <c r="AN69" s="223">
        <f>PKU!R166</f>
        <v>38.453600899514456</v>
      </c>
      <c r="AO69" s="223">
        <f>PKU!S166</f>
        <v>41.453224358554941</v>
      </c>
      <c r="AP69" s="223">
        <f>PKU!T166</f>
        <v>44.658498724541509</v>
      </c>
      <c r="AQ69" s="223">
        <f>PKU!U166</f>
        <v>48.120238342683756</v>
      </c>
      <c r="AR69" s="223">
        <f>PKU!V166</f>
        <v>51.847690870698479</v>
      </c>
    </row>
    <row r="70" spans="2:44" s="205" customFormat="1" outlineLevel="1">
      <c r="B70" s="225" t="s">
        <v>235</v>
      </c>
      <c r="C70" s="229"/>
      <c r="D70" s="229"/>
      <c r="E70" s="229"/>
      <c r="F70" s="229"/>
      <c r="G70" s="229"/>
      <c r="H70" s="229"/>
      <c r="I70" s="229"/>
      <c r="J70" s="229"/>
      <c r="K70" s="229"/>
      <c r="L70" s="229"/>
      <c r="M70" s="574"/>
      <c r="N70" s="574"/>
      <c r="O70" s="574"/>
      <c r="P70" s="574"/>
      <c r="Q70" s="229"/>
      <c r="R70" s="574"/>
      <c r="S70" s="574"/>
      <c r="T70" s="574"/>
      <c r="U70" s="574"/>
      <c r="V70" s="229"/>
      <c r="W70" s="574"/>
      <c r="X70" s="574"/>
      <c r="Y70" s="574"/>
      <c r="Z70" s="574"/>
      <c r="AA70" s="229">
        <f>PKU!I167</f>
        <v>0</v>
      </c>
      <c r="AB70" s="574"/>
      <c r="AC70" s="574"/>
      <c r="AD70" s="574"/>
      <c r="AE70" s="574"/>
      <c r="AF70" s="223">
        <f>PKU!J167</f>
        <v>0</v>
      </c>
      <c r="AG70" s="223">
        <f>PKU!K167</f>
        <v>5.2310372229245896</v>
      </c>
      <c r="AH70" s="223">
        <f>PKU!L167</f>
        <v>5.4263118424563634</v>
      </c>
      <c r="AI70" s="223">
        <f>PKU!M167</f>
        <v>9.9991468771860639</v>
      </c>
      <c r="AJ70" s="223">
        <f>PKU!N167</f>
        <v>12.932894261252354</v>
      </c>
      <c r="AK70" s="223">
        <f>PKU!O167</f>
        <v>8.474665278149967</v>
      </c>
      <c r="AL70" s="223">
        <f>PKU!P167</f>
        <v>9.7120431511262595</v>
      </c>
      <c r="AM70" s="223">
        <f>PKU!Q167</f>
        <v>10.287607613769028</v>
      </c>
      <c r="AN70" s="223">
        <f>PKU!R167</f>
        <v>11.138475601536893</v>
      </c>
      <c r="AO70" s="223">
        <f>PKU!S167</f>
        <v>11.9850110879119</v>
      </c>
      <c r="AP70" s="223">
        <f>PKU!T167</f>
        <v>12.918522166618349</v>
      </c>
      <c r="AQ70" s="223">
        <f>PKU!U167</f>
        <v>13.917841598598363</v>
      </c>
      <c r="AR70" s="223">
        <f>PKU!V167</f>
        <v>14.996565001961049</v>
      </c>
    </row>
    <row r="71" spans="2:44" s="205" customFormat="1" outlineLevel="1">
      <c r="B71" s="226" t="s">
        <v>165</v>
      </c>
      <c r="C71" s="224"/>
      <c r="D71" s="224"/>
      <c r="E71" s="224"/>
      <c r="F71" s="224"/>
      <c r="G71" s="224"/>
      <c r="H71" s="224"/>
      <c r="I71" s="224"/>
      <c r="J71" s="224"/>
      <c r="K71" s="224"/>
      <c r="L71" s="224"/>
      <c r="M71" s="571"/>
      <c r="N71" s="571"/>
      <c r="O71" s="571"/>
      <c r="P71" s="571"/>
      <c r="Q71" s="224"/>
      <c r="R71" s="571"/>
      <c r="S71" s="571"/>
      <c r="T71" s="571"/>
      <c r="U71" s="571"/>
      <c r="V71" s="224"/>
      <c r="W71" s="571"/>
      <c r="X71" s="571"/>
      <c r="Y71" s="571"/>
      <c r="Z71" s="571"/>
      <c r="AA71" s="224">
        <f>PKU!I168</f>
        <v>0</v>
      </c>
      <c r="AB71" s="571">
        <v>0</v>
      </c>
      <c r="AC71" s="571">
        <v>0</v>
      </c>
      <c r="AD71" s="571">
        <v>0</v>
      </c>
      <c r="AE71" s="571">
        <f>AF71-SUM(AB71:AD71)</f>
        <v>0</v>
      </c>
      <c r="AF71" s="224">
        <f>PKU!J168</f>
        <v>0</v>
      </c>
      <c r="AG71" s="224">
        <f>PKU!K168</f>
        <v>5.2310372229245896</v>
      </c>
      <c r="AH71" s="224">
        <f>PKU!L168</f>
        <v>12.063190319041937</v>
      </c>
      <c r="AI71" s="224">
        <f>PKU!M168</f>
        <v>21.599282184916621</v>
      </c>
      <c r="AJ71" s="224">
        <f>PKU!N168</f>
        <v>33.861207997824735</v>
      </c>
      <c r="AK71" s="224">
        <f>PKU!O168</f>
        <v>39.752841781948561</v>
      </c>
      <c r="AL71" s="224">
        <f>PKU!P168</f>
        <v>42.687419128727917</v>
      </c>
      <c r="AM71" s="224">
        <f>PKU!Q168</f>
        <v>46.038766993846444</v>
      </c>
      <c r="AN71" s="224">
        <f>PKU!R168</f>
        <v>49.592076501051352</v>
      </c>
      <c r="AO71" s="224">
        <f>PKU!S168</f>
        <v>53.438235446466841</v>
      </c>
      <c r="AP71" s="224">
        <f>PKU!T168</f>
        <v>57.577020891159862</v>
      </c>
      <c r="AQ71" s="224">
        <f>PKU!U168</f>
        <v>62.03807994128212</v>
      </c>
      <c r="AR71" s="224">
        <f>PKU!V168</f>
        <v>66.844255872659531</v>
      </c>
    </row>
    <row r="72" spans="2:44" s="205" customFormat="1" outlineLevel="1">
      <c r="B72" s="227"/>
      <c r="G72" s="228"/>
      <c r="L72" s="228"/>
      <c r="M72" s="573"/>
      <c r="N72" s="573"/>
      <c r="O72" s="573"/>
      <c r="P72" s="573"/>
      <c r="Q72" s="228"/>
      <c r="R72" s="573"/>
      <c r="S72" s="573"/>
      <c r="T72" s="573"/>
      <c r="U72" s="573"/>
      <c r="V72" s="228"/>
      <c r="W72" s="573"/>
      <c r="X72" s="573"/>
      <c r="Y72" s="573"/>
      <c r="Z72" s="573"/>
      <c r="AA72" s="228"/>
      <c r="AB72" s="573"/>
      <c r="AC72" s="573"/>
      <c r="AD72" s="573"/>
      <c r="AE72" s="573"/>
      <c r="AF72" s="228"/>
      <c r="AG72" s="228"/>
      <c r="AH72" s="228"/>
      <c r="AI72" s="228"/>
      <c r="AJ72" s="228"/>
      <c r="AK72" s="228"/>
      <c r="AL72" s="228"/>
      <c r="AM72" s="228"/>
      <c r="AN72" s="228"/>
      <c r="AO72" s="228"/>
      <c r="AP72" s="228"/>
      <c r="AQ72" s="228"/>
      <c r="AR72" s="228"/>
    </row>
    <row r="73" spans="2:44" s="205" customFormat="1" outlineLevel="1">
      <c r="B73" s="226" t="s">
        <v>578</v>
      </c>
      <c r="C73" s="224"/>
      <c r="D73" s="224"/>
      <c r="E73" s="224"/>
      <c r="F73" s="224"/>
      <c r="G73" s="224"/>
      <c r="H73" s="224"/>
      <c r="I73" s="224"/>
      <c r="J73" s="224"/>
      <c r="K73" s="224"/>
      <c r="L73" s="224"/>
      <c r="M73" s="571"/>
      <c r="N73" s="571"/>
      <c r="O73" s="571"/>
      <c r="P73" s="571"/>
      <c r="Q73" s="224"/>
      <c r="R73" s="571"/>
      <c r="S73" s="571"/>
      <c r="T73" s="571"/>
      <c r="U73" s="571"/>
      <c r="V73" s="224"/>
      <c r="W73" s="571"/>
      <c r="X73" s="571"/>
      <c r="Y73" s="571"/>
      <c r="Z73" s="571"/>
      <c r="AA73" s="224">
        <f>PKU!I171</f>
        <v>0</v>
      </c>
      <c r="AB73" s="571">
        <f>AB71+AB67</f>
        <v>0</v>
      </c>
      <c r="AC73" s="571">
        <f t="shared" ref="AC73:AE73" si="159">AC71+AC67</f>
        <v>0</v>
      </c>
      <c r="AD73" s="571">
        <f t="shared" si="159"/>
        <v>2.5</v>
      </c>
      <c r="AE73" s="571">
        <f t="shared" si="159"/>
        <v>12.445820636927399</v>
      </c>
      <c r="AF73" s="224">
        <f>PKU!J171</f>
        <v>14.945820636927399</v>
      </c>
      <c r="AG73" s="224">
        <f>PKU!K171</f>
        <v>39.69729527733012</v>
      </c>
      <c r="AH73" s="224">
        <f>PKU!L171</f>
        <v>73.775425133089428</v>
      </c>
      <c r="AI73" s="224">
        <f>PKU!M171</f>
        <v>118.34559075013014</v>
      </c>
      <c r="AJ73" s="224">
        <f>PKU!N171</f>
        <v>147.44075594624917</v>
      </c>
      <c r="AK73" s="224">
        <f>PKU!O171</f>
        <v>161.7168964354569</v>
      </c>
      <c r="AL73" s="224">
        <f>PKU!P171</f>
        <v>174.22675339686063</v>
      </c>
      <c r="AM73" s="224">
        <f>PKU!Q171</f>
        <v>187.73041413970745</v>
      </c>
      <c r="AN73" s="224">
        <f>PKU!R171</f>
        <v>202.27274920524235</v>
      </c>
      <c r="AO73" s="224">
        <f>PKU!S171</f>
        <v>217.9440094212093</v>
      </c>
      <c r="AP73" s="224">
        <f>PKU!T171</f>
        <v>234.82867786625164</v>
      </c>
      <c r="AQ73" s="224">
        <f>PKU!U171</f>
        <v>253.02166814888076</v>
      </c>
      <c r="AR73" s="224">
        <f>PKU!V171</f>
        <v>272.6240640538897</v>
      </c>
    </row>
    <row r="74" spans="2:44" outlineLevel="1">
      <c r="B74" s="190" t="s">
        <v>273</v>
      </c>
      <c r="C74" s="179"/>
      <c r="D74" s="179"/>
      <c r="E74" s="179"/>
      <c r="F74" s="179"/>
      <c r="G74" s="188"/>
      <c r="H74" s="179"/>
      <c r="I74" s="179"/>
      <c r="J74" s="179"/>
      <c r="K74" s="179"/>
      <c r="L74" s="188"/>
      <c r="M74" s="572"/>
      <c r="N74" s="572"/>
      <c r="O74" s="572"/>
      <c r="P74" s="572"/>
      <c r="Q74" s="188"/>
      <c r="R74" s="572"/>
      <c r="S74" s="572"/>
      <c r="T74" s="572"/>
      <c r="U74" s="572"/>
      <c r="V74" s="188"/>
      <c r="W74" s="572"/>
      <c r="X74" s="572"/>
      <c r="Y74" s="572"/>
      <c r="Z74" s="572"/>
      <c r="AA74" s="188"/>
      <c r="AB74" s="572"/>
      <c r="AC74" s="572"/>
      <c r="AD74" s="572"/>
      <c r="AE74" s="572"/>
      <c r="AF74" s="188"/>
      <c r="AG74" s="188">
        <f t="shared" ref="AG74:AM74" si="160">AG73/AF73-1</f>
        <v>1.6560799999999998</v>
      </c>
      <c r="AH74" s="188">
        <f t="shared" si="160"/>
        <v>0.85844966559271496</v>
      </c>
      <c r="AI74" s="188">
        <f t="shared" si="160"/>
        <v>0.6041329553389494</v>
      </c>
      <c r="AJ74" s="188">
        <f t="shared" si="160"/>
        <v>0.24584916946799762</v>
      </c>
      <c r="AK74" s="188">
        <f t="shared" si="160"/>
        <v>9.6826283869652974E-2</v>
      </c>
      <c r="AL74" s="188">
        <f t="shared" si="160"/>
        <v>7.7356523883059802E-2</v>
      </c>
      <c r="AM74" s="188">
        <f t="shared" si="160"/>
        <v>7.7506241031121359E-2</v>
      </c>
      <c r="AN74" s="188">
        <f t="shared" ref="AN74" si="161">AN73/AM73-1</f>
        <v>7.7463926834533181E-2</v>
      </c>
      <c r="AO74" s="188">
        <f t="shared" ref="AO74" si="162">AO73/AN73-1</f>
        <v>7.7475884801791128E-2</v>
      </c>
      <c r="AP74" s="188">
        <f t="shared" ref="AP74" si="163">AP73/AO73-1</f>
        <v>7.7472505392016444E-2</v>
      </c>
      <c r="AQ74" s="188">
        <f t="shared" ref="AQ74" si="164">AQ73/AP73-1</f>
        <v>7.7473460430548702E-2</v>
      </c>
      <c r="AR74" s="188">
        <f t="shared" ref="AR74" si="165">AR73/AQ73-1</f>
        <v>7.7473190531154978E-2</v>
      </c>
    </row>
    <row r="75" spans="2:44" s="205" customFormat="1" outlineLevel="1">
      <c r="B75" s="227"/>
      <c r="G75" s="228"/>
      <c r="L75" s="228"/>
      <c r="M75" s="573"/>
      <c r="N75" s="573"/>
      <c r="O75" s="573"/>
      <c r="P75" s="573"/>
      <c r="Q75" s="228"/>
      <c r="R75" s="573"/>
      <c r="S75" s="573"/>
      <c r="T75" s="573"/>
      <c r="U75" s="573"/>
      <c r="V75" s="228"/>
      <c r="W75" s="573"/>
      <c r="X75" s="573"/>
      <c r="Y75" s="573"/>
      <c r="Z75" s="573"/>
      <c r="AA75" s="228"/>
      <c r="AB75" s="573"/>
      <c r="AC75" s="573"/>
      <c r="AD75" s="573"/>
      <c r="AE75" s="573"/>
      <c r="AF75" s="228"/>
      <c r="AG75" s="228"/>
      <c r="AH75" s="228"/>
      <c r="AI75" s="228"/>
      <c r="AJ75" s="228"/>
      <c r="AK75" s="228"/>
      <c r="AL75" s="228"/>
      <c r="AM75" s="228"/>
    </row>
    <row r="76" spans="2:44" outlineLevel="1">
      <c r="B76" s="221" t="s">
        <v>268</v>
      </c>
      <c r="C76" s="222"/>
      <c r="D76" s="222"/>
      <c r="E76" s="222"/>
      <c r="F76" s="222"/>
      <c r="G76" s="222"/>
      <c r="H76" s="222"/>
      <c r="I76" s="222"/>
      <c r="J76" s="222"/>
      <c r="K76" s="222"/>
      <c r="L76" s="222"/>
      <c r="M76" s="222"/>
      <c r="N76" s="222"/>
      <c r="O76" s="222"/>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c r="AQ76" s="222"/>
      <c r="AR76" s="222"/>
    </row>
    <row r="77" spans="2:44" s="205" customFormat="1" outlineLevel="1">
      <c r="B77" s="197" t="s">
        <v>266</v>
      </c>
      <c r="C77" s="223"/>
      <c r="D77" s="223"/>
      <c r="E77" s="223"/>
      <c r="F77" s="223"/>
      <c r="G77" s="223"/>
      <c r="H77" s="223"/>
      <c r="I77" s="223"/>
      <c r="J77" s="223"/>
      <c r="K77" s="223"/>
      <c r="L77" s="223"/>
      <c r="M77" s="570"/>
      <c r="N77" s="570"/>
      <c r="O77" s="570"/>
      <c r="P77" s="570"/>
      <c r="Q77" s="223"/>
      <c r="R77" s="570"/>
      <c r="S77" s="570"/>
      <c r="T77" s="570"/>
      <c r="U77" s="570"/>
      <c r="V77" s="223"/>
      <c r="W77" s="570"/>
      <c r="X77" s="570"/>
      <c r="Y77" s="570"/>
      <c r="Z77" s="570"/>
      <c r="AA77" s="223"/>
      <c r="AB77" s="570"/>
      <c r="AC77" s="570"/>
      <c r="AD77" s="570"/>
      <c r="AE77" s="570"/>
      <c r="AF77" s="223"/>
      <c r="AG77" s="223">
        <f>' Vosoritide (BMN 111)'!H24</f>
        <v>0</v>
      </c>
      <c r="AH77" s="223">
        <f>' Vosoritide (BMN 111)'!I24</f>
        <v>10.820698724243989</v>
      </c>
      <c r="AI77" s="223">
        <f>' Vosoritide (BMN 111)'!J24</f>
        <v>57.16835066190545</v>
      </c>
      <c r="AJ77" s="223">
        <f>' Vosoritide (BMN 111)'!K24</f>
        <v>120.73197865895118</v>
      </c>
      <c r="AK77" s="223">
        <f>' Vosoritide (BMN 111)'!L24</f>
        <v>222.95565767914997</v>
      </c>
      <c r="AL77" s="223">
        <f>' Vosoritide (BMN 111)'!M24</f>
        <v>352.69832645966784</v>
      </c>
      <c r="AM77" s="223">
        <f>' Vosoritide (BMN 111)'!N24</f>
        <v>464.68172597250253</v>
      </c>
      <c r="AN77" s="223">
        <f>' Vosoritide (BMN 111)'!O24</f>
        <v>562.93242343249824</v>
      </c>
      <c r="AO77" s="223">
        <f>' Vosoritide (BMN 111)'!P24</f>
        <v>651.96412615284589</v>
      </c>
      <c r="AP77" s="223">
        <f>' Vosoritide (BMN 111)'!Q24</f>
        <v>720.39416294032264</v>
      </c>
      <c r="AQ77" s="223">
        <f>' Vosoritide (BMN 111)'!R24</f>
        <v>795.62592843404752</v>
      </c>
      <c r="AR77" s="223">
        <f>' Vosoritide (BMN 111)'!S24</f>
        <v>878.31260434695912</v>
      </c>
    </row>
    <row r="78" spans="2:44" s="205" customFormat="1" outlineLevel="1">
      <c r="B78" s="197" t="s">
        <v>25</v>
      </c>
      <c r="C78" s="223"/>
      <c r="D78" s="223"/>
      <c r="E78" s="223"/>
      <c r="F78" s="223"/>
      <c r="G78" s="223"/>
      <c r="H78" s="223"/>
      <c r="I78" s="223"/>
      <c r="J78" s="223"/>
      <c r="K78" s="223"/>
      <c r="L78" s="223"/>
      <c r="M78" s="570"/>
      <c r="N78" s="570"/>
      <c r="O78" s="570"/>
      <c r="P78" s="570"/>
      <c r="Q78" s="223"/>
      <c r="R78" s="570"/>
      <c r="S78" s="570"/>
      <c r="T78" s="570"/>
      <c r="U78" s="570"/>
      <c r="V78" s="223"/>
      <c r="W78" s="570"/>
      <c r="X78" s="570"/>
      <c r="Y78" s="570"/>
      <c r="Z78" s="570"/>
      <c r="AA78" s="223"/>
      <c r="AB78" s="570"/>
      <c r="AC78" s="570"/>
      <c r="AD78" s="570"/>
      <c r="AE78" s="570"/>
      <c r="AF78" s="223"/>
      <c r="AG78" s="223">
        <f>' Vosoritide (BMN 111)'!H38</f>
        <v>0</v>
      </c>
      <c r="AH78" s="223">
        <f>' Vosoritide (BMN 111)'!I38</f>
        <v>13.064764084669591</v>
      </c>
      <c r="AI78" s="223">
        <f>' Vosoritide (BMN 111)'!J38</f>
        <v>67.013870893948081</v>
      </c>
      <c r="AJ78" s="223">
        <f>' Vosoritide (BMN 111)'!K38</f>
        <v>137.40234205641826</v>
      </c>
      <c r="AK78" s="223">
        <f>' Vosoritide (BMN 111)'!L38</f>
        <v>246.35029680549926</v>
      </c>
      <c r="AL78" s="223">
        <f>' Vosoritide (BMN 111)'!M38</f>
        <v>378.3561230806975</v>
      </c>
      <c r="AM78" s="223">
        <f>' Vosoritide (BMN 111)'!N38</f>
        <v>483.96698572681004</v>
      </c>
      <c r="AN78" s="223">
        <f>' Vosoritide (BMN 111)'!O38</f>
        <v>569.21872993078102</v>
      </c>
      <c r="AO78" s="223">
        <f>' Vosoritide (BMN 111)'!P38</f>
        <v>640.04335536076201</v>
      </c>
      <c r="AP78" s="223">
        <f>' Vosoritide (BMN 111)'!Q38</f>
        <v>686.62348563253749</v>
      </c>
      <c r="AQ78" s="223">
        <f>' Vosoritide (BMN 111)'!R38</f>
        <v>736.24129346952247</v>
      </c>
      <c r="AR78" s="223">
        <f>' Vosoritide (BMN 111)'!S38</f>
        <v>789.08381339618893</v>
      </c>
    </row>
    <row r="79" spans="2:44" s="205" customFormat="1" outlineLevel="1">
      <c r="B79" s="226" t="s">
        <v>269</v>
      </c>
      <c r="C79" s="224"/>
      <c r="D79" s="224"/>
      <c r="E79" s="224"/>
      <c r="F79" s="224"/>
      <c r="G79" s="224"/>
      <c r="H79" s="224"/>
      <c r="I79" s="224"/>
      <c r="J79" s="224"/>
      <c r="K79" s="224"/>
      <c r="L79" s="224"/>
      <c r="M79" s="571"/>
      <c r="N79" s="571"/>
      <c r="O79" s="571"/>
      <c r="P79" s="571"/>
      <c r="Q79" s="224"/>
      <c r="R79" s="571"/>
      <c r="S79" s="571"/>
      <c r="T79" s="571"/>
      <c r="U79" s="571"/>
      <c r="V79" s="224"/>
      <c r="W79" s="571"/>
      <c r="X79" s="571"/>
      <c r="Y79" s="571"/>
      <c r="Z79" s="571"/>
      <c r="AA79" s="224"/>
      <c r="AB79" s="571"/>
      <c r="AC79" s="571"/>
      <c r="AD79" s="571"/>
      <c r="AE79" s="571"/>
      <c r="AF79" s="224"/>
      <c r="AG79" s="224">
        <f>' Vosoritide (BMN 111)'!H40</f>
        <v>0</v>
      </c>
      <c r="AH79" s="224">
        <f>' Vosoritide (BMN 111)'!I40</f>
        <v>23.88546280891358</v>
      </c>
      <c r="AI79" s="224">
        <f>' Vosoritide (BMN 111)'!J40</f>
        <v>124.18222155585353</v>
      </c>
      <c r="AJ79" s="224">
        <f>' Vosoritide (BMN 111)'!K40</f>
        <v>258.13432071536943</v>
      </c>
      <c r="AK79" s="224">
        <f>' Vosoritide (BMN 111)'!L40</f>
        <v>469.30595448464919</v>
      </c>
      <c r="AL79" s="224">
        <f>' Vosoritide (BMN 111)'!M40</f>
        <v>731.05444954036534</v>
      </c>
      <c r="AM79" s="224">
        <f>' Vosoritide (BMN 111)'!N40</f>
        <v>948.64871169931257</v>
      </c>
      <c r="AN79" s="224">
        <f>' Vosoritide (BMN 111)'!O40</f>
        <v>1132.1511533632793</v>
      </c>
      <c r="AO79" s="224">
        <f>' Vosoritide (BMN 111)'!P40</f>
        <v>1292.0074815136079</v>
      </c>
      <c r="AP79" s="224">
        <f>' Vosoritide (BMN 111)'!Q40</f>
        <v>1407.0176485728603</v>
      </c>
      <c r="AQ79" s="224">
        <f>' Vosoritide (BMN 111)'!R40</f>
        <v>1531.86722190357</v>
      </c>
      <c r="AR79" s="224">
        <f>' Vosoritide (BMN 111)'!S40</f>
        <v>1667.396417743148</v>
      </c>
    </row>
    <row r="80" spans="2:44" s="205" customFormat="1" outlineLevel="1">
      <c r="B80" s="190" t="s">
        <v>273</v>
      </c>
      <c r="C80" s="179"/>
      <c r="D80" s="179"/>
      <c r="E80" s="179"/>
      <c r="F80" s="179"/>
      <c r="G80" s="188"/>
      <c r="H80" s="179"/>
      <c r="I80" s="179"/>
      <c r="J80" s="179"/>
      <c r="K80" s="179"/>
      <c r="L80" s="188"/>
      <c r="M80" s="572"/>
      <c r="N80" s="572"/>
      <c r="O80" s="572"/>
      <c r="P80" s="572"/>
      <c r="Q80" s="188"/>
      <c r="R80" s="572"/>
      <c r="S80" s="572"/>
      <c r="T80" s="572"/>
      <c r="U80" s="572"/>
      <c r="V80" s="188"/>
      <c r="W80" s="572"/>
      <c r="X80" s="572"/>
      <c r="Y80" s="572"/>
      <c r="Z80" s="572"/>
      <c r="AA80" s="188"/>
      <c r="AB80" s="572"/>
      <c r="AC80" s="572"/>
      <c r="AD80" s="572"/>
      <c r="AE80" s="572"/>
      <c r="AF80" s="188"/>
      <c r="AG80" s="188"/>
      <c r="AH80" s="188"/>
      <c r="AI80" s="188">
        <f t="shared" ref="AI80:AM80" si="166">AI79/AH79-1</f>
        <v>4.1990711902601774</v>
      </c>
      <c r="AJ80" s="188">
        <f t="shared" si="166"/>
        <v>1.0786737222225335</v>
      </c>
      <c r="AK80" s="188">
        <f t="shared" si="166"/>
        <v>0.81806879915874164</v>
      </c>
      <c r="AL80" s="188">
        <f t="shared" si="166"/>
        <v>0.557735295183172</v>
      </c>
      <c r="AM80" s="188">
        <f t="shared" si="166"/>
        <v>0.29764439884847826</v>
      </c>
      <c r="AN80" s="188">
        <f t="shared" ref="AN80" si="167">AN79/AM79-1</f>
        <v>0.19343560941042037</v>
      </c>
      <c r="AO80" s="188">
        <f t="shared" ref="AO80" si="168">AO79/AN79-1</f>
        <v>0.14119698387926705</v>
      </c>
      <c r="AP80" s="188">
        <f t="shared" ref="AP80" si="169">AP79/AO79-1</f>
        <v>8.9016641702814425E-2</v>
      </c>
      <c r="AQ80" s="188">
        <f t="shared" ref="AQ80" si="170">AQ79/AP79-1</f>
        <v>8.8733480676198129E-2</v>
      </c>
      <c r="AR80" s="188">
        <f t="shared" ref="AR80" si="171">AR79/AQ79-1</f>
        <v>8.8473200484806558E-2</v>
      </c>
    </row>
    <row r="81" spans="2:44" s="205" customFormat="1" outlineLevel="1">
      <c r="B81" s="227"/>
      <c r="G81" s="228"/>
      <c r="L81" s="228"/>
      <c r="M81" s="573"/>
      <c r="N81" s="573"/>
      <c r="O81" s="573"/>
      <c r="P81" s="573"/>
      <c r="Q81" s="228"/>
      <c r="R81" s="573"/>
      <c r="S81" s="573"/>
      <c r="T81" s="573"/>
      <c r="U81" s="573"/>
      <c r="V81" s="228"/>
      <c r="W81" s="573"/>
      <c r="X81" s="573"/>
      <c r="Y81" s="573"/>
      <c r="Z81" s="573"/>
      <c r="AA81" s="228"/>
      <c r="AB81" s="573"/>
      <c r="AC81" s="573"/>
      <c r="AD81" s="573"/>
      <c r="AE81" s="573"/>
      <c r="AF81" s="228"/>
      <c r="AG81" s="228"/>
      <c r="AH81" s="228"/>
      <c r="AI81" s="228"/>
      <c r="AJ81" s="228"/>
      <c r="AK81" s="228"/>
      <c r="AL81" s="228"/>
      <c r="AM81" s="228"/>
    </row>
    <row r="82" spans="2:44" outlineLevel="1">
      <c r="B82" s="221" t="s">
        <v>265</v>
      </c>
      <c r="C82" s="222"/>
      <c r="D82" s="222"/>
      <c r="E82" s="222"/>
      <c r="F82" s="222"/>
      <c r="G82" s="222"/>
      <c r="H82" s="222"/>
      <c r="I82" s="222"/>
      <c r="J82" s="222"/>
      <c r="K82" s="222"/>
      <c r="L82" s="222"/>
      <c r="M82" s="222"/>
      <c r="N82" s="222"/>
      <c r="O82" s="222"/>
      <c r="P82" s="222"/>
      <c r="Q82" s="222"/>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c r="AQ82" s="222"/>
      <c r="AR82" s="222"/>
    </row>
    <row r="83" spans="2:44" s="205" customFormat="1" outlineLevel="1">
      <c r="B83" s="197" t="s">
        <v>266</v>
      </c>
      <c r="C83" s="223"/>
      <c r="D83" s="223"/>
      <c r="E83" s="223"/>
      <c r="F83" s="223"/>
      <c r="G83" s="223"/>
      <c r="H83" s="223"/>
      <c r="I83" s="223"/>
      <c r="J83" s="223"/>
      <c r="K83" s="223"/>
      <c r="L83" s="223"/>
      <c r="M83" s="570"/>
      <c r="N83" s="570"/>
      <c r="O83" s="570"/>
      <c r="P83" s="570"/>
      <c r="Q83" s="223"/>
      <c r="R83" s="570"/>
      <c r="S83" s="570"/>
      <c r="T83" s="570"/>
      <c r="U83" s="570"/>
      <c r="V83" s="223"/>
      <c r="W83" s="570"/>
      <c r="X83" s="570"/>
      <c r="Y83" s="570"/>
      <c r="Z83" s="570"/>
      <c r="AA83" s="223"/>
      <c r="AB83" s="570"/>
      <c r="AC83" s="570"/>
      <c r="AD83" s="570"/>
      <c r="AE83" s="570"/>
      <c r="AF83" s="223">
        <f>'BMN 270'!H51</f>
        <v>0</v>
      </c>
      <c r="AG83" s="223">
        <f>'BMN 270'!I51</f>
        <v>0</v>
      </c>
      <c r="AH83" s="223">
        <f>'BMN 270'!J51</f>
        <v>62.184274607778654</v>
      </c>
      <c r="AI83" s="223">
        <f>'BMN 270'!K51</f>
        <v>107.90681712001309</v>
      </c>
      <c r="AJ83" s="223">
        <f>'BMN 270'!L51</f>
        <v>181.84475096245606</v>
      </c>
      <c r="AK83" s="223">
        <f>'BMN 270'!M51</f>
        <v>284.5496357555491</v>
      </c>
      <c r="AL83" s="223">
        <f>'BMN 270'!N51</f>
        <v>418.61638864703366</v>
      </c>
      <c r="AM83" s="223">
        <f>'BMN 270'!O51</f>
        <v>534.16883109005846</v>
      </c>
      <c r="AN83" s="223">
        <f>'BMN 270'!P51</f>
        <v>625.16112366636969</v>
      </c>
      <c r="AO83" s="223">
        <f>'BMN 270'!Q51</f>
        <v>694.62533934682676</v>
      </c>
      <c r="AP83" s="223">
        <f>'BMN 270'!R51</f>
        <v>745.82588693072421</v>
      </c>
      <c r="AQ83" s="223">
        <f>'BMN 270'!S51</f>
        <v>784.63952399862319</v>
      </c>
      <c r="AR83" s="223">
        <f>'BMN 270'!T51</f>
        <v>819.42814665928643</v>
      </c>
    </row>
    <row r="84" spans="2:44" s="205" customFormat="1" outlineLevel="1">
      <c r="B84" s="197" t="s">
        <v>25</v>
      </c>
      <c r="C84" s="223"/>
      <c r="D84" s="223"/>
      <c r="E84" s="223"/>
      <c r="F84" s="223"/>
      <c r="G84" s="223"/>
      <c r="H84" s="223"/>
      <c r="I84" s="223"/>
      <c r="J84" s="223"/>
      <c r="K84" s="223"/>
      <c r="L84" s="223"/>
      <c r="M84" s="570"/>
      <c r="N84" s="570"/>
      <c r="O84" s="570"/>
      <c r="P84" s="570"/>
      <c r="Q84" s="223"/>
      <c r="R84" s="570"/>
      <c r="S84" s="570"/>
      <c r="T84" s="570"/>
      <c r="U84" s="570"/>
      <c r="V84" s="223"/>
      <c r="W84" s="570"/>
      <c r="X84" s="570"/>
      <c r="Y84" s="570"/>
      <c r="Z84" s="570"/>
      <c r="AA84" s="223"/>
      <c r="AB84" s="570"/>
      <c r="AC84" s="570"/>
      <c r="AD84" s="570"/>
      <c r="AE84" s="570"/>
      <c r="AF84" s="223">
        <f>'BMN 270'!H78</f>
        <v>0</v>
      </c>
      <c r="AG84" s="223">
        <f>'BMN 270'!I78</f>
        <v>0</v>
      </c>
      <c r="AH84" s="223">
        <f>'BMN 270'!J78</f>
        <v>0</v>
      </c>
      <c r="AI84" s="223">
        <f>'BMN 270'!K78</f>
        <v>51.505972021473212</v>
      </c>
      <c r="AJ84" s="223">
        <f>'BMN 270'!L78</f>
        <v>87.449414596658301</v>
      </c>
      <c r="AK84" s="223">
        <f>'BMN 270'!M78</f>
        <v>144.84131044584325</v>
      </c>
      <c r="AL84" s="223">
        <f>'BMN 270'!N78</f>
        <v>225.13375184770621</v>
      </c>
      <c r="AM84" s="223">
        <f>'BMN 270'!O78</f>
        <v>334.33492811491124</v>
      </c>
      <c r="AN84" s="223">
        <f>'BMN 270'!P78</f>
        <v>437.08183909152871</v>
      </c>
      <c r="AO84" s="223">
        <f>'BMN 270'!Q78</f>
        <v>527.12259883441482</v>
      </c>
      <c r="AP84" s="223">
        <f>'BMN 270'!R78</f>
        <v>602.72881740542687</v>
      </c>
      <c r="AQ84" s="223">
        <f>'BMN 270'!S78</f>
        <v>661.01227113635139</v>
      </c>
      <c r="AR84" s="223">
        <f>'BMN 270'!T78</f>
        <v>702.11940693159272</v>
      </c>
    </row>
    <row r="85" spans="2:44" s="205" customFormat="1" outlineLevel="1">
      <c r="B85" s="226" t="s">
        <v>267</v>
      </c>
      <c r="C85" s="224"/>
      <c r="D85" s="224"/>
      <c r="E85" s="224"/>
      <c r="F85" s="224"/>
      <c r="G85" s="224"/>
      <c r="H85" s="224"/>
      <c r="I85" s="224"/>
      <c r="J85" s="224"/>
      <c r="K85" s="224"/>
      <c r="L85" s="224"/>
      <c r="M85" s="571"/>
      <c r="N85" s="571"/>
      <c r="O85" s="571"/>
      <c r="P85" s="571"/>
      <c r="Q85" s="224"/>
      <c r="R85" s="571"/>
      <c r="S85" s="571"/>
      <c r="T85" s="571"/>
      <c r="U85" s="571"/>
      <c r="V85" s="224"/>
      <c r="W85" s="571"/>
      <c r="X85" s="571"/>
      <c r="Y85" s="571"/>
      <c r="Z85" s="571"/>
      <c r="AA85" s="224"/>
      <c r="AB85" s="571"/>
      <c r="AC85" s="571"/>
      <c r="AD85" s="571"/>
      <c r="AE85" s="571"/>
      <c r="AF85" s="224">
        <f>'BMN 270'!H82</f>
        <v>0</v>
      </c>
      <c r="AG85" s="224">
        <f>'BMN 270'!I82</f>
        <v>0</v>
      </c>
      <c r="AH85" s="224">
        <f>'BMN 270'!J82</f>
        <v>62.184274607778654</v>
      </c>
      <c r="AI85" s="224">
        <f>'BMN 270'!K82</f>
        <v>159.41278914148631</v>
      </c>
      <c r="AJ85" s="224">
        <f>'BMN 270'!L82</f>
        <v>269.29416555911439</v>
      </c>
      <c r="AK85" s="224">
        <f>'BMN 270'!M82</f>
        <v>429.39094620139235</v>
      </c>
      <c r="AL85" s="224">
        <f>'BMN 270'!N82</f>
        <v>643.75014049473987</v>
      </c>
      <c r="AM85" s="224">
        <f>'BMN 270'!O82</f>
        <v>868.5037592049697</v>
      </c>
      <c r="AN85" s="224">
        <f>'BMN 270'!P82</f>
        <v>1062.2429627578983</v>
      </c>
      <c r="AO85" s="224">
        <f>'BMN 270'!Q82</f>
        <v>1221.7479381812416</v>
      </c>
      <c r="AP85" s="224">
        <f>'BMN 270'!R82</f>
        <v>1348.5547043361512</v>
      </c>
      <c r="AQ85" s="224">
        <f>'BMN 270'!S82</f>
        <v>1445.6517951349747</v>
      </c>
      <c r="AR85" s="224">
        <f>'BMN 270'!T82</f>
        <v>1521.547553590879</v>
      </c>
    </row>
    <row r="86" spans="2:44" s="205" customFormat="1" outlineLevel="1">
      <c r="B86" s="190" t="s">
        <v>273</v>
      </c>
      <c r="C86" s="179"/>
      <c r="D86" s="179"/>
      <c r="E86" s="179"/>
      <c r="F86" s="179"/>
      <c r="G86" s="188"/>
      <c r="H86" s="179"/>
      <c r="I86" s="179"/>
      <c r="J86" s="179"/>
      <c r="K86" s="179"/>
      <c r="L86" s="188"/>
      <c r="M86" s="572"/>
      <c r="N86" s="572"/>
      <c r="O86" s="572"/>
      <c r="P86" s="572"/>
      <c r="Q86" s="188"/>
      <c r="R86" s="572"/>
      <c r="S86" s="572"/>
      <c r="T86" s="572"/>
      <c r="U86" s="572"/>
      <c r="V86" s="188"/>
      <c r="W86" s="572"/>
      <c r="X86" s="572"/>
      <c r="Y86" s="572"/>
      <c r="Z86" s="572"/>
      <c r="AA86" s="188"/>
      <c r="AB86" s="572"/>
      <c r="AC86" s="572"/>
      <c r="AD86" s="572"/>
      <c r="AE86" s="572"/>
      <c r="AF86" s="188"/>
      <c r="AG86" s="188"/>
      <c r="AH86" s="188"/>
      <c r="AI86" s="188">
        <f t="shared" ref="AI86:AM86" si="172">AI85/AH85-1</f>
        <v>1.5635546952499997</v>
      </c>
      <c r="AJ86" s="188">
        <f t="shared" si="172"/>
        <v>0.68928833758816688</v>
      </c>
      <c r="AK86" s="188">
        <f t="shared" si="172"/>
        <v>0.59450519586966011</v>
      </c>
      <c r="AL86" s="188">
        <f t="shared" si="172"/>
        <v>0.49921684700079605</v>
      </c>
      <c r="AM86" s="188">
        <f t="shared" si="172"/>
        <v>0.34913175869367641</v>
      </c>
      <c r="AN86" s="188">
        <f t="shared" ref="AN86:AR86" si="173">AN85/AM85-1</f>
        <v>0.22307238339449209</v>
      </c>
      <c r="AO86" s="188">
        <f t="shared" si="173"/>
        <v>0.15015865580245502</v>
      </c>
      <c r="AP86" s="188">
        <f t="shared" si="173"/>
        <v>0.10379126675153705</v>
      </c>
      <c r="AQ86" s="188">
        <f t="shared" si="173"/>
        <v>7.2000854312114226E-2</v>
      </c>
      <c r="AR86" s="188">
        <f t="shared" si="173"/>
        <v>5.2499335394121216E-2</v>
      </c>
    </row>
    <row r="87" spans="2:44" s="205" customFormat="1" outlineLevel="1">
      <c r="B87" s="197"/>
      <c r="C87" s="223"/>
      <c r="D87" s="223"/>
      <c r="E87" s="223"/>
      <c r="F87" s="223"/>
      <c r="G87" s="223"/>
      <c r="H87" s="223"/>
      <c r="I87" s="223"/>
      <c r="J87" s="223"/>
      <c r="K87" s="223"/>
      <c r="L87" s="223"/>
      <c r="M87" s="570"/>
      <c r="N87" s="570"/>
      <c r="O87" s="570"/>
      <c r="P87" s="570"/>
      <c r="Q87" s="223"/>
      <c r="R87" s="570"/>
      <c r="S87" s="570"/>
      <c r="T87" s="570"/>
      <c r="U87" s="570"/>
      <c r="V87" s="223"/>
      <c r="W87" s="570"/>
      <c r="X87" s="570"/>
      <c r="Y87" s="570"/>
      <c r="Z87" s="570"/>
      <c r="AA87" s="223"/>
      <c r="AB87" s="570"/>
      <c r="AC87" s="570"/>
      <c r="AD87" s="570"/>
      <c r="AE87" s="570"/>
      <c r="AF87" s="223"/>
      <c r="AG87" s="223"/>
      <c r="AH87" s="223"/>
      <c r="AI87" s="223"/>
      <c r="AJ87" s="223"/>
      <c r="AK87" s="223"/>
      <c r="AL87" s="223"/>
      <c r="AM87" s="223"/>
    </row>
    <row r="88" spans="2:44" s="413" customFormat="1" outlineLevel="1">
      <c r="B88" s="221" t="s">
        <v>515</v>
      </c>
      <c r="C88" s="222"/>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c r="AQ88" s="222"/>
      <c r="AR88" s="222"/>
    </row>
    <row r="89" spans="2:44" s="205" customFormat="1" outlineLevel="1">
      <c r="B89" s="197" t="s">
        <v>266</v>
      </c>
      <c r="C89" s="223"/>
      <c r="D89" s="223"/>
      <c r="E89" s="223"/>
      <c r="F89" s="223"/>
      <c r="G89" s="223"/>
      <c r="H89" s="223"/>
      <c r="I89" s="223"/>
      <c r="J89" s="223"/>
      <c r="K89" s="223"/>
      <c r="L89" s="223"/>
      <c r="M89" s="570"/>
      <c r="N89" s="570"/>
      <c r="O89" s="570"/>
      <c r="P89" s="570"/>
      <c r="Q89" s="223"/>
      <c r="R89" s="570"/>
      <c r="S89" s="570"/>
      <c r="T89" s="570"/>
      <c r="U89" s="570"/>
      <c r="V89" s="223"/>
      <c r="W89" s="570"/>
      <c r="X89" s="570"/>
      <c r="Y89" s="570"/>
      <c r="Z89" s="570"/>
      <c r="AA89" s="223"/>
      <c r="AB89" s="570"/>
      <c r="AC89" s="570"/>
      <c r="AD89" s="570"/>
      <c r="AE89" s="570"/>
      <c r="AF89" s="223"/>
      <c r="AG89" s="223">
        <f>'BMN 250'!AD17</f>
        <v>0</v>
      </c>
      <c r="AH89" s="223">
        <f>'BMN 250'!AE17</f>
        <v>10.551651052720155</v>
      </c>
      <c r="AI89" s="223">
        <f>'BMN 250'!AF17</f>
        <v>21.84508317444654</v>
      </c>
      <c r="AJ89" s="223">
        <f>'BMN 250'!AG17</f>
        <v>33.919406772042493</v>
      </c>
      <c r="AK89" s="223">
        <f>'BMN 250'!AH17</f>
        <v>46.815565226773046</v>
      </c>
      <c r="AL89" s="223">
        <f>'BMN 250'!AI17</f>
        <v>60.576415430617622</v>
      </c>
      <c r="AM89" s="223">
        <f>'BMN 250'!AJ17</f>
        <v>75.246811719604608</v>
      </c>
      <c r="AN89" s="223">
        <f>'BMN 250'!AK17</f>
        <v>103.85564953539827</v>
      </c>
      <c r="AO89" s="223">
        <f>'BMN 250'!AL17</f>
        <v>134.38271952070937</v>
      </c>
      <c r="AP89" s="223">
        <f>'BMN 250'!AM17</f>
        <v>139.10627211186232</v>
      </c>
      <c r="AQ89" s="223">
        <f>'BMN 250'!AN17</f>
        <v>143.99585757659426</v>
      </c>
      <c r="AR89" s="223">
        <f>'BMN 250'!AO17</f>
        <v>149.05731197041158</v>
      </c>
    </row>
    <row r="90" spans="2:44" s="205" customFormat="1" outlineLevel="1">
      <c r="B90" s="197" t="s">
        <v>25</v>
      </c>
      <c r="C90" s="223"/>
      <c r="D90" s="223"/>
      <c r="E90" s="223"/>
      <c r="F90" s="223"/>
      <c r="G90" s="223"/>
      <c r="H90" s="223"/>
      <c r="I90" s="223"/>
      <c r="J90" s="223"/>
      <c r="K90" s="223"/>
      <c r="L90" s="223"/>
      <c r="M90" s="570"/>
      <c r="N90" s="570"/>
      <c r="O90" s="570"/>
      <c r="P90" s="570"/>
      <c r="Q90" s="223"/>
      <c r="R90" s="570"/>
      <c r="S90" s="570"/>
      <c r="T90" s="570"/>
      <c r="U90" s="570"/>
      <c r="V90" s="223"/>
      <c r="W90" s="570"/>
      <c r="X90" s="570"/>
      <c r="Y90" s="570"/>
      <c r="Z90" s="570"/>
      <c r="AA90" s="223"/>
      <c r="AB90" s="570"/>
      <c r="AC90" s="570"/>
      <c r="AD90" s="570"/>
      <c r="AE90" s="570"/>
      <c r="AF90" s="223"/>
      <c r="AG90" s="223">
        <f>'BMN 250'!AD26</f>
        <v>0</v>
      </c>
      <c r="AH90" s="223">
        <f>'BMN 250'!AE26</f>
        <v>0</v>
      </c>
      <c r="AI90" s="223">
        <f>'BMN 250'!AF26</f>
        <v>10.917603821889385</v>
      </c>
      <c r="AJ90" s="223">
        <f>'BMN 250'!AG26</f>
        <v>16.458287761498248</v>
      </c>
      <c r="AK90" s="223">
        <f>'BMN 250'!AH26</f>
        <v>24.810868800458607</v>
      </c>
      <c r="AL90" s="223">
        <f>'BMN 250'!AI26</f>
        <v>31.761550992011074</v>
      </c>
      <c r="AM90" s="223">
        <f>'BMN 250'!AJ26</f>
        <v>39.538476466066825</v>
      </c>
      <c r="AN90" s="223">
        <f>'BMN 250'!AK26</f>
        <v>47.571469748081093</v>
      </c>
      <c r="AO90" s="223">
        <f>'BMN 250'!AL26</f>
        <v>55.121341829276545</v>
      </c>
      <c r="AP90" s="223">
        <f>'BMN 250'!AM26</f>
        <v>63.310798329626209</v>
      </c>
      <c r="AQ90" s="223">
        <f>'BMN 250'!AN26</f>
        <v>70.444568641410854</v>
      </c>
      <c r="AR90" s="223">
        <f>'BMN 250'!AO26</f>
        <v>78.561600873253411</v>
      </c>
    </row>
    <row r="91" spans="2:44" s="205" customFormat="1" outlineLevel="1">
      <c r="B91" s="197" t="s">
        <v>26</v>
      </c>
      <c r="C91" s="223"/>
      <c r="D91" s="223"/>
      <c r="E91" s="223"/>
      <c r="F91" s="223"/>
      <c r="G91" s="223"/>
      <c r="H91" s="223"/>
      <c r="I91" s="223"/>
      <c r="J91" s="223"/>
      <c r="K91" s="223"/>
      <c r="L91" s="223"/>
      <c r="M91" s="570"/>
      <c r="N91" s="570"/>
      <c r="O91" s="570"/>
      <c r="P91" s="570"/>
      <c r="Q91" s="223"/>
      <c r="R91" s="570"/>
      <c r="S91" s="570"/>
      <c r="T91" s="570"/>
      <c r="U91" s="570"/>
      <c r="V91" s="223"/>
      <c r="W91" s="570"/>
      <c r="X91" s="570"/>
      <c r="Y91" s="570"/>
      <c r="Z91" s="570"/>
      <c r="AA91" s="223"/>
      <c r="AB91" s="570"/>
      <c r="AC91" s="570"/>
      <c r="AD91" s="570"/>
      <c r="AE91" s="570"/>
      <c r="AF91" s="223"/>
      <c r="AG91" s="223">
        <f>'BMN 250'!AD35</f>
        <v>0</v>
      </c>
      <c r="AH91" s="223">
        <f>'BMN 250'!AE35</f>
        <v>0</v>
      </c>
      <c r="AI91" s="223">
        <f>'BMN 250'!AF35</f>
        <v>0</v>
      </c>
      <c r="AJ91" s="223">
        <f>'BMN 250'!AG35</f>
        <v>5.486095920499416</v>
      </c>
      <c r="AK91" s="223">
        <f>'BMN 250'!AH35</f>
        <v>8.2702896001528661</v>
      </c>
      <c r="AL91" s="223">
        <f>'BMN 250'!AI35</f>
        <v>12.467461572230444</v>
      </c>
      <c r="AM91" s="223">
        <f>'BMN 250'!AJ35</f>
        <v>15.960179373485568</v>
      </c>
      <c r="AN91" s="223">
        <f>'BMN 250'!AK35</f>
        <v>19.868084424198571</v>
      </c>
      <c r="AO91" s="223">
        <f>'BMN 250'!AL35</f>
        <v>23.904663548410745</v>
      </c>
      <c r="AP91" s="223">
        <f>'BMN 250'!AM35</f>
        <v>27.698474269211463</v>
      </c>
      <c r="AQ91" s="223">
        <f>'BMN 250'!AN35</f>
        <v>31.813676160637169</v>
      </c>
      <c r="AR91" s="223">
        <f>'BMN 250'!AO35</f>
        <v>35.398395742308956</v>
      </c>
    </row>
    <row r="92" spans="2:44" s="205" customFormat="1" outlineLevel="1">
      <c r="B92" s="226" t="s">
        <v>516</v>
      </c>
      <c r="C92" s="224"/>
      <c r="D92" s="224"/>
      <c r="E92" s="224"/>
      <c r="F92" s="224"/>
      <c r="G92" s="224"/>
      <c r="H92" s="224"/>
      <c r="I92" s="224"/>
      <c r="J92" s="224"/>
      <c r="K92" s="224"/>
      <c r="L92" s="224"/>
      <c r="M92" s="571"/>
      <c r="N92" s="571"/>
      <c r="O92" s="571"/>
      <c r="P92" s="571"/>
      <c r="Q92" s="224"/>
      <c r="R92" s="571"/>
      <c r="S92" s="571"/>
      <c r="T92" s="571"/>
      <c r="U92" s="571"/>
      <c r="V92" s="224"/>
      <c r="W92" s="571"/>
      <c r="X92" s="571"/>
      <c r="Y92" s="571"/>
      <c r="Z92" s="571"/>
      <c r="AA92" s="224"/>
      <c r="AB92" s="571"/>
      <c r="AC92" s="571"/>
      <c r="AD92" s="571"/>
      <c r="AE92" s="571"/>
      <c r="AF92" s="224"/>
      <c r="AG92" s="224">
        <f>'BMN 250'!AD37</f>
        <v>0</v>
      </c>
      <c r="AH92" s="224">
        <f>'BMN 250'!AE37</f>
        <v>10.551651052720155</v>
      </c>
      <c r="AI92" s="224">
        <f>'BMN 250'!AF37</f>
        <v>32.762686996335923</v>
      </c>
      <c r="AJ92" s="224">
        <f>'BMN 250'!AG37</f>
        <v>55.863790454040156</v>
      </c>
      <c r="AK92" s="224">
        <f>'BMN 250'!AH37</f>
        <v>79.896723627384517</v>
      </c>
      <c r="AL92" s="224">
        <f>'BMN 250'!AI37</f>
        <v>104.80542799485914</v>
      </c>
      <c r="AM92" s="224">
        <f>'BMN 250'!AJ37</f>
        <v>130.74546755915702</v>
      </c>
      <c r="AN92" s="224">
        <f>'BMN 250'!AK37</f>
        <v>171.29520370767793</v>
      </c>
      <c r="AO92" s="224">
        <f>'BMN 250'!AL37</f>
        <v>213.40872489839666</v>
      </c>
      <c r="AP92" s="224">
        <f>'BMN 250'!AM37</f>
        <v>230.11554471069999</v>
      </c>
      <c r="AQ92" s="224">
        <f>'BMN 250'!AN37</f>
        <v>246.25410237864227</v>
      </c>
      <c r="AR92" s="224">
        <f>'BMN 250'!AO37</f>
        <v>263.01730858597398</v>
      </c>
    </row>
    <row r="93" spans="2:44" s="205" customFormat="1" outlineLevel="1">
      <c r="B93" s="190" t="s">
        <v>273</v>
      </c>
      <c r="C93" s="179"/>
      <c r="D93" s="179"/>
      <c r="E93" s="179"/>
      <c r="F93" s="179"/>
      <c r="G93" s="188"/>
      <c r="H93" s="179"/>
      <c r="I93" s="179"/>
      <c r="J93" s="179"/>
      <c r="K93" s="179"/>
      <c r="L93" s="188"/>
      <c r="M93" s="572"/>
      <c r="N93" s="572"/>
      <c r="O93" s="572"/>
      <c r="P93" s="572"/>
      <c r="Q93" s="188"/>
      <c r="R93" s="572"/>
      <c r="S93" s="572"/>
      <c r="T93" s="572"/>
      <c r="U93" s="572"/>
      <c r="V93" s="188"/>
      <c r="W93" s="572"/>
      <c r="X93" s="572"/>
      <c r="Y93" s="572"/>
      <c r="Z93" s="572"/>
      <c r="AA93" s="188"/>
      <c r="AB93" s="572"/>
      <c r="AC93" s="572"/>
      <c r="AD93" s="572"/>
      <c r="AE93" s="572"/>
      <c r="AF93" s="188"/>
      <c r="AG93" s="188"/>
      <c r="AH93" s="188"/>
      <c r="AI93" s="188"/>
      <c r="AJ93" s="188"/>
      <c r="AK93" s="188"/>
      <c r="AL93" s="188"/>
      <c r="AM93" s="188"/>
      <c r="AN93" s="188"/>
      <c r="AO93" s="188"/>
      <c r="AP93" s="188"/>
      <c r="AQ93" s="188"/>
      <c r="AR93" s="188"/>
    </row>
    <row r="94" spans="2:44" s="205" customFormat="1" outlineLevel="1">
      <c r="B94" s="197"/>
      <c r="C94" s="223"/>
      <c r="D94" s="223"/>
      <c r="E94" s="223"/>
      <c r="F94" s="223"/>
      <c r="G94" s="223"/>
      <c r="H94" s="223"/>
      <c r="I94" s="223"/>
      <c r="J94" s="223"/>
      <c r="K94" s="223"/>
      <c r="L94" s="223"/>
      <c r="M94" s="570"/>
      <c r="N94" s="570"/>
      <c r="O94" s="570"/>
      <c r="P94" s="570"/>
      <c r="Q94" s="223"/>
      <c r="R94" s="570"/>
      <c r="S94" s="570"/>
      <c r="T94" s="570"/>
      <c r="U94" s="570"/>
      <c r="V94" s="223"/>
      <c r="W94" s="570"/>
      <c r="X94" s="570"/>
      <c r="Y94" s="570"/>
      <c r="Z94" s="570"/>
      <c r="AA94" s="223"/>
      <c r="AB94" s="570"/>
      <c r="AC94" s="570"/>
      <c r="AD94" s="570"/>
      <c r="AE94" s="570"/>
      <c r="AF94" s="223"/>
      <c r="AG94" s="223"/>
      <c r="AH94" s="223"/>
      <c r="AI94" s="223"/>
      <c r="AJ94" s="223"/>
      <c r="AK94" s="223"/>
      <c r="AL94" s="223"/>
      <c r="AM94" s="223"/>
    </row>
    <row r="95" spans="2:44" s="205" customFormat="1">
      <c r="B95" s="226" t="s">
        <v>272</v>
      </c>
      <c r="C95" s="224"/>
      <c r="D95" s="224"/>
      <c r="E95" s="224"/>
      <c r="F95" s="224"/>
      <c r="G95" s="224"/>
      <c r="H95" s="224"/>
      <c r="I95" s="224">
        <f>I16+I31+I43+I51+I55</f>
        <v>89.9</v>
      </c>
      <c r="J95" s="224"/>
      <c r="K95" s="224"/>
      <c r="L95" s="224">
        <f t="shared" ref="L95:V95" si="174">L55+L51+L43+L31+L16</f>
        <v>791.7321674075115</v>
      </c>
      <c r="M95" s="571">
        <f t="shared" si="174"/>
        <v>201.31200000000001</v>
      </c>
      <c r="N95" s="571">
        <f t="shared" si="174"/>
        <v>249.023</v>
      </c>
      <c r="O95" s="571">
        <f t="shared" si="174"/>
        <v>207.858</v>
      </c>
      <c r="P95" s="571">
        <f t="shared" si="174"/>
        <v>279.84212809066088</v>
      </c>
      <c r="Q95" s="224">
        <f t="shared" si="174"/>
        <v>938.03512809066081</v>
      </c>
      <c r="R95" s="571">
        <f t="shared" si="174"/>
        <v>235.41800000000001</v>
      </c>
      <c r="S95" s="571">
        <f t="shared" si="174"/>
        <v>298.65300000000002</v>
      </c>
      <c r="T95" s="571">
        <f t="shared" si="174"/>
        <v>278.21100000000001</v>
      </c>
      <c r="U95" s="571">
        <f t="shared" si="174"/>
        <v>318.84914998565648</v>
      </c>
      <c r="V95" s="224">
        <f t="shared" si="174"/>
        <v>1131.1311499856565</v>
      </c>
      <c r="W95" s="571">
        <f t="shared" ref="W95:AE95" si="175">W61+W79+W85+W51+W73+W43+W25+W10+W55+W92</f>
        <v>302.19000000000005</v>
      </c>
      <c r="X95" s="571">
        <f t="shared" si="175"/>
        <v>315.90000000000003</v>
      </c>
      <c r="Y95" s="571">
        <f t="shared" si="175"/>
        <v>298.8</v>
      </c>
      <c r="Z95" s="571">
        <f t="shared" si="175"/>
        <v>359.32503358862795</v>
      </c>
      <c r="AA95" s="224">
        <f>AA61+AA79+AA85+AA51+AA73+AA43+AA25+AA10+AA55</f>
        <v>1276.2150335886281</v>
      </c>
      <c r="AB95" s="571">
        <f t="shared" si="175"/>
        <v>343.24628276701998</v>
      </c>
      <c r="AC95" s="571">
        <f t="shared" si="175"/>
        <v>361.59724151145474</v>
      </c>
      <c r="AD95" s="571">
        <f t="shared" si="175"/>
        <v>343.49216359470597</v>
      </c>
      <c r="AE95" s="571">
        <f t="shared" si="175"/>
        <v>424.03378935271519</v>
      </c>
      <c r="AF95" s="224">
        <f t="shared" ref="AF95:AR95" si="176">AF61+AF79+AF85+AF51+AF73+AF43+AF25+AF10+AF55+AF92</f>
        <v>1472.3694772258959</v>
      </c>
      <c r="AG95" s="224">
        <f t="shared" si="176"/>
        <v>1668.3345145730341</v>
      </c>
      <c r="AH95" s="224">
        <f t="shared" si="176"/>
        <v>2002.3225494283015</v>
      </c>
      <c r="AI95" s="224">
        <f t="shared" si="176"/>
        <v>2384.2952774852215</v>
      </c>
      <c r="AJ95" s="224">
        <f t="shared" si="176"/>
        <v>2774.1591434742204</v>
      </c>
      <c r="AK95" s="224">
        <f t="shared" si="176"/>
        <v>3191.5145548818518</v>
      </c>
      <c r="AL95" s="224">
        <f t="shared" si="176"/>
        <v>3676.4331419503533</v>
      </c>
      <c r="AM95" s="224">
        <f t="shared" si="176"/>
        <v>4192.256845436511</v>
      </c>
      <c r="AN95" s="224">
        <f t="shared" si="176"/>
        <v>4662.6265567018127</v>
      </c>
      <c r="AO95" s="224">
        <f t="shared" si="176"/>
        <v>5068.2839688990825</v>
      </c>
      <c r="AP95" s="224">
        <f t="shared" si="176"/>
        <v>5359.4602253667263</v>
      </c>
      <c r="AQ95" s="224">
        <f t="shared" si="176"/>
        <v>5676.3724858604046</v>
      </c>
      <c r="AR95" s="224">
        <f t="shared" si="176"/>
        <v>5986.3798681672597</v>
      </c>
    </row>
    <row r="96" spans="2:44" s="205" customFormat="1" hidden="1" outlineLevel="1">
      <c r="B96" s="238" t="s">
        <v>475</v>
      </c>
      <c r="C96" s="239"/>
      <c r="D96" s="239"/>
      <c r="E96" s="239"/>
      <c r="F96" s="239"/>
      <c r="G96" s="239"/>
      <c r="H96" s="239"/>
      <c r="I96" s="239"/>
      <c r="J96" s="239"/>
      <c r="K96" s="239"/>
      <c r="L96" s="239">
        <f>IS!V5</f>
        <v>738.41599999999994</v>
      </c>
      <c r="M96" s="575">
        <f>IS!W5</f>
        <v>201.31200000000001</v>
      </c>
      <c r="N96" s="575">
        <f>IS!X5</f>
        <v>249.023</v>
      </c>
      <c r="O96" s="575">
        <f>IS!Y5</f>
        <v>207.76699999999997</v>
      </c>
      <c r="P96" s="575">
        <f>IS!Z5</f>
        <v>226.42</v>
      </c>
      <c r="Q96" s="239">
        <f>IS!AA5</f>
        <v>884.52199999999993</v>
      </c>
      <c r="R96" s="575">
        <f>IS!AB5</f>
        <v>235.357</v>
      </c>
      <c r="S96" s="575">
        <f>IS!AC5</f>
        <v>298.57600000000002</v>
      </c>
      <c r="T96" s="575">
        <f>IS!AD5</f>
        <v>278.262</v>
      </c>
      <c r="U96" s="575"/>
      <c r="V96" s="239"/>
      <c r="W96" s="575"/>
      <c r="X96" s="575"/>
      <c r="Y96" s="575"/>
      <c r="Z96" s="575"/>
      <c r="AA96" s="239"/>
      <c r="AB96" s="575"/>
      <c r="AC96" s="575"/>
      <c r="AD96" s="575"/>
      <c r="AE96" s="575"/>
      <c r="AF96" s="239"/>
      <c r="AG96" s="239"/>
      <c r="AH96" s="239"/>
      <c r="AI96" s="239"/>
      <c r="AJ96" s="239"/>
      <c r="AK96" s="239"/>
      <c r="AL96" s="239"/>
      <c r="AM96" s="239"/>
    </row>
    <row r="97" spans="2:44" s="179" customFormat="1" collapsed="1">
      <c r="B97" s="190" t="s">
        <v>273</v>
      </c>
      <c r="G97" s="188"/>
      <c r="L97" s="188"/>
      <c r="M97" s="572"/>
      <c r="N97" s="572"/>
      <c r="O97" s="572"/>
      <c r="P97" s="572"/>
      <c r="Q97" s="188">
        <f t="shared" ref="Q97:AA97" si="177">Q95/L95-1</f>
        <v>0.18478845082448925</v>
      </c>
      <c r="R97" s="423">
        <f t="shared" si="177"/>
        <v>0.16941861389286283</v>
      </c>
      <c r="S97" s="423">
        <f t="shared" si="177"/>
        <v>0.1992988599446639</v>
      </c>
      <c r="T97" s="423">
        <f t="shared" si="177"/>
        <v>0.33846664549836913</v>
      </c>
      <c r="U97" s="423">
        <f t="shared" si="177"/>
        <v>0.13938938415433455</v>
      </c>
      <c r="V97" s="188">
        <f t="shared" si="177"/>
        <v>0.20585158925554969</v>
      </c>
      <c r="W97" s="423">
        <f t="shared" si="177"/>
        <v>0.28363166792683669</v>
      </c>
      <c r="X97" s="423">
        <f t="shared" si="177"/>
        <v>5.7749294331548739E-2</v>
      </c>
      <c r="Y97" s="423">
        <f t="shared" si="177"/>
        <v>7.4004981830337435E-2</v>
      </c>
      <c r="Z97" s="423">
        <f t="shared" si="177"/>
        <v>0.12694367729941347</v>
      </c>
      <c r="AA97" s="188">
        <f t="shared" si="177"/>
        <v>0.12826442239240898</v>
      </c>
      <c r="AB97" s="423"/>
      <c r="AC97" s="423"/>
      <c r="AD97" s="423"/>
      <c r="AE97" s="423"/>
      <c r="AF97" s="188">
        <f>AF95/AA95-1</f>
        <v>0.15370015120860558</v>
      </c>
      <c r="AG97" s="188">
        <f t="shared" ref="AG97:AM97" si="178">AG95/AF95-1</f>
        <v>0.13309501478960128</v>
      </c>
      <c r="AH97" s="188">
        <f t="shared" si="178"/>
        <v>0.20019248654143129</v>
      </c>
      <c r="AI97" s="188">
        <f t="shared" si="178"/>
        <v>0.19076483365079211</v>
      </c>
      <c r="AJ97" s="188">
        <f t="shared" si="178"/>
        <v>0.16351324840948323</v>
      </c>
      <c r="AK97" s="188">
        <f t="shared" si="178"/>
        <v>0.15044393267394018</v>
      </c>
      <c r="AL97" s="188">
        <f t="shared" si="178"/>
        <v>0.15193995788825498</v>
      </c>
      <c r="AM97" s="188">
        <f t="shared" si="178"/>
        <v>0.1403054764141618</v>
      </c>
      <c r="AN97" s="188">
        <f t="shared" ref="AN97" si="179">AN95/AM95-1</f>
        <v>0.11219964057720455</v>
      </c>
      <c r="AO97" s="188">
        <f t="shared" ref="AO97" si="180">AO95/AN95-1</f>
        <v>8.7001909173746617E-2</v>
      </c>
      <c r="AP97" s="188">
        <f t="shared" ref="AP97" si="181">AP95/AO95-1</f>
        <v>5.7450659484435285E-2</v>
      </c>
      <c r="AQ97" s="188">
        <f t="shared" ref="AQ97" si="182">AQ95/AP95-1</f>
        <v>5.9131376513199774E-2</v>
      </c>
      <c r="AR97" s="188">
        <f t="shared" ref="AR97" si="183">AR95/AQ95-1</f>
        <v>5.4613643322221961E-2</v>
      </c>
    </row>
    <row r="98" spans="2:44">
      <c r="M98" s="416"/>
      <c r="N98" s="416"/>
      <c r="O98" s="416"/>
      <c r="P98" s="416"/>
      <c r="R98" s="416"/>
      <c r="S98" s="416"/>
      <c r="T98" s="416"/>
      <c r="U98" s="416"/>
      <c r="W98" s="416"/>
      <c r="X98" s="416"/>
      <c r="Y98" s="416"/>
      <c r="Z98" s="416"/>
      <c r="AB98" s="416"/>
      <c r="AC98" s="416"/>
      <c r="AD98" s="416"/>
      <c r="AE98" s="416"/>
    </row>
    <row r="99" spans="2:44" s="410" customFormat="1" hidden="1" outlineLevel="1">
      <c r="B99" s="410" t="s">
        <v>454</v>
      </c>
      <c r="M99" s="495"/>
      <c r="N99" s="495"/>
      <c r="O99" s="495"/>
      <c r="P99" s="495"/>
      <c r="R99" s="495"/>
      <c r="S99" s="495"/>
      <c r="T99" s="495"/>
      <c r="U99" s="495"/>
      <c r="W99" s="495"/>
      <c r="X99" s="495"/>
      <c r="Y99" s="495"/>
      <c r="Z99" s="495"/>
    </row>
    <row r="100" spans="2:44" s="410" customFormat="1" hidden="1" outlineLevel="1">
      <c r="B100" s="559" t="s">
        <v>455</v>
      </c>
      <c r="I100" s="410">
        <v>90.436000000000007</v>
      </c>
      <c r="M100" s="495">
        <f>90.248-M105</f>
        <v>72.00500000000001</v>
      </c>
      <c r="N100" s="495">
        <f>107.488-N105</f>
        <v>87.248999999999995</v>
      </c>
      <c r="O100" s="495">
        <f>112.254-O105</f>
        <v>91.745000000000005</v>
      </c>
      <c r="P100" s="495">
        <f>343.513-O100-N100-M100</f>
        <v>92.513999999999967</v>
      </c>
      <c r="Q100" s="410">
        <f t="shared" ref="Q100:Q106" si="184">P100+O100+N100+M100</f>
        <v>343.51299999999992</v>
      </c>
      <c r="R100" s="495">
        <f>109.503-R105</f>
        <v>93.057999999999993</v>
      </c>
      <c r="S100" s="495">
        <f>126.172-S105</f>
        <v>107.54899999999999</v>
      </c>
      <c r="T100" s="495">
        <f>130.356-T105</f>
        <v>106.60499999999999</v>
      </c>
      <c r="U100" s="495"/>
      <c r="W100" s="720">
        <f>W$106*W109</f>
        <v>112.38565</v>
      </c>
      <c r="X100" s="495"/>
      <c r="Y100" s="495"/>
      <c r="Z100" s="495"/>
    </row>
    <row r="101" spans="2:44" s="410" customFormat="1" hidden="1" outlineLevel="1">
      <c r="B101" s="559" t="s">
        <v>25</v>
      </c>
      <c r="I101" s="410">
        <v>32.667000000000002</v>
      </c>
      <c r="M101" s="495">
        <v>41.71</v>
      </c>
      <c r="N101" s="495">
        <v>40.381</v>
      </c>
      <c r="O101" s="495">
        <v>42.816000000000003</v>
      </c>
      <c r="P101" s="495">
        <f>179.481-O101-N101-M101</f>
        <v>54.573999999999991</v>
      </c>
      <c r="Q101" s="410">
        <f t="shared" si="184"/>
        <v>179.48099999999999</v>
      </c>
      <c r="R101" s="495">
        <v>63.283000000000001</v>
      </c>
      <c r="S101" s="495">
        <v>64.798000000000002</v>
      </c>
      <c r="T101" s="495">
        <v>62.820999999999998</v>
      </c>
      <c r="U101" s="495"/>
      <c r="W101" s="720">
        <f t="shared" ref="W101:W104" si="185">W$106*W110</f>
        <v>66.823899999999995</v>
      </c>
      <c r="X101" s="495"/>
      <c r="Y101" s="495"/>
      <c r="Z101" s="495"/>
    </row>
    <row r="102" spans="2:44" s="410" customFormat="1" hidden="1" outlineLevel="1">
      <c r="B102" s="559" t="s">
        <v>456</v>
      </c>
      <c r="I102" s="410">
        <v>41.615000000000002</v>
      </c>
      <c r="M102" s="495">
        <v>34.817999999999998</v>
      </c>
      <c r="N102" s="495">
        <v>66.741</v>
      </c>
      <c r="O102" s="495">
        <v>25.588000000000001</v>
      </c>
      <c r="P102" s="495">
        <f>142.305-O102-N102-M102</f>
        <v>15.158000000000015</v>
      </c>
      <c r="Q102" s="410">
        <f t="shared" si="184"/>
        <v>142.30500000000001</v>
      </c>
      <c r="R102" s="495">
        <v>18.379000000000001</v>
      </c>
      <c r="S102" s="495">
        <v>49.634999999999998</v>
      </c>
      <c r="T102" s="495">
        <v>38.789000000000001</v>
      </c>
      <c r="U102" s="495"/>
      <c r="W102" s="720">
        <f t="shared" si="185"/>
        <v>36.449399999999997</v>
      </c>
      <c r="X102" s="495"/>
      <c r="Y102" s="495"/>
      <c r="Z102" s="495"/>
    </row>
    <row r="103" spans="2:44" s="410" customFormat="1" hidden="1" outlineLevel="1">
      <c r="B103" s="559" t="s">
        <v>457</v>
      </c>
      <c r="I103" s="410">
        <v>27.068999999999999</v>
      </c>
      <c r="M103" s="495">
        <v>36.143999999999998</v>
      </c>
      <c r="N103" s="495">
        <v>35.524999999999999</v>
      </c>
      <c r="O103" s="495">
        <v>28.245999999999999</v>
      </c>
      <c r="P103" s="495">
        <f>121.311-O103-N103-M103</f>
        <v>21.396000000000015</v>
      </c>
      <c r="Q103" s="410">
        <f t="shared" si="184"/>
        <v>121.31100000000001</v>
      </c>
      <c r="R103" s="495">
        <v>45.570999999999998</v>
      </c>
      <c r="S103" s="495">
        <v>59.526000000000003</v>
      </c>
      <c r="T103" s="495">
        <v>47.93</v>
      </c>
      <c r="U103" s="495"/>
      <c r="W103" s="720">
        <f t="shared" si="185"/>
        <v>66.823899999999995</v>
      </c>
      <c r="X103" s="495"/>
      <c r="Y103" s="495"/>
      <c r="Z103" s="495"/>
    </row>
    <row r="104" spans="2:44" s="410" customFormat="1" hidden="1" outlineLevel="1">
      <c r="B104" s="560" t="s">
        <v>458</v>
      </c>
      <c r="I104" s="410">
        <f>SUM(I100:I103)</f>
        <v>191.78700000000001</v>
      </c>
      <c r="M104" s="495">
        <f>SUM(M100:M103)</f>
        <v>184.67700000000002</v>
      </c>
      <c r="N104" s="495">
        <f>SUM(N100:N103)</f>
        <v>229.89599999999999</v>
      </c>
      <c r="O104" s="495">
        <f>SUM(O100:O103)</f>
        <v>188.39500000000001</v>
      </c>
      <c r="P104" s="495">
        <f>SUM(P100:P103)</f>
        <v>183.642</v>
      </c>
      <c r="Q104" s="410">
        <f t="shared" si="184"/>
        <v>786.61</v>
      </c>
      <c r="R104" s="495">
        <f>SUM(R100:R103)</f>
        <v>220.291</v>
      </c>
      <c r="S104" s="495">
        <f>SUM(S100:S103)</f>
        <v>281.50799999999998</v>
      </c>
      <c r="T104" s="495">
        <f>SUM(T100:T103)</f>
        <v>256.14499999999998</v>
      </c>
      <c r="U104" s="495"/>
      <c r="W104" s="720">
        <f t="shared" si="185"/>
        <v>282.48285000000004</v>
      </c>
      <c r="X104" s="495"/>
      <c r="Y104" s="495"/>
      <c r="Z104" s="495"/>
    </row>
    <row r="105" spans="2:44" s="410" customFormat="1" hidden="1" outlineLevel="1">
      <c r="B105" s="560" t="s">
        <v>459</v>
      </c>
      <c r="I105" s="410">
        <v>24.106999999999999</v>
      </c>
      <c r="M105" s="495">
        <v>18.242999999999999</v>
      </c>
      <c r="N105" s="495">
        <v>20.239000000000001</v>
      </c>
      <c r="O105" s="495">
        <v>20.509</v>
      </c>
      <c r="P105" s="495">
        <f>97.912-O105-N105-M105</f>
        <v>38.921000000000006</v>
      </c>
      <c r="Q105" s="410">
        <f t="shared" si="184"/>
        <v>97.912000000000006</v>
      </c>
      <c r="R105" s="495">
        <v>16.445</v>
      </c>
      <c r="S105" s="495">
        <v>18.623000000000001</v>
      </c>
      <c r="T105" s="495">
        <v>23.751000000000001</v>
      </c>
      <c r="U105" s="495"/>
      <c r="W105" s="720">
        <f>W$106*W114</f>
        <v>21.262150000000002</v>
      </c>
      <c r="X105" s="495"/>
      <c r="Y105" s="495"/>
      <c r="Z105" s="495"/>
    </row>
    <row r="106" spans="2:44" s="410" customFormat="1" hidden="1" outlineLevel="1">
      <c r="B106" s="410" t="s">
        <v>460</v>
      </c>
      <c r="I106" s="410">
        <f>I105+I104</f>
        <v>215.89400000000001</v>
      </c>
      <c r="M106" s="495">
        <f>M105+M104</f>
        <v>202.92000000000002</v>
      </c>
      <c r="N106" s="495">
        <f>N105+N104</f>
        <v>250.13499999999999</v>
      </c>
      <c r="O106" s="495">
        <f>O105+O104</f>
        <v>208.904</v>
      </c>
      <c r="P106" s="495">
        <f>P105+P104</f>
        <v>222.56299999999999</v>
      </c>
      <c r="Q106" s="410">
        <f t="shared" si="184"/>
        <v>884.52199999999993</v>
      </c>
      <c r="R106" s="495">
        <f>R105+R104</f>
        <v>236.73599999999999</v>
      </c>
      <c r="S106" s="495">
        <f>S105+S104</f>
        <v>300.13099999999997</v>
      </c>
      <c r="T106" s="495">
        <f>T105+T104</f>
        <v>279.89599999999996</v>
      </c>
      <c r="U106" s="495"/>
      <c r="W106" s="720">
        <v>303.745</v>
      </c>
      <c r="X106" s="495"/>
      <c r="Y106" s="495"/>
      <c r="Z106" s="495"/>
    </row>
    <row r="107" spans="2:44" s="413" customFormat="1" hidden="1" outlineLevel="1">
      <c r="M107" s="416"/>
      <c r="N107" s="416"/>
      <c r="O107" s="416"/>
      <c r="P107" s="416"/>
      <c r="R107" s="416"/>
      <c r="S107" s="416"/>
      <c r="T107" s="416"/>
      <c r="U107" s="416"/>
      <c r="W107" s="416"/>
      <c r="X107" s="416"/>
      <c r="Y107" s="416"/>
      <c r="Z107" s="416"/>
    </row>
    <row r="108" spans="2:44" s="413" customFormat="1" hidden="1" outlineLevel="1">
      <c r="B108" s="413" t="s">
        <v>454</v>
      </c>
      <c r="M108" s="416"/>
      <c r="N108" s="416"/>
      <c r="O108" s="416"/>
      <c r="P108" s="416"/>
      <c r="R108" s="416"/>
      <c r="S108" s="416"/>
      <c r="T108" s="416"/>
      <c r="U108" s="416"/>
      <c r="W108" s="416"/>
      <c r="X108" s="416"/>
      <c r="Y108" s="416"/>
      <c r="Z108" s="416"/>
    </row>
    <row r="109" spans="2:44" s="413" customFormat="1" hidden="1" outlineLevel="1">
      <c r="B109" s="557" t="s">
        <v>455</v>
      </c>
      <c r="C109" s="558"/>
      <c r="D109" s="558"/>
      <c r="E109" s="558"/>
      <c r="F109" s="558"/>
      <c r="G109" s="558"/>
      <c r="H109" s="558"/>
      <c r="I109" s="565">
        <f>I100/I106</f>
        <v>0.41889075194308323</v>
      </c>
      <c r="J109" s="558"/>
      <c r="K109" s="558"/>
      <c r="L109" s="558"/>
      <c r="M109" s="576">
        <f t="shared" ref="M109:T109" si="186">M100/M106</f>
        <v>0.35484427360536175</v>
      </c>
      <c r="N109" s="576">
        <f t="shared" si="186"/>
        <v>0.34880764387230895</v>
      </c>
      <c r="O109" s="576">
        <f t="shared" si="186"/>
        <v>0.43917301727109104</v>
      </c>
      <c r="P109" s="576">
        <f t="shared" si="186"/>
        <v>0.41567556152639912</v>
      </c>
      <c r="Q109" s="558">
        <f t="shared" si="186"/>
        <v>0.38836004079039294</v>
      </c>
      <c r="R109" s="576">
        <f t="shared" si="186"/>
        <v>0.39308765882670993</v>
      </c>
      <c r="S109" s="576">
        <f t="shared" si="186"/>
        <v>0.35834019144973361</v>
      </c>
      <c r="T109" s="576">
        <f t="shared" si="186"/>
        <v>0.38087361019807359</v>
      </c>
      <c r="U109" s="576"/>
      <c r="V109" s="558"/>
      <c r="W109" s="576">
        <v>0.37</v>
      </c>
      <c r="X109" s="576"/>
      <c r="Y109" s="576"/>
      <c r="Z109" s="576"/>
      <c r="AA109" s="558"/>
      <c r="AB109" s="558"/>
      <c r="AC109" s="558"/>
      <c r="AD109" s="558"/>
      <c r="AE109" s="558"/>
      <c r="AF109" s="558"/>
      <c r="AG109" s="558"/>
      <c r="AH109" s="558"/>
      <c r="AI109" s="558"/>
      <c r="AJ109" s="558"/>
      <c r="AK109" s="558"/>
      <c r="AL109" s="558"/>
      <c r="AM109" s="558"/>
    </row>
    <row r="110" spans="2:44" s="413" customFormat="1" hidden="1" outlineLevel="1">
      <c r="B110" s="557" t="s">
        <v>25</v>
      </c>
      <c r="C110" s="558"/>
      <c r="D110" s="558"/>
      <c r="E110" s="558"/>
      <c r="F110" s="558"/>
      <c r="G110" s="558"/>
      <c r="H110" s="558"/>
      <c r="I110" s="565">
        <f>I101/I106</f>
        <v>0.15131036527184638</v>
      </c>
      <c r="J110" s="558"/>
      <c r="K110" s="558"/>
      <c r="L110" s="558"/>
      <c r="M110" s="576">
        <f t="shared" ref="M110:T110" si="187">M101/M106</f>
        <v>0.20554898482160455</v>
      </c>
      <c r="N110" s="576">
        <f t="shared" si="187"/>
        <v>0.16143682411497792</v>
      </c>
      <c r="O110" s="576">
        <f t="shared" si="187"/>
        <v>0.20495538620610426</v>
      </c>
      <c r="P110" s="576">
        <f t="shared" si="187"/>
        <v>0.24520697510367848</v>
      </c>
      <c r="Q110" s="558">
        <f t="shared" si="187"/>
        <v>0.20291298577084574</v>
      </c>
      <c r="R110" s="576">
        <f t="shared" si="187"/>
        <v>0.26731464585022979</v>
      </c>
      <c r="S110" s="576">
        <f t="shared" si="187"/>
        <v>0.21589905741159696</v>
      </c>
      <c r="T110" s="576">
        <f t="shared" si="187"/>
        <v>0.22444407922942811</v>
      </c>
      <c r="U110" s="576"/>
      <c r="V110" s="558"/>
      <c r="W110" s="576">
        <v>0.22</v>
      </c>
      <c r="X110" s="576"/>
      <c r="Y110" s="576"/>
      <c r="Z110" s="576"/>
      <c r="AA110" s="558"/>
      <c r="AB110" s="558"/>
      <c r="AC110" s="558"/>
      <c r="AD110" s="558"/>
      <c r="AE110" s="558"/>
      <c r="AF110" s="558"/>
      <c r="AG110" s="558"/>
      <c r="AH110" s="558"/>
      <c r="AI110" s="558"/>
      <c r="AJ110" s="558"/>
      <c r="AK110" s="558"/>
      <c r="AL110" s="558"/>
      <c r="AM110" s="558"/>
    </row>
    <row r="111" spans="2:44" s="413" customFormat="1" hidden="1" outlineLevel="1">
      <c r="B111" s="557" t="s">
        <v>456</v>
      </c>
      <c r="C111" s="558"/>
      <c r="D111" s="558"/>
      <c r="E111" s="558"/>
      <c r="F111" s="558"/>
      <c r="G111" s="558"/>
      <c r="H111" s="558"/>
      <c r="I111" s="565">
        <f>I102/I106</f>
        <v>0.19275663056870501</v>
      </c>
      <c r="J111" s="558"/>
      <c r="K111" s="558"/>
      <c r="L111" s="558"/>
      <c r="M111" s="576">
        <f t="shared" ref="M111:T111" si="188">M102/M106</f>
        <v>0.17158486102897691</v>
      </c>
      <c r="N111" s="576">
        <f t="shared" si="188"/>
        <v>0.2668199172446879</v>
      </c>
      <c r="O111" s="576">
        <f t="shared" si="188"/>
        <v>0.12248688392754567</v>
      </c>
      <c r="P111" s="576">
        <f t="shared" si="188"/>
        <v>6.8106558592398628E-2</v>
      </c>
      <c r="Q111" s="558">
        <f t="shared" si="188"/>
        <v>0.16088350544135704</v>
      </c>
      <c r="R111" s="576">
        <f t="shared" si="188"/>
        <v>7.7635002703433376E-2</v>
      </c>
      <c r="S111" s="576">
        <f t="shared" si="188"/>
        <v>0.16537778503386855</v>
      </c>
      <c r="T111" s="576">
        <f t="shared" si="188"/>
        <v>0.13858361677194389</v>
      </c>
      <c r="U111" s="576"/>
      <c r="V111" s="558"/>
      <c r="W111" s="576">
        <v>0.12</v>
      </c>
      <c r="X111" s="576"/>
      <c r="Y111" s="576"/>
      <c r="Z111" s="576"/>
      <c r="AA111" s="558"/>
      <c r="AB111" s="558"/>
      <c r="AC111" s="558"/>
      <c r="AD111" s="558"/>
      <c r="AE111" s="558"/>
      <c r="AF111" s="558"/>
      <c r="AG111" s="558"/>
      <c r="AH111" s="558"/>
      <c r="AI111" s="558"/>
      <c r="AJ111" s="558"/>
      <c r="AK111" s="558"/>
      <c r="AL111" s="558"/>
      <c r="AM111" s="558"/>
    </row>
    <row r="112" spans="2:44" s="413" customFormat="1" hidden="1" outlineLevel="1">
      <c r="B112" s="557" t="s">
        <v>457</v>
      </c>
      <c r="C112" s="558"/>
      <c r="D112" s="558"/>
      <c r="E112" s="558"/>
      <c r="F112" s="558"/>
      <c r="G112" s="558"/>
      <c r="H112" s="558"/>
      <c r="I112" s="565">
        <f>I103/I106</f>
        <v>0.12538097399649828</v>
      </c>
      <c r="J112" s="558"/>
      <c r="K112" s="558"/>
      <c r="L112" s="558"/>
      <c r="M112" s="576">
        <f t="shared" ref="M112:T112" si="189">M103/M106</f>
        <v>0.17811945594322884</v>
      </c>
      <c r="N112" s="576">
        <f t="shared" si="189"/>
        <v>0.14202330741399644</v>
      </c>
      <c r="O112" s="576">
        <f t="shared" si="189"/>
        <v>0.13521043158580018</v>
      </c>
      <c r="P112" s="576">
        <f t="shared" si="189"/>
        <v>9.6134577625211812E-2</v>
      </c>
      <c r="Q112" s="558">
        <f t="shared" si="189"/>
        <v>0.13714865204031107</v>
      </c>
      <c r="R112" s="576">
        <f t="shared" si="189"/>
        <v>0.19249712760205462</v>
      </c>
      <c r="S112" s="576">
        <f t="shared" si="189"/>
        <v>0.19833339441777093</v>
      </c>
      <c r="T112" s="576">
        <f t="shared" si="189"/>
        <v>0.1712421756652471</v>
      </c>
      <c r="U112" s="576"/>
      <c r="V112" s="558"/>
      <c r="W112" s="576">
        <v>0.22</v>
      </c>
      <c r="X112" s="576"/>
      <c r="Y112" s="576"/>
      <c r="Z112" s="576"/>
      <c r="AA112" s="558"/>
      <c r="AB112" s="558"/>
      <c r="AC112" s="558"/>
      <c r="AD112" s="558"/>
      <c r="AE112" s="558"/>
      <c r="AF112" s="558"/>
      <c r="AG112" s="558"/>
      <c r="AH112" s="558"/>
      <c r="AI112" s="558"/>
      <c r="AJ112" s="558"/>
      <c r="AK112" s="558"/>
      <c r="AL112" s="558"/>
      <c r="AM112" s="558"/>
    </row>
    <row r="113" spans="2:44" s="413" customFormat="1" hidden="1" outlineLevel="1">
      <c r="B113" s="197" t="s">
        <v>458</v>
      </c>
      <c r="C113" s="558"/>
      <c r="D113" s="558"/>
      <c r="E113" s="558"/>
      <c r="F113" s="558"/>
      <c r="G113" s="558"/>
      <c r="H113" s="558"/>
      <c r="I113" s="565">
        <f>I104/I106</f>
        <v>0.88833872178013285</v>
      </c>
      <c r="J113" s="558"/>
      <c r="K113" s="558"/>
      <c r="L113" s="558"/>
      <c r="M113" s="576">
        <f t="shared" ref="M113:T113" si="190">M104/M106</f>
        <v>0.91009757539917213</v>
      </c>
      <c r="N113" s="576">
        <f t="shared" si="190"/>
        <v>0.91908769264597112</v>
      </c>
      <c r="O113" s="576">
        <f t="shared" si="190"/>
        <v>0.9018257189905412</v>
      </c>
      <c r="P113" s="576">
        <f t="shared" si="190"/>
        <v>0.82512367284768806</v>
      </c>
      <c r="Q113" s="558">
        <f t="shared" si="190"/>
        <v>0.88930518404290693</v>
      </c>
      <c r="R113" s="576">
        <f t="shared" si="190"/>
        <v>0.93053443498242772</v>
      </c>
      <c r="S113" s="576">
        <f t="shared" si="190"/>
        <v>0.93795042831297004</v>
      </c>
      <c r="T113" s="576">
        <f t="shared" si="190"/>
        <v>0.91514348186469263</v>
      </c>
      <c r="U113" s="576"/>
      <c r="V113" s="558"/>
      <c r="W113" s="576">
        <v>0.93</v>
      </c>
      <c r="X113" s="576"/>
      <c r="Y113" s="576"/>
      <c r="Z113" s="576"/>
      <c r="AA113" s="558"/>
      <c r="AB113" s="558"/>
      <c r="AC113" s="558"/>
      <c r="AD113" s="558"/>
      <c r="AE113" s="558"/>
      <c r="AF113" s="558"/>
      <c r="AG113" s="558"/>
      <c r="AH113" s="558"/>
      <c r="AI113" s="558"/>
      <c r="AJ113" s="558"/>
      <c r="AK113" s="558"/>
      <c r="AL113" s="558"/>
      <c r="AM113" s="558"/>
    </row>
    <row r="114" spans="2:44" s="413" customFormat="1" hidden="1" outlineLevel="1">
      <c r="B114" s="197" t="s">
        <v>459</v>
      </c>
      <c r="C114" s="558"/>
      <c r="D114" s="558"/>
      <c r="E114" s="558"/>
      <c r="F114" s="558"/>
      <c r="G114" s="558"/>
      <c r="H114" s="558"/>
      <c r="I114" s="565">
        <f>I105/I106</f>
        <v>0.11166127821986715</v>
      </c>
      <c r="J114" s="558"/>
      <c r="K114" s="558"/>
      <c r="L114" s="558"/>
      <c r="M114" s="576">
        <f t="shared" ref="M114:T114" si="191">M105/M106</f>
        <v>8.9902424600827896E-2</v>
      </c>
      <c r="N114" s="576">
        <f t="shared" si="191"/>
        <v>8.0912307354028837E-2</v>
      </c>
      <c r="O114" s="576">
        <f t="shared" si="191"/>
        <v>9.8174281009458894E-2</v>
      </c>
      <c r="P114" s="576">
        <f t="shared" si="191"/>
        <v>0.17487632715231197</v>
      </c>
      <c r="Q114" s="558">
        <f t="shared" si="191"/>
        <v>0.11069481595709323</v>
      </c>
      <c r="R114" s="576">
        <f t="shared" si="191"/>
        <v>6.9465565017572325E-2</v>
      </c>
      <c r="S114" s="576">
        <f t="shared" si="191"/>
        <v>6.2049571687030007E-2</v>
      </c>
      <c r="T114" s="576">
        <f t="shared" si="191"/>
        <v>8.4856518135307424E-2</v>
      </c>
      <c r="U114" s="576"/>
      <c r="V114" s="558"/>
      <c r="W114" s="576">
        <v>7.0000000000000007E-2</v>
      </c>
      <c r="X114" s="576"/>
      <c r="Y114" s="576"/>
      <c r="Z114" s="576"/>
      <c r="AA114" s="558"/>
      <c r="AB114" s="558"/>
      <c r="AC114" s="558"/>
      <c r="AD114" s="558"/>
      <c r="AE114" s="558"/>
      <c r="AF114" s="558"/>
      <c r="AG114" s="558"/>
      <c r="AH114" s="558"/>
      <c r="AI114" s="558"/>
      <c r="AJ114" s="558"/>
      <c r="AK114" s="558"/>
      <c r="AL114" s="558"/>
      <c r="AM114" s="558"/>
    </row>
    <row r="115" spans="2:44" s="413" customFormat="1" hidden="1" outlineLevel="1">
      <c r="B115" s="67" t="s">
        <v>460</v>
      </c>
      <c r="C115" s="577"/>
      <c r="D115" s="577"/>
      <c r="E115" s="577"/>
      <c r="F115" s="577"/>
      <c r="G115" s="577"/>
      <c r="H115" s="577"/>
      <c r="I115" s="578">
        <f>I106/I106</f>
        <v>1</v>
      </c>
      <c r="J115" s="577"/>
      <c r="K115" s="577"/>
      <c r="L115" s="577"/>
      <c r="M115" s="579">
        <f t="shared" ref="M115:T115" si="192">M106/M106</f>
        <v>1</v>
      </c>
      <c r="N115" s="579">
        <f t="shared" si="192"/>
        <v>1</v>
      </c>
      <c r="O115" s="579">
        <f t="shared" si="192"/>
        <v>1</v>
      </c>
      <c r="P115" s="579">
        <f t="shared" si="192"/>
        <v>1</v>
      </c>
      <c r="Q115" s="577">
        <f t="shared" si="192"/>
        <v>1</v>
      </c>
      <c r="R115" s="579">
        <f t="shared" si="192"/>
        <v>1</v>
      </c>
      <c r="S115" s="579">
        <f t="shared" si="192"/>
        <v>1</v>
      </c>
      <c r="T115" s="579">
        <f t="shared" si="192"/>
        <v>1</v>
      </c>
      <c r="U115" s="579"/>
      <c r="V115" s="577"/>
      <c r="W115" s="579">
        <v>1</v>
      </c>
      <c r="X115" s="579"/>
      <c r="Y115" s="579"/>
      <c r="Z115" s="579"/>
      <c r="AA115" s="577"/>
      <c r="AB115" s="736"/>
      <c r="AC115" s="736"/>
      <c r="AD115" s="736"/>
      <c r="AE115" s="736"/>
      <c r="AF115" s="577"/>
      <c r="AG115" s="577"/>
      <c r="AH115" s="577"/>
      <c r="AI115" s="577"/>
      <c r="AJ115" s="577"/>
      <c r="AK115" s="577"/>
      <c r="AL115" s="577"/>
      <c r="AM115" s="577"/>
      <c r="AN115" s="577"/>
      <c r="AO115" s="577"/>
      <c r="AP115" s="577"/>
      <c r="AQ115" s="577"/>
      <c r="AR115" s="577"/>
    </row>
    <row r="116" spans="2:44" s="413" customFormat="1" hidden="1" outlineLevel="1"/>
    <row r="117" spans="2:44" hidden="1" outlineLevel="1"/>
    <row r="118" spans="2:44" collapsed="1">
      <c r="B118" s="220"/>
      <c r="C118" s="220"/>
      <c r="D118" s="220"/>
      <c r="E118" s="220"/>
      <c r="F118" s="220"/>
      <c r="G118" s="220"/>
      <c r="H118" s="220"/>
      <c r="I118" s="220"/>
      <c r="J118" s="220"/>
      <c r="K118" s="220"/>
      <c r="L118" s="220">
        <v>2014</v>
      </c>
      <c r="M118" s="220" t="s">
        <v>98</v>
      </c>
      <c r="N118" s="220" t="s">
        <v>99</v>
      </c>
      <c r="O118" s="220" t="s">
        <v>148</v>
      </c>
      <c r="P118" s="220" t="s">
        <v>100</v>
      </c>
      <c r="Q118" s="220">
        <v>2015</v>
      </c>
      <c r="R118" s="220" t="s">
        <v>101</v>
      </c>
      <c r="S118" s="220" t="s">
        <v>158</v>
      </c>
      <c r="T118" s="220" t="s">
        <v>159</v>
      </c>
      <c r="U118" s="220" t="s">
        <v>52</v>
      </c>
      <c r="V118" s="220">
        <v>2016</v>
      </c>
      <c r="W118" s="220" t="s">
        <v>476</v>
      </c>
      <c r="X118" s="220" t="s">
        <v>477</v>
      </c>
      <c r="Y118" s="220" t="s">
        <v>478</v>
      </c>
      <c r="Z118" s="220" t="s">
        <v>479</v>
      </c>
      <c r="AA118" s="220">
        <v>2017</v>
      </c>
      <c r="AB118" s="220" t="s">
        <v>608</v>
      </c>
      <c r="AC118" s="220" t="s">
        <v>609</v>
      </c>
      <c r="AD118" s="220" t="s">
        <v>610</v>
      </c>
      <c r="AE118" s="220" t="s">
        <v>611</v>
      </c>
      <c r="AF118" s="220">
        <v>2018</v>
      </c>
      <c r="AG118" s="220">
        <v>2019</v>
      </c>
      <c r="AH118" s="220">
        <v>2020</v>
      </c>
      <c r="AI118" s="220">
        <v>2021</v>
      </c>
      <c r="AJ118" s="220">
        <v>2022</v>
      </c>
      <c r="AK118" s="220">
        <v>2023</v>
      </c>
      <c r="AL118" s="220">
        <v>2024</v>
      </c>
      <c r="AM118" s="220">
        <v>2025</v>
      </c>
      <c r="AN118" s="220">
        <v>2026</v>
      </c>
      <c r="AO118" s="220">
        <v>2027</v>
      </c>
      <c r="AP118" s="220">
        <v>2028</v>
      </c>
      <c r="AQ118" s="220">
        <v>2029</v>
      </c>
      <c r="AR118" s="220">
        <v>2030</v>
      </c>
    </row>
    <row r="119" spans="2:44">
      <c r="B119" s="64" t="s">
        <v>2</v>
      </c>
      <c r="M119" s="416"/>
      <c r="N119" s="416"/>
      <c r="O119" s="416"/>
      <c r="P119" s="416"/>
      <c r="Q119" s="413"/>
      <c r="R119" s="416"/>
      <c r="S119" s="416"/>
      <c r="T119" s="416"/>
      <c r="U119" s="416"/>
      <c r="W119" s="416"/>
      <c r="X119" s="416"/>
      <c r="Y119" s="416"/>
      <c r="Z119" s="416"/>
      <c r="AB119" s="416"/>
      <c r="AC119" s="416"/>
      <c r="AD119" s="416"/>
      <c r="AE119" s="416"/>
      <c r="AN119" s="413"/>
      <c r="AO119" s="413"/>
      <c r="AP119" s="413"/>
      <c r="AQ119" s="413"/>
      <c r="AR119" s="413"/>
    </row>
    <row r="120" spans="2:44" s="205" customFormat="1">
      <c r="B120" s="197" t="s">
        <v>33</v>
      </c>
      <c r="C120" s="563">
        <f>C16-0</f>
        <v>0</v>
      </c>
      <c r="D120" s="563"/>
      <c r="E120" s="563"/>
      <c r="F120" s="563"/>
      <c r="G120" s="563"/>
      <c r="H120" s="563">
        <f>H16-0.8</f>
        <v>9.9999999999999978E-2</v>
      </c>
      <c r="I120" s="563">
        <f>I10*(1-I121)</f>
        <v>1.4299999999999997</v>
      </c>
      <c r="J120" s="563"/>
      <c r="K120" s="563"/>
      <c r="L120" s="563">
        <f>L16*(1-L121)</f>
        <v>10.04962813949793</v>
      </c>
      <c r="M120" s="570">
        <f>M16*(1-M121)</f>
        <v>7.0870800000000003</v>
      </c>
      <c r="N120" s="570">
        <f>N16*(1-N121)</f>
        <v>8.6206400000000016</v>
      </c>
      <c r="O120" s="570">
        <f>O16*(1-O121)</f>
        <v>10.416960000000001</v>
      </c>
      <c r="P120" s="570">
        <f>Q120-O120-N120-M120</f>
        <v>10.371320000000004</v>
      </c>
      <c r="Q120" s="563">
        <f>Q16*(1-Q121)</f>
        <v>36.496000000000009</v>
      </c>
      <c r="R120" s="570">
        <f>R16*(1-R121)</f>
        <v>10.886700000000003</v>
      </c>
      <c r="S120" s="570">
        <f>S16*(1-S121)</f>
        <v>17.092640000000003</v>
      </c>
      <c r="T120" s="570">
        <f>T16*(1-T121)</f>
        <v>13.753510000000004</v>
      </c>
      <c r="U120" s="570">
        <f>U16*(1-U121)</f>
        <v>16.40371182544428</v>
      </c>
      <c r="V120" s="563">
        <f>U120+T120+S120+R120</f>
        <v>58.136561825444289</v>
      </c>
      <c r="W120" s="570">
        <f>W16*(1-W121)</f>
        <v>17.989570000000004</v>
      </c>
      <c r="X120" s="570">
        <f>X16*(1-X121)</f>
        <v>17.544000000000004</v>
      </c>
      <c r="Y120" s="570">
        <f>Y16*(1-Y121)</f>
        <v>15.351000000000003</v>
      </c>
      <c r="Z120" s="570">
        <f>Z16*(1-Z121)</f>
        <v>20.347682401674245</v>
      </c>
      <c r="AA120" s="563">
        <f>Z120+Y120+X120+W120</f>
        <v>71.232252401674259</v>
      </c>
      <c r="AB120" s="570">
        <f t="shared" ref="AB120:AE120" si="193">AB16*(1-AB121)</f>
        <v>20.287238943646216</v>
      </c>
      <c r="AC120" s="570">
        <f t="shared" si="193"/>
        <v>19.78475972618185</v>
      </c>
      <c r="AD120" s="570">
        <f t="shared" si="193"/>
        <v>17.311664760409119</v>
      </c>
      <c r="AE120" s="570">
        <f t="shared" si="193"/>
        <v>22.946534843922919</v>
      </c>
      <c r="AF120" s="563">
        <f t="shared" ref="AF120:AR120" si="194">AF16*(1-AF121)</f>
        <v>80.330198274160111</v>
      </c>
      <c r="AG120" s="563">
        <f t="shared" si="194"/>
        <v>88.981121083656021</v>
      </c>
      <c r="AH120" s="563">
        <f t="shared" si="194"/>
        <v>98.756137126113799</v>
      </c>
      <c r="AI120" s="563">
        <f t="shared" si="194"/>
        <v>107.82642808234237</v>
      </c>
      <c r="AJ120" s="563">
        <f t="shared" si="194"/>
        <v>115.07312871883005</v>
      </c>
      <c r="AK120" s="563">
        <f t="shared" si="194"/>
        <v>122.88647786530548</v>
      </c>
      <c r="AL120" s="563">
        <f t="shared" si="194"/>
        <v>129.98478181542404</v>
      </c>
      <c r="AM120" s="563">
        <f t="shared" si="194"/>
        <v>136.40622188019654</v>
      </c>
      <c r="AN120" s="563">
        <f t="shared" si="194"/>
        <v>142.07534679655313</v>
      </c>
      <c r="AO120" s="563">
        <f t="shared" si="194"/>
        <v>148.00148099870728</v>
      </c>
      <c r="AP120" s="563">
        <f t="shared" si="194"/>
        <v>153.34767324961294</v>
      </c>
      <c r="AQ120" s="563">
        <f t="shared" si="194"/>
        <v>158.92185348569714</v>
      </c>
      <c r="AR120" s="563">
        <f t="shared" si="194"/>
        <v>164.73554915372074</v>
      </c>
    </row>
    <row r="121" spans="2:44" s="205" customFormat="1">
      <c r="B121" s="231" t="s">
        <v>279</v>
      </c>
      <c r="C121" s="232"/>
      <c r="D121" s="232"/>
      <c r="E121" s="232"/>
      <c r="F121" s="232"/>
      <c r="G121" s="232"/>
      <c r="H121" s="232">
        <f>1-(H120/H16)</f>
        <v>0.88888888888888895</v>
      </c>
      <c r="I121" s="232">
        <v>0.9</v>
      </c>
      <c r="J121" s="232"/>
      <c r="K121" s="232"/>
      <c r="L121" s="232">
        <v>0.87</v>
      </c>
      <c r="M121" s="580">
        <v>0.86</v>
      </c>
      <c r="N121" s="580">
        <v>0.84</v>
      </c>
      <c r="O121" s="580">
        <v>0.84</v>
      </c>
      <c r="P121" s="580">
        <f>1-(P120/P10)</f>
        <v>0.83587865744623613</v>
      </c>
      <c r="Q121" s="232">
        <v>0.84</v>
      </c>
      <c r="R121" s="580">
        <v>0.85</v>
      </c>
      <c r="S121" s="580">
        <v>0.84</v>
      </c>
      <c r="T121" s="580">
        <v>0.83</v>
      </c>
      <c r="U121" s="580">
        <v>0.83</v>
      </c>
      <c r="V121" s="232">
        <f>1-(V120/V10)</f>
        <v>0.83660436762479529</v>
      </c>
      <c r="W121" s="580">
        <v>0.83</v>
      </c>
      <c r="X121" s="580">
        <v>0.83</v>
      </c>
      <c r="Y121" s="580">
        <v>0.83</v>
      </c>
      <c r="Z121" s="580">
        <v>0.83</v>
      </c>
      <c r="AA121" s="232">
        <f>1-(AA120/AA10)</f>
        <v>0.83</v>
      </c>
      <c r="AB121" s="580">
        <f>AF121</f>
        <v>0.83</v>
      </c>
      <c r="AC121" s="580">
        <f>AB121</f>
        <v>0.83</v>
      </c>
      <c r="AD121" s="580">
        <f t="shared" ref="AD121:AE121" si="195">AC121</f>
        <v>0.83</v>
      </c>
      <c r="AE121" s="580">
        <f t="shared" si="195"/>
        <v>0.83</v>
      </c>
      <c r="AF121" s="233">
        <v>0.83</v>
      </c>
      <c r="AG121" s="233">
        <f>AF121</f>
        <v>0.83</v>
      </c>
      <c r="AH121" s="233">
        <f t="shared" ref="AH121:AR121" si="196">AG121</f>
        <v>0.83</v>
      </c>
      <c r="AI121" s="233">
        <f t="shared" si="196"/>
        <v>0.83</v>
      </c>
      <c r="AJ121" s="233">
        <f t="shared" si="196"/>
        <v>0.83</v>
      </c>
      <c r="AK121" s="233">
        <f t="shared" si="196"/>
        <v>0.83</v>
      </c>
      <c r="AL121" s="233">
        <f t="shared" si="196"/>
        <v>0.83</v>
      </c>
      <c r="AM121" s="233">
        <f t="shared" si="196"/>
        <v>0.83</v>
      </c>
      <c r="AN121" s="233">
        <f t="shared" si="196"/>
        <v>0.83</v>
      </c>
      <c r="AO121" s="233">
        <f t="shared" si="196"/>
        <v>0.83</v>
      </c>
      <c r="AP121" s="233">
        <f t="shared" si="196"/>
        <v>0.83</v>
      </c>
      <c r="AQ121" s="233">
        <f t="shared" si="196"/>
        <v>0.83</v>
      </c>
      <c r="AR121" s="233">
        <f t="shared" si="196"/>
        <v>0.83</v>
      </c>
    </row>
    <row r="122" spans="2:44" hidden="1" outlineLevel="1">
      <c r="B122" s="197" t="s">
        <v>34</v>
      </c>
      <c r="C122" s="563"/>
      <c r="D122" s="563"/>
      <c r="E122" s="563"/>
      <c r="F122" s="563"/>
      <c r="G122" s="563"/>
      <c r="H122" s="563">
        <f>M122--5.5</f>
        <v>18</v>
      </c>
      <c r="I122" s="563">
        <v>16.5</v>
      </c>
      <c r="J122" s="563"/>
      <c r="K122" s="563"/>
      <c r="L122" s="563"/>
      <c r="M122" s="570">
        <v>12.5</v>
      </c>
      <c r="N122" s="570">
        <v>11.7</v>
      </c>
      <c r="O122" s="570">
        <v>10.5</v>
      </c>
      <c r="P122" s="570">
        <f>Q122-O122-N122-M122</f>
        <v>11.000000000000004</v>
      </c>
      <c r="Q122" s="563">
        <v>45.7</v>
      </c>
      <c r="R122" s="570">
        <v>7.8</v>
      </c>
      <c r="S122" s="570">
        <v>6</v>
      </c>
      <c r="T122" s="570">
        <v>5.9</v>
      </c>
      <c r="U122" s="570">
        <f>V122-T122-S122-R122</f>
        <v>4.7</v>
      </c>
      <c r="V122" s="563">
        <v>24.4</v>
      </c>
      <c r="W122" s="570"/>
      <c r="X122" s="570"/>
      <c r="Y122" s="570"/>
      <c r="Z122" s="570"/>
      <c r="AA122" s="563"/>
      <c r="AB122" s="570"/>
      <c r="AC122" s="570"/>
      <c r="AD122" s="570"/>
      <c r="AE122" s="570"/>
      <c r="AF122" s="563"/>
      <c r="AG122" s="563"/>
      <c r="AH122" s="563"/>
      <c r="AI122" s="563"/>
      <c r="AJ122" s="563"/>
      <c r="AK122" s="563"/>
      <c r="AL122" s="563"/>
      <c r="AM122" s="563"/>
      <c r="AN122" s="563"/>
      <c r="AO122" s="563"/>
      <c r="AP122" s="563"/>
      <c r="AQ122" s="563"/>
      <c r="AR122" s="563"/>
    </row>
    <row r="123" spans="2:44" s="205" customFormat="1" hidden="1" outlineLevel="1">
      <c r="B123" s="231" t="s">
        <v>282</v>
      </c>
      <c r="C123" s="232"/>
      <c r="D123" s="232"/>
      <c r="E123" s="232"/>
      <c r="F123" s="232"/>
      <c r="G123" s="232"/>
      <c r="H123" s="232"/>
      <c r="I123" s="232"/>
      <c r="J123" s="232"/>
      <c r="K123" s="232"/>
      <c r="L123" s="232"/>
      <c r="M123" s="580">
        <f t="shared" ref="M123:V123" si="197">M122/M16</f>
        <v>0.24692821302990794</v>
      </c>
      <c r="N123" s="580">
        <f t="shared" si="197"/>
        <v>0.21715325080272463</v>
      </c>
      <c r="O123" s="580">
        <f t="shared" si="197"/>
        <v>0.16127545848308913</v>
      </c>
      <c r="P123" s="580">
        <f t="shared" si="197"/>
        <v>0.18805669054416771</v>
      </c>
      <c r="Q123" s="232">
        <f t="shared" si="197"/>
        <v>0.20035072336694434</v>
      </c>
      <c r="R123" s="580">
        <f t="shared" si="197"/>
        <v>0.10747058337237178</v>
      </c>
      <c r="S123" s="580">
        <f t="shared" si="197"/>
        <v>5.6164524614102915E-2</v>
      </c>
      <c r="T123" s="580">
        <f t="shared" si="197"/>
        <v>7.2926838312547121E-2</v>
      </c>
      <c r="U123" s="580">
        <f t="shared" si="197"/>
        <v>4.8708487963111363E-2</v>
      </c>
      <c r="V123" s="232">
        <f t="shared" si="197"/>
        <v>6.8385185921267896E-2</v>
      </c>
      <c r="W123" s="580"/>
      <c r="X123" s="580"/>
      <c r="Y123" s="580"/>
      <c r="Z123" s="580"/>
      <c r="AA123" s="232"/>
      <c r="AB123" s="580"/>
      <c r="AC123" s="580"/>
      <c r="AD123" s="580"/>
      <c r="AE123" s="580"/>
      <c r="AF123" s="233"/>
      <c r="AG123" s="233"/>
      <c r="AH123" s="233"/>
      <c r="AI123" s="233"/>
      <c r="AJ123" s="233"/>
      <c r="AK123" s="233"/>
      <c r="AL123" s="233"/>
      <c r="AM123" s="233"/>
      <c r="AN123" s="233"/>
      <c r="AO123" s="233"/>
      <c r="AP123" s="233"/>
      <c r="AQ123" s="233"/>
      <c r="AR123" s="233"/>
    </row>
    <row r="124" spans="2:44" s="413" customFormat="1" hidden="1" outlineLevel="1">
      <c r="B124" s="197" t="s">
        <v>462</v>
      </c>
      <c r="C124" s="563"/>
      <c r="D124" s="563"/>
      <c r="E124" s="563"/>
      <c r="F124" s="563"/>
      <c r="G124" s="563"/>
      <c r="H124" s="563"/>
      <c r="I124" s="563">
        <v>9.4</v>
      </c>
      <c r="J124" s="563"/>
      <c r="K124" s="563"/>
      <c r="L124" s="563"/>
      <c r="M124" s="570">
        <v>13.3</v>
      </c>
      <c r="N124" s="570">
        <v>14.3</v>
      </c>
      <c r="O124" s="570">
        <v>12.9</v>
      </c>
      <c r="P124" s="570">
        <f>Q124-O124-N124-M124</f>
        <v>15.899999999999999</v>
      </c>
      <c r="Q124" s="563">
        <v>56.4</v>
      </c>
      <c r="R124" s="570">
        <v>14.3</v>
      </c>
      <c r="S124" s="570">
        <v>16.8</v>
      </c>
      <c r="T124" s="570">
        <v>16.899999999999999</v>
      </c>
      <c r="U124" s="570">
        <f>V124-T124-S124-R124</f>
        <v>18.7</v>
      </c>
      <c r="V124" s="563">
        <v>66.7</v>
      </c>
      <c r="W124" s="570">
        <v>17.600000000000001</v>
      </c>
      <c r="X124" s="570"/>
      <c r="Y124" s="570"/>
      <c r="Z124" s="570"/>
      <c r="AA124" s="563"/>
      <c r="AB124" s="570"/>
      <c r="AC124" s="570"/>
      <c r="AD124" s="570"/>
      <c r="AE124" s="570"/>
      <c r="AF124" s="563"/>
      <c r="AG124" s="563"/>
      <c r="AH124" s="563"/>
      <c r="AI124" s="563"/>
      <c r="AJ124" s="563"/>
      <c r="AK124" s="563"/>
      <c r="AL124" s="563"/>
      <c r="AM124" s="563"/>
      <c r="AN124" s="563"/>
      <c r="AO124" s="563"/>
      <c r="AP124" s="563"/>
      <c r="AQ124" s="563"/>
      <c r="AR124" s="563"/>
    </row>
    <row r="125" spans="2:44" s="205" customFormat="1" hidden="1" outlineLevel="1">
      <c r="B125" s="231" t="s">
        <v>282</v>
      </c>
      <c r="C125" s="232"/>
      <c r="D125" s="232"/>
      <c r="E125" s="232"/>
      <c r="F125" s="232"/>
      <c r="G125" s="232"/>
      <c r="H125" s="232"/>
      <c r="I125" s="232"/>
      <c r="J125" s="232"/>
      <c r="K125" s="232"/>
      <c r="L125" s="232"/>
      <c r="M125" s="580">
        <f t="shared" ref="M125:W125" si="198">M124/M16</f>
        <v>0.26273161866382205</v>
      </c>
      <c r="N125" s="580">
        <f t="shared" si="198"/>
        <v>0.26540952875888568</v>
      </c>
      <c r="O125" s="580">
        <f t="shared" si="198"/>
        <v>0.19813842042208094</v>
      </c>
      <c r="P125" s="580">
        <f t="shared" si="198"/>
        <v>0.27182739815020596</v>
      </c>
      <c r="Q125" s="232">
        <f t="shared" si="198"/>
        <v>0.24725997369574748</v>
      </c>
      <c r="R125" s="580">
        <f t="shared" si="198"/>
        <v>0.19702940284934828</v>
      </c>
      <c r="S125" s="580">
        <f t="shared" si="198"/>
        <v>0.15726066891948817</v>
      </c>
      <c r="T125" s="580">
        <f t="shared" si="198"/>
        <v>0.20889213008170274</v>
      </c>
      <c r="U125" s="580">
        <f t="shared" si="198"/>
        <v>0.19379760104471969</v>
      </c>
      <c r="V125" s="232">
        <f t="shared" si="198"/>
        <v>0.1869381926618266</v>
      </c>
      <c r="W125" s="580">
        <f t="shared" si="198"/>
        <v>0.16631859460787557</v>
      </c>
      <c r="X125" s="580"/>
      <c r="Y125" s="580"/>
      <c r="Z125" s="580"/>
      <c r="AA125" s="232"/>
      <c r="AB125" s="580"/>
      <c r="AC125" s="580"/>
      <c r="AD125" s="580"/>
      <c r="AE125" s="580"/>
      <c r="AF125" s="233"/>
      <c r="AG125" s="233"/>
      <c r="AH125" s="233"/>
      <c r="AI125" s="233"/>
      <c r="AJ125" s="233"/>
      <c r="AK125" s="233"/>
      <c r="AL125" s="233"/>
      <c r="AM125" s="233"/>
      <c r="AN125" s="233"/>
      <c r="AO125" s="233"/>
      <c r="AP125" s="233"/>
      <c r="AQ125" s="233"/>
      <c r="AR125" s="233"/>
    </row>
    <row r="126" spans="2:44" hidden="1" outlineLevel="1">
      <c r="G126" s="563"/>
      <c r="L126" s="563"/>
      <c r="M126" s="416"/>
      <c r="N126" s="416"/>
      <c r="O126" s="416"/>
      <c r="P126" s="416"/>
      <c r="Q126" s="563"/>
      <c r="R126" s="416"/>
      <c r="S126" s="416"/>
      <c r="T126" s="416"/>
      <c r="U126" s="416"/>
      <c r="V126" s="563"/>
      <c r="W126" s="416"/>
      <c r="X126" s="416"/>
      <c r="Y126" s="416"/>
      <c r="Z126" s="416"/>
      <c r="AA126" s="563"/>
      <c r="AB126" s="416"/>
      <c r="AC126" s="416"/>
      <c r="AD126" s="416"/>
      <c r="AE126" s="416"/>
    </row>
    <row r="127" spans="2:44" collapsed="1">
      <c r="B127" s="64" t="s">
        <v>21</v>
      </c>
      <c r="G127" s="563"/>
      <c r="L127" s="563"/>
      <c r="M127" s="416"/>
      <c r="N127" s="416"/>
      <c r="O127" s="416"/>
      <c r="P127" s="416"/>
      <c r="Q127" s="563"/>
      <c r="R127" s="416"/>
      <c r="S127" s="416"/>
      <c r="T127" s="416"/>
      <c r="U127" s="416"/>
      <c r="V127" s="563"/>
      <c r="W127" s="416"/>
      <c r="X127" s="416"/>
      <c r="Y127" s="416"/>
      <c r="Z127" s="416"/>
      <c r="AA127" s="563"/>
      <c r="AB127" s="416"/>
      <c r="AC127" s="416"/>
      <c r="AD127" s="416"/>
      <c r="AE127" s="416"/>
    </row>
    <row r="128" spans="2:44" s="205" customFormat="1">
      <c r="B128" s="197" t="s">
        <v>33</v>
      </c>
      <c r="C128" s="563">
        <f>C31-59.7</f>
        <v>9.7000000000000028</v>
      </c>
      <c r="D128" s="563"/>
      <c r="E128" s="563"/>
      <c r="F128" s="563"/>
      <c r="G128" s="563"/>
      <c r="H128" s="563">
        <f>H31-69</f>
        <v>-69</v>
      </c>
      <c r="I128" s="563">
        <f>(1-I129)*I25</f>
        <v>0.11200000000000002</v>
      </c>
      <c r="J128" s="563"/>
      <c r="K128" s="563"/>
      <c r="L128" s="563">
        <f>(1-L129)*L25</f>
        <v>40.151092995620516</v>
      </c>
      <c r="M128" s="570">
        <f>(1-M129)*M25</f>
        <v>10.59071</v>
      </c>
      <c r="N128" s="570">
        <f>(1-N129)*N25</f>
        <v>17.413200000000003</v>
      </c>
      <c r="O128" s="570">
        <f>(1-O129)*O25</f>
        <v>7.8863400000000015</v>
      </c>
      <c r="P128" s="570">
        <f>Q128-O128-N128-M128</f>
        <v>5.1377499999999987</v>
      </c>
      <c r="Q128" s="563">
        <f>(1-Q129)*Q25</f>
        <v>41.028000000000006</v>
      </c>
      <c r="R128" s="570">
        <f>(1-R129)*R25</f>
        <v>9.690450000000002</v>
      </c>
      <c r="S128" s="570">
        <f>(1-S129)*S25</f>
        <v>11.976600000000003</v>
      </c>
      <c r="T128" s="570">
        <f>(1-T129)*T25</f>
        <v>12.436480000000001</v>
      </c>
      <c r="U128" s="570">
        <f>(1-U129)*U31</f>
        <v>14.117439548422048</v>
      </c>
      <c r="V128" s="563">
        <f>U128+T128+S128+R128</f>
        <v>48.220969548422062</v>
      </c>
      <c r="W128" s="570">
        <f>(1-W129)*W31</f>
        <v>12.889280000000003</v>
      </c>
      <c r="X128" s="570">
        <f>(1-X129)*X31</f>
        <v>13.712000000000003</v>
      </c>
      <c r="Y128" s="570">
        <f>(1-Y129)*Y31</f>
        <v>11.536000000000001</v>
      </c>
      <c r="Z128" s="570">
        <f>(1-Z129)*Z31</f>
        <v>13.140502859252537</v>
      </c>
      <c r="AA128" s="563">
        <f>Z128+Y128+X128+W128</f>
        <v>51.27778285925254</v>
      </c>
      <c r="AB128" s="570">
        <f t="shared" ref="AB128:AE128" si="199">(1-AB129)*AB31</f>
        <v>13.837933581552557</v>
      </c>
      <c r="AC128" s="570">
        <f t="shared" si="199"/>
        <v>14.721205937821868</v>
      </c>
      <c r="AD128" s="570">
        <f t="shared" si="199"/>
        <v>12.385051903348385</v>
      </c>
      <c r="AE128" s="570">
        <f t="shared" si="199"/>
        <v>14.107646493406772</v>
      </c>
      <c r="AF128" s="563">
        <f>(1-AF129)*AF31</f>
        <v>55.051837916129578</v>
      </c>
      <c r="AG128" s="563">
        <f t="shared" ref="AG128:AR128" si="200">(1-AG129)*AG31</f>
        <v>56.100820024823392</v>
      </c>
      <c r="AH128" s="563">
        <f t="shared" si="200"/>
        <v>57.160813545604171</v>
      </c>
      <c r="AI128" s="563">
        <f t="shared" si="200"/>
        <v>58.232017993564995</v>
      </c>
      <c r="AJ128" s="563">
        <f t="shared" si="200"/>
        <v>59.31463439574128</v>
      </c>
      <c r="AK128" s="563">
        <f t="shared" si="200"/>
        <v>60.40886533238038</v>
      </c>
      <c r="AL128" s="563">
        <f t="shared" si="200"/>
        <v>61.514914978692623</v>
      </c>
      <c r="AM128" s="563">
        <f t="shared" si="200"/>
        <v>62.632989147092452</v>
      </c>
      <c r="AN128" s="563">
        <f t="shared" si="200"/>
        <v>63.76329532993973</v>
      </c>
      <c r="AO128" s="563">
        <f t="shared" si="200"/>
        <v>64.90604274279012</v>
      </c>
      <c r="AP128" s="563">
        <f t="shared" si="200"/>
        <v>66.061442368164421</v>
      </c>
      <c r="AQ128" s="563">
        <f t="shared" si="200"/>
        <v>67.229706999846471</v>
      </c>
      <c r="AR128" s="563">
        <f t="shared" si="200"/>
        <v>68.411051287719417</v>
      </c>
    </row>
    <row r="129" spans="2:44" s="205" customFormat="1">
      <c r="B129" s="231" t="s">
        <v>279</v>
      </c>
      <c r="C129" s="232">
        <f>1-(C128/C31)</f>
        <v>0.86023054755043227</v>
      </c>
      <c r="D129" s="232"/>
      <c r="E129" s="232"/>
      <c r="F129" s="232"/>
      <c r="G129" s="232"/>
      <c r="H129" s="232" t="e">
        <f>1-(H128/H31)</f>
        <v>#DIV/0!</v>
      </c>
      <c r="I129" s="232">
        <v>0.86</v>
      </c>
      <c r="J129" s="232"/>
      <c r="K129" s="232"/>
      <c r="L129" s="232">
        <v>0.88</v>
      </c>
      <c r="M129" s="580">
        <v>0.87</v>
      </c>
      <c r="N129" s="580">
        <v>0.85</v>
      </c>
      <c r="O129" s="580">
        <v>0.86</v>
      </c>
      <c r="P129" s="580">
        <f>1-(P128/P25)</f>
        <v>0.91674903587516621</v>
      </c>
      <c r="Q129" s="232">
        <v>0.87</v>
      </c>
      <c r="R129" s="580">
        <v>0.85</v>
      </c>
      <c r="S129" s="580">
        <v>0.85</v>
      </c>
      <c r="T129" s="580">
        <v>0.84</v>
      </c>
      <c r="U129" s="580">
        <v>0.84</v>
      </c>
      <c r="V129" s="232">
        <f>1-(V128/V31)</f>
        <v>0.84435258501942989</v>
      </c>
      <c r="W129" s="580">
        <v>0.84</v>
      </c>
      <c r="X129" s="580">
        <v>0.84</v>
      </c>
      <c r="Y129" s="580">
        <v>0.84</v>
      </c>
      <c r="Z129" s="580">
        <v>0.84</v>
      </c>
      <c r="AA129" s="232">
        <f>1-(AA128/AA31)</f>
        <v>0.84</v>
      </c>
      <c r="AB129" s="580">
        <f>AF129</f>
        <v>0.84</v>
      </c>
      <c r="AC129" s="580">
        <f>AB129</f>
        <v>0.84</v>
      </c>
      <c r="AD129" s="580">
        <f t="shared" ref="AD129:AE129" si="201">AC129</f>
        <v>0.84</v>
      </c>
      <c r="AE129" s="580">
        <f t="shared" si="201"/>
        <v>0.84</v>
      </c>
      <c r="AF129" s="233">
        <v>0.84</v>
      </c>
      <c r="AG129" s="233">
        <f t="shared" ref="AG129:AR129" si="202">AF129</f>
        <v>0.84</v>
      </c>
      <c r="AH129" s="233">
        <f t="shared" si="202"/>
        <v>0.84</v>
      </c>
      <c r="AI129" s="233">
        <f t="shared" si="202"/>
        <v>0.84</v>
      </c>
      <c r="AJ129" s="233">
        <f t="shared" si="202"/>
        <v>0.84</v>
      </c>
      <c r="AK129" s="233">
        <f t="shared" si="202"/>
        <v>0.84</v>
      </c>
      <c r="AL129" s="233">
        <f t="shared" si="202"/>
        <v>0.84</v>
      </c>
      <c r="AM129" s="233">
        <f t="shared" si="202"/>
        <v>0.84</v>
      </c>
      <c r="AN129" s="233">
        <f t="shared" si="202"/>
        <v>0.84</v>
      </c>
      <c r="AO129" s="233">
        <f t="shared" si="202"/>
        <v>0.84</v>
      </c>
      <c r="AP129" s="233">
        <f t="shared" si="202"/>
        <v>0.84</v>
      </c>
      <c r="AQ129" s="233">
        <f t="shared" si="202"/>
        <v>0.84</v>
      </c>
      <c r="AR129" s="233">
        <f t="shared" si="202"/>
        <v>0.84</v>
      </c>
    </row>
    <row r="130" spans="2:44" hidden="1" outlineLevel="1">
      <c r="B130" s="197" t="s">
        <v>34</v>
      </c>
      <c r="C130" s="563"/>
      <c r="D130" s="563"/>
      <c r="E130" s="563"/>
      <c r="F130" s="563"/>
      <c r="G130" s="563"/>
      <c r="H130" s="563"/>
      <c r="I130" s="563"/>
      <c r="J130" s="563"/>
      <c r="K130" s="563"/>
      <c r="L130" s="563"/>
      <c r="M130" s="570">
        <f>6.1-N130</f>
        <v>2.6999999999999997</v>
      </c>
      <c r="N130" s="570">
        <v>3.4</v>
      </c>
      <c r="O130" s="570">
        <v>3.2</v>
      </c>
      <c r="P130" s="570">
        <f>Q130-O130-N130-M130</f>
        <v>3.5000000000000013</v>
      </c>
      <c r="Q130" s="563">
        <v>12.8</v>
      </c>
      <c r="R130" s="570">
        <f>5.5-S130</f>
        <v>2.9</v>
      </c>
      <c r="S130" s="570">
        <v>2.6</v>
      </c>
      <c r="T130" s="570"/>
      <c r="U130" s="570"/>
      <c r="V130" s="563"/>
      <c r="W130" s="570"/>
      <c r="X130" s="570"/>
      <c r="Y130" s="570"/>
      <c r="Z130" s="570"/>
      <c r="AA130" s="563"/>
      <c r="AB130" s="570"/>
      <c r="AC130" s="570"/>
      <c r="AD130" s="570"/>
      <c r="AE130" s="570"/>
      <c r="AF130" s="563"/>
      <c r="AG130" s="563"/>
      <c r="AH130" s="563"/>
      <c r="AI130" s="563"/>
      <c r="AJ130" s="563"/>
      <c r="AK130" s="563"/>
      <c r="AL130" s="563"/>
      <c r="AM130" s="563"/>
    </row>
    <row r="131" spans="2:44" s="205" customFormat="1" hidden="1" outlineLevel="1">
      <c r="B131" s="231" t="s">
        <v>282</v>
      </c>
      <c r="C131" s="232"/>
      <c r="D131" s="232"/>
      <c r="E131" s="232"/>
      <c r="F131" s="232"/>
      <c r="G131" s="232"/>
      <c r="H131" s="232"/>
      <c r="I131" s="232"/>
      <c r="J131" s="232"/>
      <c r="K131" s="232"/>
      <c r="L131" s="232"/>
      <c r="M131" s="580">
        <f>M130/M31</f>
        <v>3.4541430526948705E-2</v>
      </c>
      <c r="N131" s="580">
        <f>N130/N31</f>
        <v>3.0606366124153826E-2</v>
      </c>
      <c r="O131" s="580">
        <f>O130/O31</f>
        <v>5.9115848589532803E-2</v>
      </c>
      <c r="P131" s="580">
        <f>P130/P31</f>
        <v>5.8612720635026955E-2</v>
      </c>
      <c r="Q131" s="232">
        <f>Q130/Q25</f>
        <v>4.0557667934093787E-2</v>
      </c>
      <c r="R131" s="580">
        <f>R130/R31</f>
        <v>4.4340473678577429E-2</v>
      </c>
      <c r="S131" s="580">
        <f>S130/S31</f>
        <v>3.3144663709142826E-2</v>
      </c>
      <c r="T131" s="580"/>
      <c r="U131" s="580"/>
      <c r="V131" s="232"/>
      <c r="W131" s="580"/>
      <c r="X131" s="580"/>
      <c r="Y131" s="580"/>
      <c r="Z131" s="580"/>
      <c r="AA131" s="232"/>
      <c r="AB131" s="580"/>
      <c r="AC131" s="580"/>
      <c r="AD131" s="580"/>
      <c r="AE131" s="580"/>
      <c r="AF131" s="233"/>
      <c r="AG131" s="233"/>
      <c r="AH131" s="233"/>
      <c r="AI131" s="233"/>
      <c r="AJ131" s="233"/>
      <c r="AK131" s="233"/>
      <c r="AL131" s="233"/>
      <c r="AM131" s="233"/>
    </row>
    <row r="132" spans="2:44" s="413" customFormat="1" hidden="1" outlineLevel="1">
      <c r="B132" s="197" t="s">
        <v>462</v>
      </c>
      <c r="C132" s="563"/>
      <c r="D132" s="563"/>
      <c r="E132" s="563"/>
      <c r="F132" s="563"/>
      <c r="G132" s="563"/>
      <c r="H132" s="563"/>
      <c r="I132" s="563">
        <v>14</v>
      </c>
      <c r="J132" s="563"/>
      <c r="K132" s="563"/>
      <c r="L132" s="563"/>
      <c r="M132" s="570">
        <v>10.6</v>
      </c>
      <c r="N132" s="570">
        <v>12.9</v>
      </c>
      <c r="O132" s="570">
        <v>10.7</v>
      </c>
      <c r="P132" s="570">
        <f>Q132-O132-N132-M132</f>
        <v>12.599999999999996</v>
      </c>
      <c r="Q132" s="563">
        <v>46.8</v>
      </c>
      <c r="R132" s="570">
        <v>11.5</v>
      </c>
      <c r="S132" s="570">
        <v>12.5</v>
      </c>
      <c r="T132" s="570"/>
      <c r="U132" s="570"/>
      <c r="V132" s="563">
        <v>50.9</v>
      </c>
      <c r="W132" s="570">
        <v>11.8</v>
      </c>
      <c r="X132" s="570"/>
      <c r="Y132" s="570"/>
      <c r="Z132" s="570"/>
      <c r="AA132" s="563"/>
      <c r="AB132" s="570"/>
      <c r="AC132" s="570"/>
      <c r="AD132" s="570"/>
      <c r="AE132" s="570"/>
      <c r="AF132" s="563"/>
      <c r="AG132" s="563"/>
      <c r="AH132" s="563"/>
      <c r="AI132" s="563"/>
      <c r="AJ132" s="563"/>
      <c r="AK132" s="563"/>
      <c r="AL132" s="563"/>
      <c r="AM132" s="563"/>
    </row>
    <row r="133" spans="2:44" s="205" customFormat="1" hidden="1" outlineLevel="1">
      <c r="B133" s="231" t="s">
        <v>282</v>
      </c>
      <c r="C133" s="232"/>
      <c r="D133" s="232"/>
      <c r="E133" s="232"/>
      <c r="F133" s="232"/>
      <c r="G133" s="232"/>
      <c r="H133" s="232"/>
      <c r="I133" s="232"/>
      <c r="J133" s="232"/>
      <c r="K133" s="232"/>
      <c r="L133" s="232"/>
      <c r="M133" s="580">
        <f t="shared" ref="M133:S133" si="203">M132/M31</f>
        <v>0.13560709762431716</v>
      </c>
      <c r="N133" s="580">
        <f t="shared" si="203"/>
        <v>0.11612415382399541</v>
      </c>
      <c r="O133" s="580">
        <f t="shared" si="203"/>
        <v>0.1976686187212503</v>
      </c>
      <c r="P133" s="580">
        <f t="shared" si="203"/>
        <v>0.21100579428609689</v>
      </c>
      <c r="Q133" s="232">
        <f t="shared" si="203"/>
        <v>0.15440448696799733</v>
      </c>
      <c r="R133" s="580">
        <f t="shared" si="203"/>
        <v>0.17583291286332431</v>
      </c>
      <c r="S133" s="580">
        <f t="shared" si="203"/>
        <v>0.15934934475549437</v>
      </c>
      <c r="T133" s="580"/>
      <c r="U133" s="580"/>
      <c r="V133" s="232">
        <f t="shared" ref="V133:W133" si="204">V132/V31</f>
        <v>0.16429477666465261</v>
      </c>
      <c r="W133" s="580">
        <f t="shared" si="204"/>
        <v>0.14647831376151343</v>
      </c>
      <c r="X133" s="580"/>
      <c r="Y133" s="580"/>
      <c r="Z133" s="580"/>
      <c r="AA133" s="232"/>
      <c r="AB133" s="580"/>
      <c r="AC133" s="580"/>
      <c r="AD133" s="580"/>
      <c r="AE133" s="580"/>
      <c r="AF133" s="233"/>
      <c r="AG133" s="233"/>
      <c r="AH133" s="233"/>
      <c r="AI133" s="233"/>
      <c r="AJ133" s="233"/>
      <c r="AK133" s="233"/>
      <c r="AL133" s="233"/>
      <c r="AM133" s="233"/>
    </row>
    <row r="134" spans="2:44" hidden="1" outlineLevel="1">
      <c r="G134" s="563"/>
      <c r="L134" s="563"/>
      <c r="M134" s="416"/>
      <c r="N134" s="416"/>
      <c r="O134" s="416"/>
      <c r="P134" s="416"/>
      <c r="Q134" s="563"/>
      <c r="R134" s="416"/>
      <c r="S134" s="416"/>
      <c r="T134" s="416"/>
      <c r="U134" s="416"/>
      <c r="V134" s="563"/>
      <c r="W134" s="416"/>
      <c r="X134" s="416"/>
      <c r="Y134" s="416"/>
      <c r="Z134" s="416"/>
      <c r="AA134" s="563"/>
      <c r="AB134" s="416"/>
      <c r="AC134" s="416"/>
      <c r="AD134" s="416"/>
      <c r="AE134" s="416"/>
    </row>
    <row r="135" spans="2:44" collapsed="1">
      <c r="B135" s="64" t="s">
        <v>22</v>
      </c>
      <c r="G135" s="563"/>
      <c r="L135" s="563"/>
      <c r="M135" s="416"/>
      <c r="N135" s="416"/>
      <c r="O135" s="416"/>
      <c r="P135" s="416"/>
      <c r="Q135" s="563"/>
      <c r="R135" s="416"/>
      <c r="S135" s="416"/>
      <c r="T135" s="416"/>
      <c r="U135" s="416"/>
      <c r="V135" s="563"/>
      <c r="W135" s="416"/>
      <c r="X135" s="416"/>
      <c r="Y135" s="416"/>
      <c r="Z135" s="416"/>
      <c r="AA135" s="563"/>
      <c r="AB135" s="416"/>
      <c r="AC135" s="416"/>
      <c r="AD135" s="416"/>
      <c r="AE135" s="416"/>
    </row>
    <row r="136" spans="2:44" s="205" customFormat="1">
      <c r="B136" s="197" t="s">
        <v>33</v>
      </c>
      <c r="C136" s="563">
        <f>C43-31.6</f>
        <v>6</v>
      </c>
      <c r="D136" s="563"/>
      <c r="E136" s="563"/>
      <c r="F136" s="563"/>
      <c r="G136" s="563"/>
      <c r="H136" s="563">
        <f>H43-38.1</f>
        <v>7.1000000000000014</v>
      </c>
      <c r="I136" s="563">
        <f>(1-I137)*I43</f>
        <v>7.035000000000001</v>
      </c>
      <c r="J136" s="563"/>
      <c r="K136" s="563"/>
      <c r="L136" s="563">
        <f>(1-L137)*L43</f>
        <v>38.451204924926778</v>
      </c>
      <c r="M136" s="570">
        <f>(1-M137)*M43</f>
        <v>8.5328100000000013</v>
      </c>
      <c r="N136" s="570">
        <f>(1-N137)*N43</f>
        <v>9.0135000000000023</v>
      </c>
      <c r="O136" s="570">
        <f>(1-O137)*O43</f>
        <v>10.917230000000002</v>
      </c>
      <c r="P136" s="570">
        <f>Q136-O136-N136-M136</f>
        <v>21.318243876504265</v>
      </c>
      <c r="Q136" s="563">
        <f>(1-Q137)*Q43</f>
        <v>49.781783876504271</v>
      </c>
      <c r="R136" s="570">
        <f>(1-R137)*R43</f>
        <v>18.406079999999999</v>
      </c>
      <c r="S136" s="570">
        <f>(1-S137)*S43</f>
        <v>16.238700000000005</v>
      </c>
      <c r="T136" s="570">
        <f>(1-T137)*T43</f>
        <v>16.361820000000005</v>
      </c>
      <c r="U136" s="570">
        <f>(1-U137)*U43</f>
        <v>17.604544713365684</v>
      </c>
      <c r="V136" s="563">
        <f>U136+T136+S136+R136</f>
        <v>68.611144713365704</v>
      </c>
      <c r="W136" s="570">
        <f>(1-W137)*W43</f>
        <v>16.622280000000003</v>
      </c>
      <c r="X136" s="570">
        <f>(1-X137)*X43</f>
        <v>18.360000000000007</v>
      </c>
      <c r="Y136" s="570">
        <f>(1-Y137)*Y43</f>
        <v>19.044000000000004</v>
      </c>
      <c r="Z136" s="570">
        <f>(1-Z137)*Z43</f>
        <v>20.105020545028985</v>
      </c>
      <c r="AA136" s="563">
        <f>Z136+Y136+X136+W136</f>
        <v>74.131300545029006</v>
      </c>
      <c r="AB136" s="570">
        <f t="shared" ref="AB136:AE136" si="205">(1-AB137)*AB43</f>
        <v>18.886062178470695</v>
      </c>
      <c r="AC136" s="570">
        <f t="shared" si="205"/>
        <v>20.860441623936183</v>
      </c>
      <c r="AD136" s="570">
        <f t="shared" si="205"/>
        <v>21.637595331494591</v>
      </c>
      <c r="AE136" s="570">
        <f t="shared" si="205"/>
        <v>22.843115872963761</v>
      </c>
      <c r="AF136" s="563">
        <f>(1-AF137)*AF43</f>
        <v>84.227215006865222</v>
      </c>
      <c r="AG136" s="563">
        <f t="shared" ref="AG136:AR136" si="206">(1-AG137)*AG43</f>
        <v>92.582268148578493</v>
      </c>
      <c r="AH136" s="563">
        <f t="shared" si="206"/>
        <v>102.19078629918209</v>
      </c>
      <c r="AI136" s="563">
        <f t="shared" si="206"/>
        <v>100.81447330211425</v>
      </c>
      <c r="AJ136" s="563">
        <f t="shared" si="206"/>
        <v>95.218155099845873</v>
      </c>
      <c r="AK136" s="563">
        <f t="shared" si="206"/>
        <v>82.722637509172614</v>
      </c>
      <c r="AL136" s="563">
        <f t="shared" si="206"/>
        <v>64.166022785232087</v>
      </c>
      <c r="AM136" s="563">
        <f t="shared" si="206"/>
        <v>57.316348972249521</v>
      </c>
      <c r="AN136" s="563">
        <f t="shared" si="206"/>
        <v>51.681921595506147</v>
      </c>
      <c r="AO136" s="563">
        <f t="shared" si="206"/>
        <v>43.740703744965039</v>
      </c>
      <c r="AP136" s="563">
        <f t="shared" si="206"/>
        <v>33.780133838257015</v>
      </c>
      <c r="AQ136" s="563">
        <f t="shared" si="206"/>
        <v>31.293918727073741</v>
      </c>
      <c r="AR136" s="563">
        <f t="shared" si="206"/>
        <v>28.456942011402777</v>
      </c>
    </row>
    <row r="137" spans="2:44" s="205" customFormat="1">
      <c r="B137" s="231" t="s">
        <v>279</v>
      </c>
      <c r="C137" s="232">
        <f>1-(C136/C43)</f>
        <v>0.84042553191489366</v>
      </c>
      <c r="D137" s="232"/>
      <c r="E137" s="232"/>
      <c r="F137" s="232"/>
      <c r="G137" s="232"/>
      <c r="H137" s="232">
        <f>1-(H136/H43)</f>
        <v>0.84292035398230092</v>
      </c>
      <c r="I137" s="232">
        <v>0.85</v>
      </c>
      <c r="J137" s="232"/>
      <c r="K137" s="232"/>
      <c r="L137" s="232">
        <v>0.85</v>
      </c>
      <c r="M137" s="580">
        <v>0.83</v>
      </c>
      <c r="N137" s="580">
        <v>0.85</v>
      </c>
      <c r="O137" s="580">
        <v>0.83</v>
      </c>
      <c r="P137" s="580">
        <f>1-(P136/P43)</f>
        <v>0.8198438311833719</v>
      </c>
      <c r="Q137" s="232">
        <v>0.83</v>
      </c>
      <c r="R137" s="580">
        <v>0.76</v>
      </c>
      <c r="S137" s="580">
        <v>0.82</v>
      </c>
      <c r="T137" s="580">
        <v>0.82</v>
      </c>
      <c r="U137" s="580">
        <v>0.82</v>
      </c>
      <c r="V137" s="232">
        <f>1-(V136/V43)</f>
        <v>0.8070601709710219</v>
      </c>
      <c r="W137" s="580">
        <v>0.82</v>
      </c>
      <c r="X137" s="580">
        <v>0.82</v>
      </c>
      <c r="Y137" s="580">
        <v>0.82</v>
      </c>
      <c r="Z137" s="580">
        <v>0.82</v>
      </c>
      <c r="AA137" s="232">
        <f>1-(AA136/AA43)</f>
        <v>0.82</v>
      </c>
      <c r="AB137" s="580">
        <f>AF137</f>
        <v>0.82</v>
      </c>
      <c r="AC137" s="580">
        <f>AB137</f>
        <v>0.82</v>
      </c>
      <c r="AD137" s="580">
        <f t="shared" ref="AD137:AE137" si="207">AC137</f>
        <v>0.82</v>
      </c>
      <c r="AE137" s="580">
        <f t="shared" si="207"/>
        <v>0.82</v>
      </c>
      <c r="AF137" s="233">
        <v>0.82</v>
      </c>
      <c r="AG137" s="233">
        <f t="shared" ref="AG137:AR137" si="208">AF137</f>
        <v>0.82</v>
      </c>
      <c r="AH137" s="233">
        <f t="shared" si="208"/>
        <v>0.82</v>
      </c>
      <c r="AI137" s="233">
        <f t="shared" si="208"/>
        <v>0.82</v>
      </c>
      <c r="AJ137" s="233">
        <f t="shared" si="208"/>
        <v>0.82</v>
      </c>
      <c r="AK137" s="233">
        <f t="shared" si="208"/>
        <v>0.82</v>
      </c>
      <c r="AL137" s="233">
        <f t="shared" si="208"/>
        <v>0.82</v>
      </c>
      <c r="AM137" s="233">
        <f t="shared" si="208"/>
        <v>0.82</v>
      </c>
      <c r="AN137" s="233">
        <f t="shared" si="208"/>
        <v>0.82</v>
      </c>
      <c r="AO137" s="233">
        <f t="shared" si="208"/>
        <v>0.82</v>
      </c>
      <c r="AP137" s="233">
        <f t="shared" si="208"/>
        <v>0.82</v>
      </c>
      <c r="AQ137" s="233">
        <f t="shared" si="208"/>
        <v>0.82</v>
      </c>
      <c r="AR137" s="233">
        <f t="shared" si="208"/>
        <v>0.82</v>
      </c>
    </row>
    <row r="138" spans="2:44" hidden="1" outlineLevel="1">
      <c r="B138" s="197" t="s">
        <v>34</v>
      </c>
      <c r="C138" s="563"/>
      <c r="D138" s="563"/>
      <c r="E138" s="563"/>
      <c r="F138" s="563"/>
      <c r="G138" s="563"/>
      <c r="H138" s="563"/>
      <c r="I138" s="563"/>
      <c r="J138" s="563"/>
      <c r="K138" s="563"/>
      <c r="L138" s="563"/>
      <c r="M138" s="570">
        <f>6.5-N138</f>
        <v>3.7</v>
      </c>
      <c r="N138" s="570">
        <v>2.8</v>
      </c>
      <c r="O138" s="570">
        <v>4</v>
      </c>
      <c r="P138" s="570">
        <f>Q138-O138-N138-M138</f>
        <v>4.9000000000000012</v>
      </c>
      <c r="Q138" s="563">
        <v>15.4</v>
      </c>
      <c r="R138" s="570">
        <f>11.2-S138</f>
        <v>5.7999999999999989</v>
      </c>
      <c r="S138" s="570">
        <v>5.4</v>
      </c>
      <c r="T138" s="570"/>
      <c r="U138" s="570"/>
      <c r="V138" s="563"/>
      <c r="W138" s="570"/>
      <c r="X138" s="570"/>
      <c r="Y138" s="570"/>
      <c r="Z138" s="570"/>
      <c r="AA138" s="563"/>
      <c r="AB138" s="570"/>
      <c r="AC138" s="570"/>
      <c r="AD138" s="570"/>
      <c r="AE138" s="570"/>
      <c r="AF138" s="563"/>
      <c r="AG138" s="563"/>
      <c r="AH138" s="563"/>
      <c r="AI138" s="563"/>
      <c r="AJ138" s="563"/>
      <c r="AK138" s="563"/>
      <c r="AL138" s="563"/>
      <c r="AM138" s="563"/>
    </row>
    <row r="139" spans="2:44" s="205" customFormat="1" hidden="1" outlineLevel="1">
      <c r="B139" s="231" t="s">
        <v>282</v>
      </c>
      <c r="C139" s="232"/>
      <c r="D139" s="232"/>
      <c r="E139" s="232"/>
      <c r="F139" s="232"/>
      <c r="G139" s="232"/>
      <c r="H139" s="232"/>
      <c r="I139" s="232"/>
      <c r="J139" s="232"/>
      <c r="K139" s="232"/>
      <c r="L139" s="232"/>
      <c r="M139" s="580">
        <f t="shared" ref="M139:S139" si="209">M138/M43</f>
        <v>7.3715458330842948E-2</v>
      </c>
      <c r="N139" s="580">
        <f t="shared" si="209"/>
        <v>4.6596771509402557E-2</v>
      </c>
      <c r="O139" s="580">
        <f t="shared" si="209"/>
        <v>6.2286862143602365E-2</v>
      </c>
      <c r="P139" s="580">
        <f t="shared" si="209"/>
        <v>4.1408909303941803E-2</v>
      </c>
      <c r="Q139" s="232">
        <f t="shared" si="209"/>
        <v>5.2589517613402158E-2</v>
      </c>
      <c r="R139" s="580">
        <f t="shared" si="209"/>
        <v>7.5627184060918992E-2</v>
      </c>
      <c r="S139" s="580">
        <f t="shared" si="209"/>
        <v>5.9857008258050216E-2</v>
      </c>
      <c r="T139" s="580"/>
      <c r="U139" s="580"/>
      <c r="V139" s="232"/>
      <c r="W139" s="580"/>
      <c r="X139" s="580"/>
      <c r="Y139" s="580"/>
      <c r="Z139" s="580"/>
      <c r="AA139" s="232"/>
      <c r="AB139" s="580"/>
      <c r="AC139" s="580"/>
      <c r="AD139" s="580"/>
      <c r="AE139" s="580"/>
      <c r="AF139" s="233"/>
      <c r="AG139" s="233"/>
      <c r="AH139" s="233"/>
      <c r="AI139" s="233"/>
      <c r="AJ139" s="233"/>
      <c r="AK139" s="233"/>
      <c r="AL139" s="233"/>
      <c r="AM139" s="233"/>
    </row>
    <row r="140" spans="2:44" s="413" customFormat="1" hidden="1" outlineLevel="1">
      <c r="B140" s="197" t="s">
        <v>462</v>
      </c>
      <c r="C140" s="563"/>
      <c r="D140" s="563"/>
      <c r="E140" s="563"/>
      <c r="F140" s="563"/>
      <c r="G140" s="563"/>
      <c r="H140" s="563"/>
      <c r="I140" s="563">
        <v>8.1</v>
      </c>
      <c r="J140" s="563"/>
      <c r="K140" s="563"/>
      <c r="L140" s="563"/>
      <c r="M140" s="570">
        <v>10</v>
      </c>
      <c r="N140" s="570">
        <v>10.199999999999999</v>
      </c>
      <c r="O140" s="570">
        <v>9.9</v>
      </c>
      <c r="P140" s="570">
        <f>Q140-O140-N140-M140</f>
        <v>10.600000000000005</v>
      </c>
      <c r="Q140" s="563">
        <v>40.700000000000003</v>
      </c>
      <c r="R140" s="570">
        <v>14.5</v>
      </c>
      <c r="S140" s="570">
        <v>14.8</v>
      </c>
      <c r="T140" s="570">
        <v>13.6</v>
      </c>
      <c r="U140" s="570">
        <f>V140-T140-S140-R140</f>
        <v>22.299999999999997</v>
      </c>
      <c r="V140" s="563">
        <v>65.2</v>
      </c>
      <c r="W140" s="570">
        <v>19.8</v>
      </c>
      <c r="X140" s="570"/>
      <c r="Y140" s="570"/>
      <c r="Z140" s="570"/>
      <c r="AA140" s="563"/>
      <c r="AB140" s="570"/>
      <c r="AC140" s="570"/>
      <c r="AD140" s="570"/>
      <c r="AE140" s="570"/>
      <c r="AF140" s="563"/>
      <c r="AG140" s="563"/>
      <c r="AH140" s="563"/>
      <c r="AI140" s="563"/>
      <c r="AJ140" s="563"/>
      <c r="AK140" s="563"/>
      <c r="AL140" s="563"/>
      <c r="AM140" s="563"/>
    </row>
    <row r="141" spans="2:44" s="205" customFormat="1" hidden="1" outlineLevel="1">
      <c r="B141" s="231" t="s">
        <v>282</v>
      </c>
      <c r="C141" s="232"/>
      <c r="D141" s="232"/>
      <c r="E141" s="232"/>
      <c r="F141" s="232"/>
      <c r="G141" s="232"/>
      <c r="H141" s="232"/>
      <c r="I141" s="232"/>
      <c r="J141" s="232"/>
      <c r="K141" s="232"/>
      <c r="L141" s="232"/>
      <c r="M141" s="580">
        <f t="shared" ref="M141:W141" si="210">M140/M43</f>
        <v>0.19923096846173771</v>
      </c>
      <c r="N141" s="580">
        <f t="shared" si="210"/>
        <v>0.16974538192710931</v>
      </c>
      <c r="O141" s="580">
        <f t="shared" si="210"/>
        <v>0.15415998380541587</v>
      </c>
      <c r="P141" s="580">
        <f t="shared" si="210"/>
        <v>8.9578456861588399E-2</v>
      </c>
      <c r="Q141" s="232">
        <f t="shared" si="210"/>
        <v>0.13898658226399141</v>
      </c>
      <c r="R141" s="580">
        <f t="shared" si="210"/>
        <v>0.18906796015229752</v>
      </c>
      <c r="S141" s="580">
        <f t="shared" si="210"/>
        <v>0.16405254115169318</v>
      </c>
      <c r="T141" s="580">
        <f t="shared" si="210"/>
        <v>0.14961660744342622</v>
      </c>
      <c r="U141" s="580">
        <f t="shared" si="210"/>
        <v>0.22800930471962164</v>
      </c>
      <c r="V141" s="232">
        <f t="shared" si="210"/>
        <v>0.18334742708699928</v>
      </c>
      <c r="W141" s="580">
        <f t="shared" si="210"/>
        <v>0.21441101942693783</v>
      </c>
      <c r="X141" s="580"/>
      <c r="Y141" s="580"/>
      <c r="Z141" s="580"/>
      <c r="AA141" s="232"/>
      <c r="AB141" s="580"/>
      <c r="AC141" s="580"/>
      <c r="AD141" s="580"/>
      <c r="AE141" s="580"/>
      <c r="AF141" s="233"/>
      <c r="AG141" s="233"/>
      <c r="AH141" s="233"/>
      <c r="AI141" s="233"/>
      <c r="AJ141" s="233"/>
      <c r="AK141" s="233"/>
      <c r="AL141" s="233"/>
      <c r="AM141" s="233"/>
    </row>
    <row r="142" spans="2:44" hidden="1" outlineLevel="1">
      <c r="G142" s="563"/>
      <c r="L142" s="563"/>
      <c r="M142" s="416"/>
      <c r="N142" s="416"/>
      <c r="O142" s="416"/>
      <c r="P142" s="416"/>
      <c r="Q142" s="563"/>
      <c r="R142" s="416"/>
      <c r="S142" s="416"/>
      <c r="T142" s="416"/>
      <c r="U142" s="416"/>
      <c r="V142" s="563"/>
      <c r="W142" s="416"/>
      <c r="X142" s="416"/>
      <c r="Y142" s="416"/>
      <c r="Z142" s="416"/>
      <c r="AA142" s="563"/>
      <c r="AB142" s="416"/>
      <c r="AC142" s="416"/>
      <c r="AD142" s="416"/>
      <c r="AE142" s="416"/>
    </row>
    <row r="143" spans="2:44" collapsed="1">
      <c r="B143" s="64" t="s">
        <v>16</v>
      </c>
      <c r="G143" s="563"/>
      <c r="L143" s="563"/>
      <c r="M143" s="416"/>
      <c r="N143" s="416"/>
      <c r="O143" s="416"/>
      <c r="P143" s="416"/>
      <c r="Q143" s="563"/>
      <c r="R143" s="416"/>
      <c r="S143" s="416"/>
      <c r="T143" s="416"/>
      <c r="U143" s="416"/>
      <c r="V143" s="563"/>
      <c r="W143" s="416"/>
      <c r="X143" s="416"/>
      <c r="Y143" s="416"/>
      <c r="Z143" s="416"/>
      <c r="AA143" s="563"/>
      <c r="AB143" s="416"/>
      <c r="AC143" s="416"/>
      <c r="AD143" s="416"/>
      <c r="AE143" s="416"/>
    </row>
    <row r="144" spans="2:44" s="205" customFormat="1">
      <c r="B144" s="197" t="s">
        <v>33</v>
      </c>
      <c r="C144" s="563">
        <f>C51-12.7</f>
        <v>4</v>
      </c>
      <c r="D144" s="563"/>
      <c r="E144" s="563"/>
      <c r="F144" s="563"/>
      <c r="G144" s="563"/>
      <c r="H144" s="563">
        <f>H51-14.8</f>
        <v>3.3000000000000007</v>
      </c>
      <c r="I144" s="563">
        <f>(1-I145)*I51</f>
        <v>8.1939999999999991</v>
      </c>
      <c r="J144" s="563"/>
      <c r="K144" s="563"/>
      <c r="L144" s="563">
        <f>(1-L145)*L51</f>
        <v>36.9577347191046</v>
      </c>
      <c r="M144" s="570">
        <f>(1-M145)*M51</f>
        <v>3.8310299999999993</v>
      </c>
      <c r="N144" s="570">
        <f>(1-N145)*N51</f>
        <v>4.6549699999999996</v>
      </c>
      <c r="O144" s="570">
        <f>(1-O145)*O51</f>
        <v>5.15</v>
      </c>
      <c r="P144" s="570"/>
      <c r="Q144" s="563">
        <f>(1-Q145)*Q51</f>
        <v>31.360353692062272</v>
      </c>
      <c r="R144" s="570">
        <f>(1-R145)*R51</f>
        <v>3.1245499999999993</v>
      </c>
      <c r="S144" s="570">
        <f>(1-S145)*S51</f>
        <v>4.8620000000000001</v>
      </c>
      <c r="T144" s="570">
        <f>(1-T145)*T51</f>
        <v>6.8730000000000002</v>
      </c>
      <c r="U144" s="570">
        <f>(1-U145)*U51</f>
        <v>8.4563201124109177</v>
      </c>
      <c r="V144" s="563">
        <f>U144+T144+S144+R144</f>
        <v>23.31587011241092</v>
      </c>
      <c r="W144" s="570">
        <f>(1-W145)*W51</f>
        <v>6.7742499999999994</v>
      </c>
      <c r="X144" s="570">
        <f>(1-X145)*X51</f>
        <v>6.964999999999999</v>
      </c>
      <c r="Y144" s="570">
        <f>(1-Y145)*Y51</f>
        <v>7.839999999999999</v>
      </c>
      <c r="Z144" s="570">
        <f>(1-Z145)*Z51</f>
        <v>12.334356232099573</v>
      </c>
      <c r="AA144" s="563">
        <f>Z144+Y144+X144+W144</f>
        <v>33.913606232099575</v>
      </c>
      <c r="AB144" s="570">
        <f t="shared" ref="AB144:AE144" si="211">(1-AB145)*AB51</f>
        <v>7.4475383899062928</v>
      </c>
      <c r="AC144" s="570">
        <f t="shared" si="211"/>
        <v>7.6572469108310619</v>
      </c>
      <c r="AD144" s="570">
        <f t="shared" si="211"/>
        <v>8.6192126031465222</v>
      </c>
      <c r="AE144" s="570">
        <f t="shared" si="211"/>
        <v>13.56026003665963</v>
      </c>
      <c r="AF144" s="563">
        <f>(1-AF145)*AF51</f>
        <v>37.284257940543505</v>
      </c>
      <c r="AG144" s="563">
        <f>(1-AG145)*AG51</f>
        <v>38.228020682836288</v>
      </c>
      <c r="AH144" s="563">
        <f t="shared" ref="AH144:AR144" si="212">(1-AH145)*AH51</f>
        <v>39.195474262660937</v>
      </c>
      <c r="AI144" s="563">
        <f t="shared" si="212"/>
        <v>40.187212430945095</v>
      </c>
      <c r="AJ144" s="563">
        <f t="shared" si="212"/>
        <v>41.203843205485022</v>
      </c>
      <c r="AK144" s="563">
        <f t="shared" si="212"/>
        <v>42.245989197605013</v>
      </c>
      <c r="AL144" s="563">
        <f t="shared" si="212"/>
        <v>43.314287946002409</v>
      </c>
      <c r="AM144" s="563">
        <f t="shared" si="212"/>
        <v>44.409392257932069</v>
      </c>
      <c r="AN144" s="563">
        <f t="shared" si="212"/>
        <v>45.531970557886517</v>
      </c>
      <c r="AO144" s="563">
        <f t="shared" si="212"/>
        <v>46.682707243931866</v>
      </c>
      <c r="AP144" s="563">
        <f t="shared" si="212"/>
        <v>47.86230305186276</v>
      </c>
      <c r="AQ144" s="563">
        <f t="shared" si="212"/>
        <v>49.07147542734301</v>
      </c>
      <c r="AR144" s="563">
        <f t="shared" si="212"/>
        <v>50.310958906201982</v>
      </c>
    </row>
    <row r="145" spans="2:44" s="205" customFormat="1">
      <c r="B145" s="231" t="s">
        <v>279</v>
      </c>
      <c r="C145" s="232">
        <f>1-(C144/C51)</f>
        <v>0.76047904191616766</v>
      </c>
      <c r="D145" s="232"/>
      <c r="E145" s="232"/>
      <c r="F145" s="232"/>
      <c r="G145" s="232"/>
      <c r="H145" s="232">
        <f>1-(H144/H51)</f>
        <v>0.81767955801104963</v>
      </c>
      <c r="I145" s="232">
        <v>0.66</v>
      </c>
      <c r="J145" s="232"/>
      <c r="K145" s="232"/>
      <c r="L145" s="232">
        <v>0.65</v>
      </c>
      <c r="M145" s="580">
        <v>0.79</v>
      </c>
      <c r="N145" s="580">
        <v>0.77</v>
      </c>
      <c r="O145" s="580">
        <v>0.75</v>
      </c>
      <c r="P145" s="580"/>
      <c r="Q145" s="232">
        <v>0.68</v>
      </c>
      <c r="R145" s="580">
        <v>0.81</v>
      </c>
      <c r="S145" s="580">
        <v>0.74</v>
      </c>
      <c r="T145" s="580">
        <v>0.71</v>
      </c>
      <c r="U145" s="580">
        <v>0.73</v>
      </c>
      <c r="V145" s="232">
        <f>V144/V51</f>
        <v>0.25859198829477026</v>
      </c>
      <c r="W145" s="580">
        <v>0.65</v>
      </c>
      <c r="X145" s="580">
        <f>W145</f>
        <v>0.65</v>
      </c>
      <c r="Y145" s="580">
        <f>X145</f>
        <v>0.65</v>
      </c>
      <c r="Z145" s="580">
        <f>Y145</f>
        <v>0.65</v>
      </c>
      <c r="AA145" s="232">
        <f>1-AA144/AA51</f>
        <v>0.64999999999999991</v>
      </c>
      <c r="AB145" s="580">
        <f>AF145</f>
        <v>0.64999999999999991</v>
      </c>
      <c r="AC145" s="580">
        <f>AB145</f>
        <v>0.64999999999999991</v>
      </c>
      <c r="AD145" s="580">
        <f t="shared" ref="AD145:AE145" si="213">AC145</f>
        <v>0.64999999999999991</v>
      </c>
      <c r="AE145" s="580">
        <f t="shared" si="213"/>
        <v>0.64999999999999991</v>
      </c>
      <c r="AF145" s="233">
        <f>AA145</f>
        <v>0.64999999999999991</v>
      </c>
      <c r="AG145" s="233">
        <f>AF145</f>
        <v>0.64999999999999991</v>
      </c>
      <c r="AH145" s="233">
        <f t="shared" ref="AH145:AR145" si="214">AG145</f>
        <v>0.64999999999999991</v>
      </c>
      <c r="AI145" s="233">
        <f t="shared" si="214"/>
        <v>0.64999999999999991</v>
      </c>
      <c r="AJ145" s="233">
        <f t="shared" si="214"/>
        <v>0.64999999999999991</v>
      </c>
      <c r="AK145" s="233">
        <f t="shared" si="214"/>
        <v>0.64999999999999991</v>
      </c>
      <c r="AL145" s="233">
        <f t="shared" si="214"/>
        <v>0.64999999999999991</v>
      </c>
      <c r="AM145" s="233">
        <f t="shared" si="214"/>
        <v>0.64999999999999991</v>
      </c>
      <c r="AN145" s="233">
        <f t="shared" si="214"/>
        <v>0.64999999999999991</v>
      </c>
      <c r="AO145" s="233">
        <f t="shared" si="214"/>
        <v>0.64999999999999991</v>
      </c>
      <c r="AP145" s="233">
        <f t="shared" si="214"/>
        <v>0.64999999999999991</v>
      </c>
      <c r="AQ145" s="233">
        <f t="shared" si="214"/>
        <v>0.64999999999999991</v>
      </c>
      <c r="AR145" s="233">
        <f t="shared" si="214"/>
        <v>0.64999999999999991</v>
      </c>
    </row>
    <row r="146" spans="2:44" hidden="1" outlineLevel="1">
      <c r="B146" s="197" t="s">
        <v>34</v>
      </c>
      <c r="C146" s="563"/>
      <c r="D146" s="563"/>
      <c r="E146" s="563"/>
      <c r="F146" s="563"/>
      <c r="G146" s="563"/>
      <c r="H146" s="563"/>
      <c r="I146" s="563"/>
      <c r="J146" s="563"/>
      <c r="K146" s="563"/>
      <c r="L146" s="563"/>
      <c r="M146" s="570">
        <f>1.4-N146</f>
        <v>0.7</v>
      </c>
      <c r="N146" s="570">
        <v>0.7</v>
      </c>
      <c r="O146" s="570">
        <v>1</v>
      </c>
      <c r="P146" s="570">
        <f>Q146-O146-N146-M146</f>
        <v>1.2000000000000002</v>
      </c>
      <c r="Q146" s="563">
        <v>3.6</v>
      </c>
      <c r="R146" s="570">
        <f>0.8-S146</f>
        <v>0.4</v>
      </c>
      <c r="S146" s="570">
        <v>0.4</v>
      </c>
      <c r="T146" s="570">
        <v>1</v>
      </c>
      <c r="U146" s="570"/>
      <c r="V146" s="563"/>
      <c r="W146" s="570"/>
      <c r="X146" s="570"/>
      <c r="Y146" s="570"/>
      <c r="Z146" s="570"/>
      <c r="AA146" s="563"/>
      <c r="AB146" s="570"/>
      <c r="AC146" s="570"/>
      <c r="AD146" s="570"/>
      <c r="AE146" s="570"/>
      <c r="AF146" s="563"/>
      <c r="AG146" s="563"/>
      <c r="AH146" s="563"/>
      <c r="AI146" s="563"/>
      <c r="AJ146" s="563"/>
      <c r="AK146" s="563"/>
      <c r="AL146" s="563"/>
      <c r="AM146" s="563"/>
    </row>
    <row r="147" spans="2:44" s="205" customFormat="1" hidden="1" outlineLevel="1">
      <c r="B147" s="231" t="s">
        <v>282</v>
      </c>
      <c r="C147" s="232"/>
      <c r="D147" s="232"/>
      <c r="E147" s="232"/>
      <c r="F147" s="232"/>
      <c r="G147" s="232"/>
      <c r="H147" s="232"/>
      <c r="I147" s="232"/>
      <c r="J147" s="232"/>
      <c r="K147" s="232"/>
      <c r="L147" s="232"/>
      <c r="M147" s="580">
        <f t="shared" ref="M147:T147" si="215">M146/M51</f>
        <v>3.837088198213013E-2</v>
      </c>
      <c r="N147" s="580">
        <f t="shared" si="215"/>
        <v>3.4586689065665296E-2</v>
      </c>
      <c r="O147" s="580">
        <f t="shared" si="215"/>
        <v>4.8543689320388349E-2</v>
      </c>
      <c r="P147" s="580">
        <f t="shared" si="215"/>
        <v>3.0833185684240656E-2</v>
      </c>
      <c r="Q147" s="232">
        <f t="shared" si="215"/>
        <v>3.6734279571967537E-2</v>
      </c>
      <c r="R147" s="580">
        <f t="shared" si="215"/>
        <v>2.4323502584372152E-2</v>
      </c>
      <c r="S147" s="580">
        <f t="shared" si="215"/>
        <v>2.1390374331550804E-2</v>
      </c>
      <c r="T147" s="580">
        <f t="shared" si="215"/>
        <v>4.2194092827004218E-2</v>
      </c>
      <c r="U147" s="580"/>
      <c r="V147" s="232"/>
      <c r="W147" s="580"/>
      <c r="X147" s="580"/>
      <c r="Y147" s="580"/>
      <c r="Z147" s="580"/>
      <c r="AA147" s="232"/>
      <c r="AB147" s="580"/>
      <c r="AC147" s="580"/>
      <c r="AD147" s="580"/>
      <c r="AE147" s="580"/>
      <c r="AF147" s="233"/>
      <c r="AG147" s="233"/>
      <c r="AH147" s="233"/>
      <c r="AI147" s="233"/>
      <c r="AJ147" s="233"/>
      <c r="AK147" s="233"/>
      <c r="AL147" s="233"/>
      <c r="AM147" s="233"/>
    </row>
    <row r="148" spans="2:44" hidden="1" outlineLevel="1">
      <c r="G148" s="563"/>
      <c r="L148" s="563"/>
      <c r="M148" s="416"/>
      <c r="N148" s="416"/>
      <c r="O148" s="416"/>
      <c r="P148" s="416"/>
      <c r="Q148" s="563"/>
      <c r="R148" s="416"/>
      <c r="S148" s="416"/>
      <c r="T148" s="416"/>
      <c r="U148" s="416"/>
      <c r="V148" s="563"/>
      <c r="W148" s="416"/>
      <c r="X148" s="416"/>
      <c r="Y148" s="416"/>
      <c r="Z148" s="416"/>
      <c r="AA148" s="563"/>
      <c r="AB148" s="416"/>
      <c r="AC148" s="416"/>
      <c r="AD148" s="416"/>
      <c r="AE148" s="416"/>
    </row>
    <row r="149" spans="2:44" collapsed="1">
      <c r="B149" s="64" t="s">
        <v>23</v>
      </c>
      <c r="G149" s="563"/>
      <c r="L149" s="563"/>
      <c r="M149" s="416"/>
      <c r="N149" s="416"/>
      <c r="O149" s="416"/>
      <c r="P149" s="416"/>
      <c r="Q149" s="563"/>
      <c r="R149" s="416"/>
      <c r="S149" s="416"/>
      <c r="T149" s="416"/>
      <c r="U149" s="416"/>
      <c r="V149" s="563"/>
      <c r="W149" s="416"/>
      <c r="X149" s="416"/>
      <c r="Y149" s="416"/>
      <c r="Z149" s="416"/>
      <c r="AA149" s="563"/>
      <c r="AB149" s="416"/>
      <c r="AC149" s="416"/>
      <c r="AD149" s="416"/>
      <c r="AE149" s="416"/>
    </row>
    <row r="150" spans="2:44" s="205" customFormat="1">
      <c r="B150" s="197" t="s">
        <v>33</v>
      </c>
      <c r="C150" s="563">
        <f>C55-2.8</f>
        <v>0.80000000000000027</v>
      </c>
      <c r="D150" s="563"/>
      <c r="E150" s="563"/>
      <c r="F150" s="563"/>
      <c r="G150" s="563"/>
      <c r="H150" s="563">
        <f>H55-3.5</f>
        <v>1.2000000000000002</v>
      </c>
      <c r="I150" s="563">
        <f>(1-I151)*I55</f>
        <v>1.1039999999999999</v>
      </c>
      <c r="J150" s="563"/>
      <c r="K150" s="563"/>
      <c r="L150" s="563"/>
      <c r="M150" s="570"/>
      <c r="N150" s="570">
        <f>(1-N151)*N55</f>
        <v>0.81993999999999989</v>
      </c>
      <c r="O150" s="570"/>
      <c r="P150" s="570"/>
      <c r="Q150" s="563"/>
      <c r="R150" s="570"/>
      <c r="S150" s="570"/>
      <c r="T150" s="570"/>
      <c r="U150" s="570"/>
      <c r="V150" s="563"/>
      <c r="W150" s="570"/>
      <c r="X150" s="570"/>
      <c r="Y150" s="570"/>
      <c r="Z150" s="570"/>
      <c r="AA150" s="563"/>
      <c r="AB150" s="570"/>
      <c r="AC150" s="570"/>
      <c r="AD150" s="570"/>
      <c r="AE150" s="570"/>
      <c r="AF150" s="233"/>
      <c r="AG150" s="233"/>
      <c r="AH150" s="233"/>
      <c r="AI150" s="233"/>
      <c r="AJ150" s="233"/>
      <c r="AK150" s="233"/>
      <c r="AL150" s="233"/>
      <c r="AM150" s="233"/>
    </row>
    <row r="151" spans="2:44" s="205" customFormat="1">
      <c r="B151" s="231" t="s">
        <v>279</v>
      </c>
      <c r="C151" s="232">
        <f>1-(C150/C55)</f>
        <v>0.77777777777777768</v>
      </c>
      <c r="D151" s="232"/>
      <c r="E151" s="232"/>
      <c r="F151" s="232"/>
      <c r="G151" s="232"/>
      <c r="H151" s="232">
        <f>1-(H150/H55)</f>
        <v>0.74468085106382975</v>
      </c>
      <c r="I151" s="232">
        <v>0.76</v>
      </c>
      <c r="J151" s="232"/>
      <c r="K151" s="232"/>
      <c r="L151" s="232"/>
      <c r="M151" s="580"/>
      <c r="N151" s="580">
        <v>0.78</v>
      </c>
      <c r="O151" s="580"/>
      <c r="P151" s="580"/>
      <c r="Q151" s="232"/>
      <c r="R151" s="580"/>
      <c r="S151" s="580"/>
      <c r="T151" s="580"/>
      <c r="U151" s="580"/>
      <c r="V151" s="232"/>
      <c r="W151" s="580"/>
      <c r="X151" s="580"/>
      <c r="Y151" s="580"/>
      <c r="Z151" s="580"/>
      <c r="AA151" s="232"/>
      <c r="AB151" s="580"/>
      <c r="AC151" s="580"/>
      <c r="AD151" s="580"/>
      <c r="AE151" s="580"/>
      <c r="AF151" s="233"/>
      <c r="AG151" s="233"/>
      <c r="AH151" s="233"/>
      <c r="AI151" s="233"/>
      <c r="AJ151" s="233"/>
      <c r="AK151" s="233"/>
      <c r="AL151" s="233"/>
      <c r="AM151" s="233"/>
    </row>
    <row r="152" spans="2:44" hidden="1" outlineLevel="1">
      <c r="B152" s="197" t="s">
        <v>34</v>
      </c>
      <c r="C152" s="563"/>
      <c r="D152" s="563"/>
      <c r="E152" s="563"/>
      <c r="F152" s="563"/>
      <c r="G152" s="563"/>
      <c r="H152" s="563"/>
      <c r="I152" s="563"/>
      <c r="J152" s="563"/>
      <c r="K152" s="563"/>
      <c r="L152" s="563"/>
      <c r="M152" s="570">
        <f>2.2-N152</f>
        <v>0.90000000000000013</v>
      </c>
      <c r="N152" s="570">
        <v>1.3</v>
      </c>
      <c r="O152" s="570">
        <v>1.1000000000000001</v>
      </c>
      <c r="P152" s="570">
        <f>Q152-O152-N152-M152</f>
        <v>1.1999999999999995</v>
      </c>
      <c r="Q152" s="563">
        <v>4.5</v>
      </c>
      <c r="R152" s="570">
        <f>2.4-S152</f>
        <v>1.0999999999999999</v>
      </c>
      <c r="S152" s="570">
        <v>1.3</v>
      </c>
      <c r="T152" s="570">
        <v>1.1000000000000001</v>
      </c>
      <c r="U152" s="570"/>
      <c r="V152" s="563"/>
      <c r="W152" s="570"/>
      <c r="X152" s="570"/>
      <c r="Y152" s="570"/>
      <c r="Z152" s="570"/>
      <c r="AA152" s="563"/>
      <c r="AB152" s="570"/>
      <c r="AC152" s="570"/>
      <c r="AD152" s="570"/>
      <c r="AE152" s="570"/>
      <c r="AF152" s="563"/>
      <c r="AG152" s="563"/>
      <c r="AH152" s="563"/>
      <c r="AI152" s="563"/>
      <c r="AJ152" s="563"/>
      <c r="AK152" s="563"/>
      <c r="AL152" s="563"/>
      <c r="AM152" s="563"/>
    </row>
    <row r="153" spans="2:44" s="205" customFormat="1" hidden="1" outlineLevel="1">
      <c r="B153" s="231" t="s">
        <v>282</v>
      </c>
      <c r="C153" s="232"/>
      <c r="D153" s="232"/>
      <c r="E153" s="232"/>
      <c r="F153" s="232"/>
      <c r="G153" s="232"/>
      <c r="H153" s="232"/>
      <c r="I153" s="232"/>
      <c r="J153" s="232"/>
      <c r="K153" s="232"/>
      <c r="L153" s="232"/>
      <c r="M153" s="580">
        <f t="shared" ref="M153:T153" si="216">M152/M55</f>
        <v>0.22021042329336926</v>
      </c>
      <c r="N153" s="580">
        <f t="shared" si="216"/>
        <v>0.34880601019586799</v>
      </c>
      <c r="O153" s="580">
        <f t="shared" si="216"/>
        <v>0.28932140978432408</v>
      </c>
      <c r="P153" s="580">
        <f t="shared" si="216"/>
        <v>0.27372262773722617</v>
      </c>
      <c r="Q153" s="232">
        <f t="shared" si="216"/>
        <v>0.28125</v>
      </c>
      <c r="R153" s="580">
        <f t="shared" si="216"/>
        <v>0.25581395348837205</v>
      </c>
      <c r="S153" s="580">
        <f t="shared" si="216"/>
        <v>0.29115341545352746</v>
      </c>
      <c r="T153" s="580">
        <f t="shared" si="216"/>
        <v>0.22083918891788801</v>
      </c>
      <c r="U153" s="580"/>
      <c r="V153" s="232"/>
      <c r="W153" s="580"/>
      <c r="X153" s="580"/>
      <c r="Y153" s="580"/>
      <c r="Z153" s="580"/>
      <c r="AA153" s="232"/>
      <c r="AB153" s="580"/>
      <c r="AC153" s="580"/>
      <c r="AD153" s="580"/>
      <c r="AE153" s="580"/>
      <c r="AF153" s="233"/>
      <c r="AG153" s="233"/>
      <c r="AH153" s="233"/>
      <c r="AI153" s="233"/>
      <c r="AJ153" s="233"/>
      <c r="AK153" s="233"/>
      <c r="AL153" s="233"/>
      <c r="AM153" s="233"/>
    </row>
    <row r="154" spans="2:44" s="205" customFormat="1" hidden="1" outlineLevel="1">
      <c r="B154" s="231"/>
      <c r="C154" s="232"/>
      <c r="D154" s="232"/>
      <c r="E154" s="232"/>
      <c r="F154" s="232"/>
      <c r="G154" s="232"/>
      <c r="H154" s="232"/>
      <c r="I154" s="232"/>
      <c r="J154" s="232"/>
      <c r="K154" s="232"/>
      <c r="L154" s="232"/>
      <c r="M154" s="580"/>
      <c r="N154" s="580"/>
      <c r="O154" s="580"/>
      <c r="P154" s="580"/>
      <c r="Q154" s="232"/>
      <c r="R154" s="580"/>
      <c r="S154" s="580"/>
      <c r="T154" s="580"/>
      <c r="U154" s="580"/>
      <c r="V154" s="232"/>
      <c r="W154" s="580"/>
      <c r="X154" s="580"/>
      <c r="Y154" s="580"/>
      <c r="Z154" s="580"/>
      <c r="AA154" s="232"/>
      <c r="AB154" s="580"/>
      <c r="AC154" s="580"/>
      <c r="AD154" s="580"/>
      <c r="AE154" s="580"/>
      <c r="AF154" s="233"/>
      <c r="AG154" s="233"/>
      <c r="AH154" s="233"/>
      <c r="AI154" s="233"/>
      <c r="AJ154" s="233"/>
      <c r="AK154" s="233"/>
      <c r="AL154" s="233"/>
      <c r="AM154" s="233"/>
    </row>
    <row r="155" spans="2:44" s="413" customFormat="1" hidden="1" outlineLevel="1">
      <c r="B155" s="413" t="s">
        <v>448</v>
      </c>
      <c r="G155" s="563"/>
      <c r="L155" s="563"/>
      <c r="M155" s="416"/>
      <c r="N155" s="416"/>
      <c r="O155" s="416"/>
      <c r="P155" s="416"/>
      <c r="Q155" s="563"/>
      <c r="R155" s="416"/>
      <c r="S155" s="416"/>
      <c r="T155" s="416"/>
      <c r="U155" s="416"/>
      <c r="V155" s="563"/>
      <c r="W155" s="416"/>
      <c r="X155" s="416"/>
      <c r="Y155" s="416"/>
      <c r="Z155" s="416"/>
      <c r="AA155" s="563"/>
      <c r="AB155" s="416"/>
      <c r="AC155" s="416"/>
      <c r="AD155" s="416"/>
      <c r="AE155" s="416"/>
    </row>
    <row r="156" spans="2:44" s="413" customFormat="1" hidden="1" outlineLevel="1">
      <c r="B156" s="197" t="s">
        <v>34</v>
      </c>
      <c r="C156" s="563"/>
      <c r="D156" s="563"/>
      <c r="E156" s="563"/>
      <c r="F156" s="564"/>
      <c r="G156" s="563"/>
      <c r="H156" s="563">
        <f>86.2-H122-H160-H180-H186-H198-H204-H210-H216</f>
        <v>38.6</v>
      </c>
      <c r="I156" s="563">
        <v>7.8</v>
      </c>
      <c r="J156" s="563"/>
      <c r="K156" s="564"/>
      <c r="L156" s="563"/>
      <c r="M156" s="570">
        <v>8.1</v>
      </c>
      <c r="N156" s="570"/>
      <c r="O156" s="570">
        <v>10</v>
      </c>
      <c r="P156" s="581">
        <f>Q156-O156-N156-M156</f>
        <v>18.199999999999996</v>
      </c>
      <c r="Q156" s="563">
        <v>36.299999999999997</v>
      </c>
      <c r="R156" s="570">
        <v>10.199999999999999</v>
      </c>
      <c r="S156" s="570"/>
      <c r="T156" s="570">
        <v>10.3</v>
      </c>
      <c r="U156" s="581"/>
      <c r="V156" s="563">
        <v>40.6</v>
      </c>
      <c r="W156" s="570">
        <v>17.2</v>
      </c>
      <c r="X156" s="570"/>
      <c r="Y156" s="570"/>
      <c r="Z156" s="581"/>
      <c r="AA156" s="563"/>
      <c r="AB156" s="570"/>
      <c r="AC156" s="570"/>
      <c r="AD156" s="570"/>
      <c r="AE156" s="581"/>
      <c r="AF156" s="563"/>
      <c r="AG156" s="563"/>
      <c r="AH156" s="563"/>
      <c r="AI156" s="563"/>
      <c r="AJ156" s="563"/>
      <c r="AK156" s="563"/>
      <c r="AL156" s="563"/>
      <c r="AM156" s="563"/>
    </row>
    <row r="157" spans="2:44" s="205" customFormat="1" hidden="1" outlineLevel="1">
      <c r="B157" s="231" t="s">
        <v>282</v>
      </c>
      <c r="C157" s="232"/>
      <c r="D157" s="232"/>
      <c r="E157" s="232"/>
      <c r="F157" s="232"/>
      <c r="G157" s="232"/>
      <c r="H157" s="232"/>
      <c r="I157" s="232"/>
      <c r="J157" s="232"/>
      <c r="K157" s="232"/>
      <c r="L157" s="232"/>
      <c r="M157" s="580">
        <f>M156/M95</f>
        <v>4.0236051502145917E-2</v>
      </c>
      <c r="N157" s="580"/>
      <c r="O157" s="580">
        <f>O156/O95</f>
        <v>4.8109767244946068E-2</v>
      </c>
      <c r="P157" s="580">
        <f>P156/P95</f>
        <v>6.5036669511402925E-2</v>
      </c>
      <c r="Q157" s="232">
        <f>Q156/Q95</f>
        <v>3.8697911104765802E-2</v>
      </c>
      <c r="R157" s="580">
        <f>R156/R95</f>
        <v>4.3327188235394061E-2</v>
      </c>
      <c r="S157" s="580"/>
      <c r="T157" s="580">
        <f>T156/T95</f>
        <v>3.7022260083174281E-2</v>
      </c>
      <c r="U157" s="580"/>
      <c r="V157" s="232">
        <f>V156/V95</f>
        <v>3.5893273737987709E-2</v>
      </c>
      <c r="W157" s="580">
        <f>W156/W95</f>
        <v>5.6917833151328624E-2</v>
      </c>
      <c r="X157" s="580"/>
      <c r="Y157" s="580"/>
      <c r="Z157" s="580"/>
      <c r="AA157" s="232"/>
      <c r="AB157" s="580"/>
      <c r="AC157" s="580"/>
      <c r="AD157" s="580"/>
      <c r="AE157" s="580"/>
      <c r="AF157" s="233"/>
      <c r="AG157" s="233"/>
      <c r="AH157" s="233"/>
      <c r="AI157" s="233"/>
      <c r="AJ157" s="233"/>
      <c r="AK157" s="233"/>
      <c r="AL157" s="233"/>
      <c r="AM157" s="233"/>
    </row>
    <row r="158" spans="2:44" s="413" customFormat="1" hidden="1" outlineLevel="1">
      <c r="B158" s="231"/>
      <c r="G158" s="563"/>
      <c r="L158" s="563"/>
      <c r="M158" s="416"/>
      <c r="N158" s="416"/>
      <c r="O158" s="416"/>
      <c r="P158" s="416"/>
      <c r="Q158" s="563"/>
      <c r="R158" s="416"/>
      <c r="S158" s="416"/>
      <c r="T158" s="416"/>
      <c r="U158" s="416"/>
      <c r="V158" s="563"/>
      <c r="W158" s="416"/>
      <c r="X158" s="416"/>
      <c r="Y158" s="416"/>
      <c r="Z158" s="416"/>
      <c r="AA158" s="563"/>
      <c r="AB158" s="416"/>
      <c r="AC158" s="416"/>
      <c r="AD158" s="416"/>
      <c r="AE158" s="416"/>
    </row>
    <row r="159" spans="2:44" s="413" customFormat="1" hidden="1" outlineLevel="1">
      <c r="B159" s="413" t="s">
        <v>461</v>
      </c>
      <c r="G159" s="563"/>
      <c r="L159" s="563"/>
      <c r="M159" s="416"/>
      <c r="N159" s="416"/>
      <c r="O159" s="416"/>
      <c r="P159" s="416"/>
      <c r="Q159" s="563"/>
      <c r="R159" s="416"/>
      <c r="S159" s="416"/>
      <c r="T159" s="416"/>
      <c r="U159" s="416"/>
      <c r="V159" s="563"/>
      <c r="W159" s="416"/>
      <c r="X159" s="416"/>
      <c r="Y159" s="416"/>
      <c r="Z159" s="416"/>
      <c r="AA159" s="563"/>
      <c r="AB159" s="416"/>
      <c r="AC159" s="416"/>
      <c r="AD159" s="416"/>
      <c r="AE159" s="416"/>
    </row>
    <row r="160" spans="2:44" s="413" customFormat="1" hidden="1" outlineLevel="1">
      <c r="B160" s="197" t="s">
        <v>34</v>
      </c>
      <c r="C160" s="563"/>
      <c r="D160" s="563"/>
      <c r="E160" s="563"/>
      <c r="F160" s="563"/>
      <c r="G160" s="563"/>
      <c r="H160" s="563">
        <f>M160-19.4</f>
        <v>4.600000000000005</v>
      </c>
      <c r="I160" s="563">
        <v>18.8</v>
      </c>
      <c r="J160" s="563"/>
      <c r="K160" s="563"/>
      <c r="L160" s="563"/>
      <c r="M160" s="570">
        <f>32-M130-M138-M146-M152</f>
        <v>24.000000000000004</v>
      </c>
      <c r="N160" s="570">
        <v>24.7</v>
      </c>
      <c r="O160" s="570">
        <f>24.3-O146-O152-O138-O130</f>
        <v>15</v>
      </c>
      <c r="P160" s="570">
        <f>Q160-O160-N160-M160-P146-P152</f>
        <v>36.5</v>
      </c>
      <c r="Q160" s="563">
        <f>138.9-Q130-Q138-Q146-Q152</f>
        <v>102.60000000000001</v>
      </c>
      <c r="R160" s="570">
        <f>30.9-R152-R146-R138-R130</f>
        <v>20.700000000000003</v>
      </c>
      <c r="S160" s="570">
        <v>24.1</v>
      </c>
      <c r="T160" s="570">
        <f>27.9-T146-T152</f>
        <v>25.799999999999997</v>
      </c>
      <c r="U160" s="570"/>
      <c r="V160" s="563">
        <v>96.9</v>
      </c>
      <c r="W160" s="570">
        <v>17.5</v>
      </c>
      <c r="X160" s="570"/>
      <c r="Y160" s="570"/>
      <c r="Z160" s="570"/>
      <c r="AA160" s="563"/>
      <c r="AB160" s="570"/>
      <c r="AC160" s="570"/>
      <c r="AD160" s="570"/>
      <c r="AE160" s="570"/>
      <c r="AF160" s="563"/>
      <c r="AG160" s="563"/>
      <c r="AH160" s="563"/>
      <c r="AI160" s="563"/>
      <c r="AJ160" s="563"/>
      <c r="AK160" s="563"/>
      <c r="AL160" s="563"/>
      <c r="AM160" s="563"/>
    </row>
    <row r="161" spans="2:44" s="205" customFormat="1" hidden="1" outlineLevel="1">
      <c r="B161" s="231" t="s">
        <v>282</v>
      </c>
      <c r="C161" s="232"/>
      <c r="D161" s="232"/>
      <c r="E161" s="232"/>
      <c r="F161" s="232"/>
      <c r="G161" s="232"/>
      <c r="H161" s="232"/>
      <c r="I161" s="232"/>
      <c r="J161" s="232"/>
      <c r="K161" s="232"/>
      <c r="L161" s="232"/>
      <c r="M161" s="580">
        <f t="shared" ref="M161:T161" si="217">M160/M95</f>
        <v>0.11921793037672868</v>
      </c>
      <c r="N161" s="580">
        <f t="shared" si="217"/>
        <v>9.9187625239435709E-2</v>
      </c>
      <c r="O161" s="580">
        <f t="shared" si="217"/>
        <v>7.2164650867419106E-2</v>
      </c>
      <c r="P161" s="580">
        <f t="shared" si="217"/>
        <v>0.13043068336078062</v>
      </c>
      <c r="Q161" s="232">
        <f t="shared" si="217"/>
        <v>0.10937756692421412</v>
      </c>
      <c r="R161" s="580">
        <f t="shared" si="217"/>
        <v>8.7928705536535021E-2</v>
      </c>
      <c r="S161" s="580">
        <f t="shared" si="217"/>
        <v>8.0695656832511314E-2</v>
      </c>
      <c r="T161" s="580">
        <f t="shared" si="217"/>
        <v>9.2735369917077315E-2</v>
      </c>
      <c r="U161" s="580"/>
      <c r="V161" s="232">
        <f>V160/V95</f>
        <v>8.5666458749039637E-2</v>
      </c>
      <c r="W161" s="580">
        <f>W160/W95</f>
        <v>5.7910586055130865E-2</v>
      </c>
      <c r="X161" s="580"/>
      <c r="Y161" s="580"/>
      <c r="Z161" s="580"/>
      <c r="AA161" s="232"/>
      <c r="AB161" s="580"/>
      <c r="AC161" s="580"/>
      <c r="AD161" s="580"/>
      <c r="AE161" s="580"/>
      <c r="AF161" s="233"/>
      <c r="AG161" s="233"/>
      <c r="AH161" s="233"/>
      <c r="AI161" s="233"/>
      <c r="AJ161" s="233"/>
      <c r="AK161" s="233"/>
      <c r="AL161" s="233"/>
      <c r="AM161" s="233"/>
    </row>
    <row r="162" spans="2:44" s="413" customFormat="1" hidden="1" outlineLevel="1">
      <c r="B162" s="197" t="s">
        <v>462</v>
      </c>
      <c r="C162" s="223"/>
      <c r="D162" s="223"/>
      <c r="E162" s="223"/>
      <c r="F162" s="223"/>
      <c r="G162" s="223"/>
      <c r="H162" s="223"/>
      <c r="I162" s="223">
        <v>3.8</v>
      </c>
      <c r="J162" s="223"/>
      <c r="K162" s="223"/>
      <c r="L162" s="223"/>
      <c r="M162" s="570">
        <v>7.8</v>
      </c>
      <c r="N162" s="570">
        <v>13.7</v>
      </c>
      <c r="O162" s="570">
        <v>15.7</v>
      </c>
      <c r="P162" s="570">
        <f>Q162-O162-N162-M162</f>
        <v>21.799999999999997</v>
      </c>
      <c r="Q162" s="223">
        <v>59</v>
      </c>
      <c r="R162" s="570">
        <v>13.4</v>
      </c>
      <c r="S162" s="570">
        <v>15.8</v>
      </c>
      <c r="T162" s="570">
        <v>18.2</v>
      </c>
      <c r="U162" s="570"/>
      <c r="V162" s="563">
        <v>70.099999999999994</v>
      </c>
      <c r="W162" s="570">
        <v>13.6</v>
      </c>
      <c r="X162" s="570"/>
      <c r="Y162" s="570"/>
      <c r="Z162" s="570"/>
      <c r="AA162" s="563"/>
      <c r="AB162" s="570"/>
      <c r="AC162" s="570"/>
      <c r="AD162" s="570"/>
      <c r="AE162" s="570"/>
      <c r="AF162" s="223"/>
      <c r="AG162" s="223"/>
      <c r="AH162" s="223"/>
      <c r="AI162" s="223"/>
      <c r="AJ162" s="223"/>
      <c r="AK162" s="223"/>
      <c r="AL162" s="223"/>
      <c r="AM162" s="223"/>
    </row>
    <row r="163" spans="2:44" s="205" customFormat="1" hidden="1" outlineLevel="1">
      <c r="B163" s="231" t="s">
        <v>282</v>
      </c>
      <c r="C163" s="232"/>
      <c r="D163" s="232"/>
      <c r="E163" s="232"/>
      <c r="F163" s="232"/>
      <c r="G163" s="232"/>
      <c r="H163" s="232"/>
      <c r="I163" s="232"/>
      <c r="J163" s="232"/>
      <c r="K163" s="232"/>
      <c r="L163" s="232"/>
      <c r="M163" s="580">
        <f t="shared" ref="M163:T163" si="218">M162/M95</f>
        <v>3.8745827372436814E-2</v>
      </c>
      <c r="N163" s="580">
        <f t="shared" si="218"/>
        <v>5.5014998614585801E-2</v>
      </c>
      <c r="O163" s="580">
        <f t="shared" si="218"/>
        <v>7.5532334574565319E-2</v>
      </c>
      <c r="P163" s="580">
        <f t="shared" si="218"/>
        <v>7.7901065678493614E-2</v>
      </c>
      <c r="Q163" s="232">
        <f t="shared" si="218"/>
        <v>6.2897431272208884E-2</v>
      </c>
      <c r="R163" s="580">
        <f t="shared" si="218"/>
        <v>5.6920031603360829E-2</v>
      </c>
      <c r="S163" s="580">
        <f t="shared" si="218"/>
        <v>5.290420655409455E-2</v>
      </c>
      <c r="T163" s="580">
        <f t="shared" si="218"/>
        <v>6.5417974127550668E-2</v>
      </c>
      <c r="U163" s="580"/>
      <c r="V163" s="232">
        <f>V162/V95</f>
        <v>6.1973361798840838E-2</v>
      </c>
      <c r="W163" s="580">
        <f>W162/W95</f>
        <v>4.5004798305701699E-2</v>
      </c>
      <c r="X163" s="580"/>
      <c r="Y163" s="580"/>
      <c r="Z163" s="580"/>
      <c r="AA163" s="232"/>
      <c r="AB163" s="580"/>
      <c r="AC163" s="580"/>
      <c r="AD163" s="580"/>
      <c r="AE163" s="580"/>
      <c r="AF163" s="233"/>
      <c r="AG163" s="233"/>
      <c r="AH163" s="233"/>
      <c r="AI163" s="233"/>
      <c r="AJ163" s="233"/>
      <c r="AK163" s="233"/>
      <c r="AL163" s="233"/>
      <c r="AM163" s="233"/>
    </row>
    <row r="164" spans="2:44" collapsed="1">
      <c r="B164" s="67"/>
      <c r="C164" s="67"/>
      <c r="D164" s="67"/>
      <c r="E164" s="67"/>
      <c r="F164" s="67"/>
      <c r="G164" s="234"/>
      <c r="H164" s="67"/>
      <c r="I164" s="67"/>
      <c r="J164" s="67"/>
      <c r="K164" s="67"/>
      <c r="L164" s="234"/>
      <c r="M164" s="582"/>
      <c r="N164" s="582"/>
      <c r="O164" s="582"/>
      <c r="P164" s="582"/>
      <c r="Q164" s="234"/>
      <c r="R164" s="582"/>
      <c r="S164" s="582"/>
      <c r="T164" s="582"/>
      <c r="U164" s="582"/>
      <c r="V164" s="234"/>
      <c r="W164" s="582"/>
      <c r="X164" s="582"/>
      <c r="Y164" s="582"/>
      <c r="Z164" s="582"/>
      <c r="AA164" s="234"/>
      <c r="AB164" s="582"/>
      <c r="AC164" s="582"/>
      <c r="AD164" s="582"/>
      <c r="AE164" s="582"/>
      <c r="AF164" s="67"/>
      <c r="AG164" s="67"/>
      <c r="AH164" s="67"/>
      <c r="AI164" s="67"/>
      <c r="AJ164" s="67"/>
      <c r="AK164" s="67"/>
      <c r="AL164" s="67"/>
      <c r="AM164" s="67"/>
      <c r="AN164" s="67"/>
      <c r="AO164" s="67"/>
      <c r="AP164" s="67"/>
      <c r="AQ164" s="67"/>
      <c r="AR164" s="67"/>
    </row>
    <row r="165" spans="2:44">
      <c r="B165" s="64" t="s">
        <v>275</v>
      </c>
      <c r="G165" s="223"/>
      <c r="L165" s="223"/>
      <c r="M165" s="416"/>
      <c r="N165" s="416"/>
      <c r="O165" s="416"/>
      <c r="P165" s="416"/>
      <c r="Q165" s="223"/>
      <c r="R165" s="416"/>
      <c r="S165" s="416"/>
      <c r="T165" s="416"/>
      <c r="U165" s="416"/>
      <c r="V165" s="223"/>
      <c r="W165" s="416"/>
      <c r="X165" s="416"/>
      <c r="Y165" s="416"/>
      <c r="Z165" s="416"/>
      <c r="AA165" s="223"/>
      <c r="AB165" s="416"/>
      <c r="AC165" s="416"/>
      <c r="AD165" s="416"/>
      <c r="AE165" s="416"/>
      <c r="AN165" s="413"/>
      <c r="AO165" s="413"/>
      <c r="AP165" s="413"/>
      <c r="AQ165" s="413"/>
      <c r="AR165" s="413"/>
    </row>
    <row r="166" spans="2:44" s="205" customFormat="1">
      <c r="B166" s="197" t="s">
        <v>33</v>
      </c>
      <c r="C166" s="223"/>
      <c r="D166" s="223"/>
      <c r="E166" s="223"/>
      <c r="F166" s="223"/>
      <c r="G166" s="223"/>
      <c r="H166" s="223"/>
      <c r="I166" s="223"/>
      <c r="J166" s="223"/>
      <c r="K166" s="223"/>
      <c r="L166" s="223"/>
      <c r="M166" s="570"/>
      <c r="N166" s="570"/>
      <c r="O166" s="570"/>
      <c r="P166" s="570"/>
      <c r="Q166" s="223"/>
      <c r="R166" s="570"/>
      <c r="S166" s="570"/>
      <c r="T166" s="570"/>
      <c r="U166" s="570"/>
      <c r="V166" s="223"/>
      <c r="W166" s="570"/>
      <c r="X166" s="570"/>
      <c r="Y166" s="570"/>
      <c r="Z166" s="570"/>
      <c r="AA166" s="223">
        <f t="shared" ref="AA166:AR166" si="219">(1-AA167)*AA73</f>
        <v>0</v>
      </c>
      <c r="AB166" s="570">
        <f t="shared" si="219"/>
        <v>0</v>
      </c>
      <c r="AC166" s="570">
        <f t="shared" si="219"/>
        <v>0</v>
      </c>
      <c r="AD166" s="570">
        <f t="shared" si="219"/>
        <v>0.49999999999999989</v>
      </c>
      <c r="AE166" s="570">
        <f t="shared" si="219"/>
        <v>2.4891641273854792</v>
      </c>
      <c r="AF166" s="563">
        <f t="shared" si="219"/>
        <v>2.9891641273854792</v>
      </c>
      <c r="AG166" s="563">
        <f t="shared" si="219"/>
        <v>7.9394590554660223</v>
      </c>
      <c r="AH166" s="563">
        <f t="shared" si="219"/>
        <v>14.755085026617882</v>
      </c>
      <c r="AI166" s="563">
        <f t="shared" si="219"/>
        <v>23.669118150026023</v>
      </c>
      <c r="AJ166" s="563">
        <f t="shared" si="219"/>
        <v>29.488151189249827</v>
      </c>
      <c r="AK166" s="563">
        <f t="shared" si="219"/>
        <v>32.343379287091373</v>
      </c>
      <c r="AL166" s="563">
        <f t="shared" si="219"/>
        <v>34.845350679372117</v>
      </c>
      <c r="AM166" s="563">
        <f t="shared" si="219"/>
        <v>37.546082827941483</v>
      </c>
      <c r="AN166" s="563">
        <f t="shared" si="219"/>
        <v>40.454549841048461</v>
      </c>
      <c r="AO166" s="563">
        <f t="shared" si="219"/>
        <v>43.588801884241853</v>
      </c>
      <c r="AP166" s="563">
        <f t="shared" si="219"/>
        <v>46.965735573250321</v>
      </c>
      <c r="AQ166" s="563">
        <f t="shared" si="219"/>
        <v>50.604333629776143</v>
      </c>
      <c r="AR166" s="563">
        <f t="shared" si="219"/>
        <v>54.524812810777924</v>
      </c>
    </row>
    <row r="167" spans="2:44" s="205" customFormat="1">
      <c r="B167" s="231" t="s">
        <v>279</v>
      </c>
      <c r="C167" s="232"/>
      <c r="D167" s="232"/>
      <c r="E167" s="232"/>
      <c r="F167" s="232"/>
      <c r="G167" s="232"/>
      <c r="H167" s="232"/>
      <c r="I167" s="232"/>
      <c r="J167" s="232"/>
      <c r="K167" s="232"/>
      <c r="L167" s="232"/>
      <c r="M167" s="580"/>
      <c r="N167" s="580"/>
      <c r="O167" s="580"/>
      <c r="P167" s="580"/>
      <c r="Q167" s="232"/>
      <c r="R167" s="580"/>
      <c r="S167" s="580"/>
      <c r="T167" s="580"/>
      <c r="U167" s="580"/>
      <c r="V167" s="232"/>
      <c r="W167" s="580"/>
      <c r="X167" s="580"/>
      <c r="Y167" s="580"/>
      <c r="Z167" s="580"/>
      <c r="AA167" s="232">
        <f>V167</f>
        <v>0</v>
      </c>
      <c r="AB167" s="580">
        <f>AF167</f>
        <v>0.8</v>
      </c>
      <c r="AC167" s="580">
        <f>AB167</f>
        <v>0.8</v>
      </c>
      <c r="AD167" s="580">
        <f t="shared" ref="AD167:AE167" si="220">AC167</f>
        <v>0.8</v>
      </c>
      <c r="AE167" s="580">
        <f t="shared" si="220"/>
        <v>0.8</v>
      </c>
      <c r="AF167" s="233">
        <v>0.8</v>
      </c>
      <c r="AG167" s="233">
        <f t="shared" ref="AG167:AM167" si="221">AF167</f>
        <v>0.8</v>
      </c>
      <c r="AH167" s="233">
        <f t="shared" si="221"/>
        <v>0.8</v>
      </c>
      <c r="AI167" s="233">
        <f t="shared" si="221"/>
        <v>0.8</v>
      </c>
      <c r="AJ167" s="233">
        <f t="shared" si="221"/>
        <v>0.8</v>
      </c>
      <c r="AK167" s="233">
        <f t="shared" si="221"/>
        <v>0.8</v>
      </c>
      <c r="AL167" s="233">
        <f t="shared" si="221"/>
        <v>0.8</v>
      </c>
      <c r="AM167" s="233">
        <f t="shared" si="221"/>
        <v>0.8</v>
      </c>
      <c r="AN167" s="233">
        <f t="shared" ref="AN167" si="222">AM167</f>
        <v>0.8</v>
      </c>
      <c r="AO167" s="233">
        <f t="shared" ref="AO167" si="223">AN167</f>
        <v>0.8</v>
      </c>
      <c r="AP167" s="233">
        <f t="shared" ref="AP167" si="224">AO167</f>
        <v>0.8</v>
      </c>
      <c r="AQ167" s="233">
        <f t="shared" ref="AQ167" si="225">AP167</f>
        <v>0.8</v>
      </c>
      <c r="AR167" s="233">
        <f t="shared" ref="AR167" si="226">AQ167</f>
        <v>0.8</v>
      </c>
    </row>
    <row r="168" spans="2:44" hidden="1" outlineLevel="1">
      <c r="B168" s="197" t="s">
        <v>34</v>
      </c>
      <c r="C168" s="563"/>
      <c r="D168" s="563"/>
      <c r="E168" s="563"/>
      <c r="F168" s="563"/>
      <c r="G168" s="563"/>
      <c r="H168" s="563"/>
      <c r="I168" s="563">
        <v>16.899999999999999</v>
      </c>
      <c r="J168" s="563"/>
      <c r="K168" s="563"/>
      <c r="L168" s="563"/>
      <c r="M168" s="570">
        <v>16.7</v>
      </c>
      <c r="N168" s="570">
        <v>17</v>
      </c>
      <c r="O168" s="570">
        <v>18.600000000000001</v>
      </c>
      <c r="P168" s="570">
        <f>Q168-O168-N168-M168</f>
        <v>21.7</v>
      </c>
      <c r="Q168" s="563">
        <v>74</v>
      </c>
      <c r="R168" s="570">
        <v>19</v>
      </c>
      <c r="S168" s="570">
        <v>20.5</v>
      </c>
      <c r="T168" s="570">
        <v>19.5</v>
      </c>
      <c r="U168" s="570">
        <f>V168-T168-S168-R168</f>
        <v>29.599999999999994</v>
      </c>
      <c r="V168" s="563">
        <v>88.6</v>
      </c>
      <c r="W168" s="570">
        <v>25.8</v>
      </c>
      <c r="X168" s="570">
        <f>S168*(1+X169)</f>
        <v>21.73</v>
      </c>
      <c r="Y168" s="570">
        <f>T168*(1+Y169)</f>
        <v>20.67</v>
      </c>
      <c r="Z168" s="570">
        <f>U168*(1+Z169)</f>
        <v>31.375999999999994</v>
      </c>
      <c r="AA168" s="563">
        <f>Z168+Y168+X168+W168</f>
        <v>99.575999999999993</v>
      </c>
      <c r="AB168" s="570"/>
      <c r="AC168" s="570"/>
      <c r="AD168" s="570"/>
      <c r="AE168" s="570"/>
      <c r="AF168" s="563">
        <f>AA168*(1+AF169)</f>
        <v>111.91173562076749</v>
      </c>
      <c r="AG168" s="563">
        <f t="shared" ref="AG168:AM168" si="227">AF168*(1+AG169)</f>
        <v>125.21609579338084</v>
      </c>
      <c r="AH168" s="563">
        <f t="shared" si="227"/>
        <v>139.47603266194983</v>
      </c>
      <c r="AI168" s="563">
        <f t="shared" si="227"/>
        <v>154.66254831759127</v>
      </c>
      <c r="AJ168" s="563">
        <f t="shared" si="227"/>
        <v>170.72929882227649</v>
      </c>
      <c r="AK168" s="563">
        <f t="shared" si="227"/>
        <v>187.61145894622641</v>
      </c>
      <c r="AL168" s="563">
        <f t="shared" si="227"/>
        <v>205.22491397460914</v>
      </c>
      <c r="AM168" s="563">
        <f t="shared" si="227"/>
        <v>223.46584171219433</v>
      </c>
    </row>
    <row r="169" spans="2:44" s="205" customFormat="1" hidden="1" outlineLevel="1">
      <c r="B169" s="231" t="s">
        <v>273</v>
      </c>
      <c r="C169" s="232"/>
      <c r="D169" s="232"/>
      <c r="E169" s="232"/>
      <c r="F169" s="232"/>
      <c r="G169" s="232"/>
      <c r="H169" s="232"/>
      <c r="I169" s="232"/>
      <c r="J169" s="232"/>
      <c r="K169" s="232"/>
      <c r="L169" s="232"/>
      <c r="M169" s="580"/>
      <c r="N169" s="580"/>
      <c r="O169" s="580"/>
      <c r="P169" s="580"/>
      <c r="Q169" s="232"/>
      <c r="R169" s="580">
        <f t="shared" ref="R169:W169" si="228">R168/M168-1</f>
        <v>0.13772455089820368</v>
      </c>
      <c r="S169" s="580">
        <f t="shared" si="228"/>
        <v>0.20588235294117641</v>
      </c>
      <c r="T169" s="580">
        <f t="shared" si="228"/>
        <v>4.8387096774193505E-2</v>
      </c>
      <c r="U169" s="580">
        <f t="shared" si="228"/>
        <v>0.36405529953917037</v>
      </c>
      <c r="V169" s="232">
        <f t="shared" si="228"/>
        <v>0.19729729729729728</v>
      </c>
      <c r="W169" s="580">
        <f t="shared" si="228"/>
        <v>0.35789473684210527</v>
      </c>
      <c r="X169" s="580">
        <v>0.06</v>
      </c>
      <c r="Y169" s="580">
        <v>0.06</v>
      </c>
      <c r="Z169" s="580">
        <v>0.06</v>
      </c>
      <c r="AA169" s="232">
        <f>AA168/V168-1</f>
        <v>0.12388261851015803</v>
      </c>
      <c r="AB169" s="580"/>
      <c r="AC169" s="580"/>
      <c r="AD169" s="580"/>
      <c r="AE169" s="580"/>
      <c r="AF169" s="233">
        <f t="shared" ref="AF169" si="229">AA169</f>
        <v>0.12388261851015803</v>
      </c>
      <c r="AG169" s="233">
        <f t="shared" ref="AG169:AM169" si="230">AF169-0.005</f>
        <v>0.11888261851015802</v>
      </c>
      <c r="AH169" s="233">
        <f t="shared" si="230"/>
        <v>0.11388261851015802</v>
      </c>
      <c r="AI169" s="233">
        <f t="shared" si="230"/>
        <v>0.10888261851015801</v>
      </c>
      <c r="AJ169" s="233">
        <f t="shared" si="230"/>
        <v>0.10388261851015801</v>
      </c>
      <c r="AK169" s="233">
        <f t="shared" si="230"/>
        <v>9.8882618510158005E-2</v>
      </c>
      <c r="AL169" s="233">
        <f t="shared" si="230"/>
        <v>9.3882618510158E-2</v>
      </c>
      <c r="AM169" s="233">
        <f t="shared" si="230"/>
        <v>8.8882618510157996E-2</v>
      </c>
    </row>
    <row r="170" spans="2:44" hidden="1" outlineLevel="1">
      <c r="G170" s="563"/>
      <c r="L170" s="563"/>
      <c r="M170" s="416"/>
      <c r="N170" s="416"/>
      <c r="O170" s="416"/>
      <c r="P170" s="416"/>
      <c r="Q170" s="563"/>
      <c r="R170" s="416"/>
      <c r="S170" s="416"/>
      <c r="T170" s="416"/>
      <c r="U170" s="416"/>
      <c r="V170" s="563"/>
      <c r="W170" s="416"/>
      <c r="X170" s="416"/>
      <c r="Y170" s="416"/>
      <c r="Z170" s="416"/>
      <c r="AA170" s="563"/>
      <c r="AB170" s="416"/>
      <c r="AC170" s="416"/>
      <c r="AD170" s="416"/>
      <c r="AE170" s="416"/>
    </row>
    <row r="171" spans="2:44" s="413" customFormat="1" collapsed="1">
      <c r="B171" s="413" t="s">
        <v>409</v>
      </c>
      <c r="G171" s="563"/>
      <c r="L171" s="563"/>
      <c r="M171" s="416"/>
      <c r="N171" s="416"/>
      <c r="O171" s="416"/>
      <c r="P171" s="416"/>
      <c r="Q171" s="563"/>
      <c r="R171" s="416"/>
      <c r="S171" s="416"/>
      <c r="T171" s="416"/>
      <c r="U171" s="416"/>
      <c r="V171" s="563"/>
      <c r="W171" s="416"/>
      <c r="X171" s="416"/>
      <c r="Y171" s="416"/>
      <c r="Z171" s="416"/>
      <c r="AA171" s="563"/>
      <c r="AB171" s="416"/>
      <c r="AC171" s="416"/>
      <c r="AD171" s="416"/>
      <c r="AE171" s="416"/>
    </row>
    <row r="172" spans="2:44" s="413" customFormat="1">
      <c r="B172" s="197" t="s">
        <v>33</v>
      </c>
      <c r="G172" s="563"/>
      <c r="L172" s="563"/>
      <c r="M172" s="416"/>
      <c r="N172" s="416"/>
      <c r="O172" s="416"/>
      <c r="P172" s="416"/>
      <c r="Q172" s="563"/>
      <c r="R172" s="416"/>
      <c r="S172" s="416"/>
      <c r="T172" s="416"/>
      <c r="U172" s="416"/>
      <c r="V172" s="563"/>
      <c r="W172" s="416"/>
      <c r="X172" s="416"/>
      <c r="Y172" s="416"/>
      <c r="Z172" s="416"/>
      <c r="AA172" s="563"/>
      <c r="AB172" s="416"/>
      <c r="AC172" s="416"/>
      <c r="AD172" s="416"/>
      <c r="AE172" s="416"/>
      <c r="AF172" s="563">
        <f t="shared" ref="AF172:AR172" si="231">(1-AF173)*AF85</f>
        <v>0</v>
      </c>
      <c r="AG172" s="563">
        <f t="shared" si="231"/>
        <v>0</v>
      </c>
      <c r="AH172" s="563">
        <f t="shared" si="231"/>
        <v>14.302383159789089</v>
      </c>
      <c r="AI172" s="563">
        <f t="shared" si="231"/>
        <v>35.070813611126987</v>
      </c>
      <c r="AJ172" s="563">
        <f t="shared" si="231"/>
        <v>56.55177476741401</v>
      </c>
      <c r="AK172" s="563">
        <f t="shared" si="231"/>
        <v>85.878189240278445</v>
      </c>
      <c r="AL172" s="563">
        <f t="shared" si="231"/>
        <v>122.31252669400054</v>
      </c>
      <c r="AM172" s="563">
        <f t="shared" si="231"/>
        <v>156.33067665689458</v>
      </c>
      <c r="AN172" s="563">
        <f t="shared" si="231"/>
        <v>191.20373329642175</v>
      </c>
      <c r="AO172" s="563">
        <f t="shared" si="231"/>
        <v>219.91462887262355</v>
      </c>
      <c r="AP172" s="563">
        <f t="shared" si="231"/>
        <v>242.73984678050729</v>
      </c>
      <c r="AQ172" s="563">
        <f t="shared" si="231"/>
        <v>260.21732312429549</v>
      </c>
      <c r="AR172" s="563">
        <f t="shared" si="231"/>
        <v>273.87855964635833</v>
      </c>
    </row>
    <row r="173" spans="2:44" s="205" customFormat="1">
      <c r="B173" s="231" t="s">
        <v>279</v>
      </c>
      <c r="C173" s="232"/>
      <c r="D173" s="232"/>
      <c r="E173" s="232"/>
      <c r="F173" s="232"/>
      <c r="G173" s="232"/>
      <c r="H173" s="232"/>
      <c r="I173" s="232"/>
      <c r="J173" s="232"/>
      <c r="K173" s="232"/>
      <c r="L173" s="232"/>
      <c r="M173" s="580"/>
      <c r="N173" s="580"/>
      <c r="O173" s="580"/>
      <c r="P173" s="580"/>
      <c r="Q173" s="232"/>
      <c r="R173" s="580"/>
      <c r="S173" s="580"/>
      <c r="T173" s="580"/>
      <c r="U173" s="580"/>
      <c r="V173" s="232"/>
      <c r="W173" s="580"/>
      <c r="X173" s="580"/>
      <c r="Y173" s="580"/>
      <c r="Z173" s="580"/>
      <c r="AA173" s="232"/>
      <c r="AB173" s="580"/>
      <c r="AC173" s="580"/>
      <c r="AD173" s="580"/>
      <c r="AE173" s="580"/>
      <c r="AF173" s="233">
        <v>0.8</v>
      </c>
      <c r="AG173" s="233">
        <v>0.75</v>
      </c>
      <c r="AH173" s="233">
        <v>0.77</v>
      </c>
      <c r="AI173" s="233">
        <v>0.78</v>
      </c>
      <c r="AJ173" s="233">
        <v>0.79</v>
      </c>
      <c r="AK173" s="233">
        <v>0.8</v>
      </c>
      <c r="AL173" s="233">
        <v>0.81</v>
      </c>
      <c r="AM173" s="233">
        <v>0.82</v>
      </c>
      <c r="AN173" s="233">
        <f>AM173</f>
        <v>0.82</v>
      </c>
      <c r="AO173" s="233">
        <f t="shared" ref="AO173:AR173" si="232">AN173</f>
        <v>0.82</v>
      </c>
      <c r="AP173" s="233">
        <f t="shared" si="232"/>
        <v>0.82</v>
      </c>
      <c r="AQ173" s="233">
        <f t="shared" si="232"/>
        <v>0.82</v>
      </c>
      <c r="AR173" s="233">
        <f t="shared" si="232"/>
        <v>0.82</v>
      </c>
    </row>
    <row r="174" spans="2:44" s="413" customFormat="1" hidden="1" outlineLevel="1">
      <c r="B174" s="197" t="s">
        <v>34</v>
      </c>
      <c r="C174" s="563"/>
      <c r="D174" s="563"/>
      <c r="E174" s="563"/>
      <c r="F174" s="563"/>
      <c r="G174" s="563"/>
      <c r="H174" s="563"/>
      <c r="I174" s="563"/>
      <c r="J174" s="563"/>
      <c r="K174" s="563"/>
      <c r="L174" s="563"/>
      <c r="M174" s="570">
        <f>16.3-N174</f>
        <v>5.8000000000000007</v>
      </c>
      <c r="N174" s="570">
        <v>10.5</v>
      </c>
      <c r="O174" s="570">
        <v>6</v>
      </c>
      <c r="P174" s="570">
        <v>5</v>
      </c>
      <c r="Q174" s="563">
        <f>P174+O174+N174+M174</f>
        <v>27.3</v>
      </c>
      <c r="R174" s="570">
        <f>26.1-S174</f>
        <v>11.700000000000001</v>
      </c>
      <c r="S174" s="570">
        <v>14.4</v>
      </c>
      <c r="T174" s="570">
        <v>12.8</v>
      </c>
      <c r="U174" s="570">
        <f>V174-T174-S174-R174</f>
        <v>19.999999999999993</v>
      </c>
      <c r="V174" s="563">
        <v>58.9</v>
      </c>
      <c r="W174" s="570">
        <v>21.3</v>
      </c>
      <c r="X174" s="570">
        <f>S174*(1+X175)</f>
        <v>16.559999999999999</v>
      </c>
      <c r="Y174" s="570">
        <f>T174*(1+Y175)</f>
        <v>15.36</v>
      </c>
      <c r="Z174" s="570">
        <f>U174*(1+Z175)</f>
        <v>24.999999999999993</v>
      </c>
      <c r="AA174" s="563">
        <f>Z174+Y174+X174+W174</f>
        <v>78.219999999999985</v>
      </c>
      <c r="AB174" s="570"/>
      <c r="AC174" s="570"/>
      <c r="AD174" s="570"/>
      <c r="AE174" s="570"/>
      <c r="AF174" s="563">
        <f>AA174*(1+AF175)</f>
        <v>101.53062241086583</v>
      </c>
      <c r="AG174" s="563">
        <f t="shared" ref="AG174:AM174" si="233">AF174*(1+AG175)</f>
        <v>126.71159579249446</v>
      </c>
      <c r="AH174" s="563">
        <f t="shared" si="233"/>
        <v>153.06932875768359</v>
      </c>
      <c r="AI174" s="563">
        <f t="shared" si="233"/>
        <v>180.31774831667016</v>
      </c>
      <c r="AJ174" s="563">
        <f t="shared" si="233"/>
        <v>211.51516791295242</v>
      </c>
      <c r="AK174" s="563">
        <f t="shared" si="233"/>
        <v>247.052588993879</v>
      </c>
      <c r="AL174" s="563">
        <f t="shared" si="233"/>
        <v>287.32551655287267</v>
      </c>
      <c r="AM174" s="563">
        <f t="shared" si="233"/>
        <v>332.72685072193178</v>
      </c>
    </row>
    <row r="175" spans="2:44" s="205" customFormat="1" hidden="1" outlineLevel="1">
      <c r="B175" s="231" t="s">
        <v>273</v>
      </c>
      <c r="C175" s="232"/>
      <c r="D175" s="232"/>
      <c r="E175" s="232"/>
      <c r="F175" s="232"/>
      <c r="G175" s="232"/>
      <c r="H175" s="232"/>
      <c r="I175" s="232"/>
      <c r="J175" s="232"/>
      <c r="K175" s="232"/>
      <c r="L175" s="232"/>
      <c r="M175" s="580"/>
      <c r="N175" s="580"/>
      <c r="O175" s="580"/>
      <c r="P175" s="580"/>
      <c r="Q175" s="232"/>
      <c r="R175" s="580">
        <f t="shared" ref="R175:W175" si="234">R174/M174-1</f>
        <v>1.0172413793103448</v>
      </c>
      <c r="S175" s="580">
        <f t="shared" si="234"/>
        <v>0.37142857142857144</v>
      </c>
      <c r="T175" s="580">
        <f t="shared" si="234"/>
        <v>1.1333333333333333</v>
      </c>
      <c r="U175" s="580">
        <f t="shared" si="234"/>
        <v>2.9999999999999987</v>
      </c>
      <c r="V175" s="232">
        <f t="shared" si="234"/>
        <v>1.1575091575091574</v>
      </c>
      <c r="W175" s="580">
        <f t="shared" si="234"/>
        <v>0.82051282051282048</v>
      </c>
      <c r="X175" s="580">
        <v>0.15</v>
      </c>
      <c r="Y175" s="580">
        <v>0.2</v>
      </c>
      <c r="Z175" s="580">
        <v>0.25</v>
      </c>
      <c r="AA175" s="232">
        <f>AA174/V174-1</f>
        <v>0.32801358234295397</v>
      </c>
      <c r="AB175" s="580"/>
      <c r="AC175" s="580"/>
      <c r="AD175" s="580"/>
      <c r="AE175" s="580"/>
      <c r="AF175" s="233">
        <f>AA175-0.03</f>
        <v>0.29801358234295394</v>
      </c>
      <c r="AG175" s="233">
        <f>AF175-0.05</f>
        <v>0.24801358234295395</v>
      </c>
      <c r="AH175" s="233">
        <f>AG175-0.04</f>
        <v>0.20801358234295395</v>
      </c>
      <c r="AI175" s="233">
        <f>AH175-0.03</f>
        <v>0.17801358234295395</v>
      </c>
      <c r="AJ175" s="233">
        <f t="shared" ref="AJ175:AL175" si="235">AI175-0.005</f>
        <v>0.17301358234295394</v>
      </c>
      <c r="AK175" s="233">
        <f t="shared" si="235"/>
        <v>0.16801358234295394</v>
      </c>
      <c r="AL175" s="233">
        <f t="shared" si="235"/>
        <v>0.16301358234295393</v>
      </c>
      <c r="AM175" s="233">
        <f>AL175-0.005</f>
        <v>0.15801358234295393</v>
      </c>
    </row>
    <row r="176" spans="2:44" s="413" customFormat="1" hidden="1" outlineLevel="1">
      <c r="G176" s="563"/>
      <c r="L176" s="563"/>
      <c r="M176" s="416"/>
      <c r="N176" s="416"/>
      <c r="O176" s="416"/>
      <c r="P176" s="416"/>
      <c r="Q176" s="563"/>
      <c r="R176" s="416"/>
      <c r="S176" s="416"/>
      <c r="T176" s="416"/>
      <c r="U176" s="416"/>
      <c r="V176" s="563"/>
      <c r="W176" s="416"/>
      <c r="X176" s="416"/>
      <c r="Y176" s="416"/>
      <c r="Z176" s="416"/>
      <c r="AA176" s="563"/>
      <c r="AB176" s="416"/>
      <c r="AC176" s="416"/>
      <c r="AD176" s="416"/>
      <c r="AE176" s="416"/>
    </row>
    <row r="177" spans="2:44" collapsed="1">
      <c r="B177" s="64" t="s">
        <v>276</v>
      </c>
      <c r="G177" s="563"/>
      <c r="L177" s="563"/>
      <c r="M177" s="416"/>
      <c r="N177" s="416"/>
      <c r="O177" s="416"/>
      <c r="P177" s="416"/>
      <c r="Q177" s="563"/>
      <c r="R177" s="416"/>
      <c r="S177" s="416"/>
      <c r="T177" s="416"/>
      <c r="U177" s="416"/>
      <c r="V177" s="563"/>
      <c r="W177" s="416"/>
      <c r="X177" s="416"/>
      <c r="Y177" s="416"/>
      <c r="Z177" s="416"/>
      <c r="AA177" s="563"/>
      <c r="AB177" s="416"/>
      <c r="AC177" s="416"/>
      <c r="AD177" s="416"/>
      <c r="AE177" s="416"/>
    </row>
    <row r="178" spans="2:44" s="205" customFormat="1">
      <c r="B178" s="197" t="s">
        <v>33</v>
      </c>
      <c r="C178" s="563"/>
      <c r="D178" s="563"/>
      <c r="E178" s="563"/>
      <c r="F178" s="563"/>
      <c r="G178" s="563"/>
      <c r="H178" s="563"/>
      <c r="I178" s="563"/>
      <c r="J178" s="563"/>
      <c r="K178" s="563"/>
      <c r="L178" s="563"/>
      <c r="M178" s="570"/>
      <c r="N178" s="570"/>
      <c r="O178" s="570"/>
      <c r="P178" s="570"/>
      <c r="Q178" s="563"/>
      <c r="R178" s="570"/>
      <c r="S178" s="570"/>
      <c r="T178" s="570"/>
      <c r="U178" s="570"/>
      <c r="V178" s="563"/>
      <c r="W178" s="570"/>
      <c r="X178" s="570"/>
      <c r="Y178" s="570"/>
      <c r="Z178" s="570"/>
      <c r="AA178" s="563"/>
      <c r="AB178" s="570"/>
      <c r="AC178" s="570"/>
      <c r="AD178" s="570"/>
      <c r="AE178" s="570"/>
      <c r="AF178" s="563">
        <f t="shared" ref="AF178:AR178" si="236">(1-AF179)*AF79</f>
        <v>0</v>
      </c>
      <c r="AG178" s="563">
        <f t="shared" si="236"/>
        <v>0</v>
      </c>
      <c r="AH178" s="563">
        <f t="shared" si="236"/>
        <v>5.2548018179609866</v>
      </c>
      <c r="AI178" s="563">
        <f t="shared" si="236"/>
        <v>26.078266526729237</v>
      </c>
      <c r="AJ178" s="563">
        <f t="shared" si="236"/>
        <v>51.626864143073874</v>
      </c>
      <c r="AK178" s="563">
        <f t="shared" si="236"/>
        <v>89.168131352083321</v>
      </c>
      <c r="AL178" s="563">
        <f t="shared" si="236"/>
        <v>131.58980091726579</v>
      </c>
      <c r="AM178" s="563">
        <f t="shared" si="236"/>
        <v>170.75676810587632</v>
      </c>
      <c r="AN178" s="563">
        <f t="shared" si="236"/>
        <v>203.78720760539034</v>
      </c>
      <c r="AO178" s="563">
        <f t="shared" si="236"/>
        <v>232.56134667244947</v>
      </c>
      <c r="AP178" s="563">
        <f t="shared" si="236"/>
        <v>253.26317674311491</v>
      </c>
      <c r="AQ178" s="563">
        <f t="shared" si="236"/>
        <v>275.73609994264268</v>
      </c>
      <c r="AR178" s="563">
        <f t="shared" si="236"/>
        <v>300.13135519376675</v>
      </c>
    </row>
    <row r="179" spans="2:44" s="205" customFormat="1">
      <c r="B179" s="231" t="s">
        <v>279</v>
      </c>
      <c r="C179" s="232"/>
      <c r="D179" s="232"/>
      <c r="E179" s="232"/>
      <c r="F179" s="232"/>
      <c r="G179" s="232"/>
      <c r="H179" s="232"/>
      <c r="I179" s="232"/>
      <c r="J179" s="232"/>
      <c r="K179" s="232"/>
      <c r="L179" s="232"/>
      <c r="M179" s="580"/>
      <c r="N179" s="580"/>
      <c r="O179" s="580"/>
      <c r="P179" s="580"/>
      <c r="Q179" s="232"/>
      <c r="R179" s="580"/>
      <c r="S179" s="580"/>
      <c r="T179" s="580"/>
      <c r="U179" s="580"/>
      <c r="V179" s="232"/>
      <c r="W179" s="580"/>
      <c r="X179" s="580"/>
      <c r="Y179" s="580"/>
      <c r="Z179" s="580"/>
      <c r="AA179" s="232"/>
      <c r="AB179" s="580"/>
      <c r="AC179" s="580"/>
      <c r="AD179" s="580"/>
      <c r="AE179" s="580"/>
      <c r="AF179" s="233">
        <v>0.75</v>
      </c>
      <c r="AG179" s="233">
        <v>0.77</v>
      </c>
      <c r="AH179" s="233">
        <v>0.78</v>
      </c>
      <c r="AI179" s="233">
        <v>0.79</v>
      </c>
      <c r="AJ179" s="233">
        <v>0.8</v>
      </c>
      <c r="AK179" s="233">
        <v>0.81</v>
      </c>
      <c r="AL179" s="233">
        <v>0.82</v>
      </c>
      <c r="AM179" s="233">
        <f>AL179</f>
        <v>0.82</v>
      </c>
      <c r="AN179" s="233">
        <f t="shared" ref="AN179:AR179" si="237">AM179</f>
        <v>0.82</v>
      </c>
      <c r="AO179" s="233">
        <f t="shared" si="237"/>
        <v>0.82</v>
      </c>
      <c r="AP179" s="233">
        <f t="shared" si="237"/>
        <v>0.82</v>
      </c>
      <c r="AQ179" s="233">
        <f t="shared" si="237"/>
        <v>0.82</v>
      </c>
      <c r="AR179" s="233">
        <f t="shared" si="237"/>
        <v>0.82</v>
      </c>
    </row>
    <row r="180" spans="2:44" hidden="1" outlineLevel="1">
      <c r="B180" s="197" t="s">
        <v>34</v>
      </c>
      <c r="C180" s="563"/>
      <c r="D180" s="563"/>
      <c r="E180" s="563"/>
      <c r="F180" s="563"/>
      <c r="G180" s="563"/>
      <c r="H180" s="563">
        <f>M180-4.4</f>
        <v>4.2999999999999989</v>
      </c>
      <c r="I180" s="563">
        <v>4.7</v>
      </c>
      <c r="J180" s="563"/>
      <c r="K180" s="563"/>
      <c r="L180" s="563"/>
      <c r="M180" s="570">
        <v>8.6999999999999993</v>
      </c>
      <c r="N180" s="570">
        <v>9.9</v>
      </c>
      <c r="O180" s="570">
        <v>11.2</v>
      </c>
      <c r="P180" s="570">
        <f>Q180-O180-N180-M180</f>
        <v>19.600000000000005</v>
      </c>
      <c r="Q180" s="563">
        <v>49.4</v>
      </c>
      <c r="R180" s="570">
        <v>13.1</v>
      </c>
      <c r="S180" s="570">
        <v>10.8</v>
      </c>
      <c r="T180" s="570">
        <v>11.6</v>
      </c>
      <c r="U180" s="570">
        <f>V180-T180-S180-R180</f>
        <v>20.29999999999999</v>
      </c>
      <c r="V180" s="563">
        <v>55.8</v>
      </c>
      <c r="W180" s="570">
        <v>13.6</v>
      </c>
      <c r="X180" s="570">
        <f>S180*(1+X181)</f>
        <v>11.340000000000002</v>
      </c>
      <c r="Y180" s="570">
        <f>T180*(1+Y181)</f>
        <v>12.18</v>
      </c>
      <c r="Z180" s="570">
        <f>U180*(1+Z181)</f>
        <v>21.314999999999991</v>
      </c>
      <c r="AA180" s="563">
        <f>Z180+Y180+X180+W180</f>
        <v>58.434999999999995</v>
      </c>
      <c r="AB180" s="570"/>
      <c r="AC180" s="570"/>
      <c r="AD180" s="570"/>
      <c r="AE180" s="570"/>
      <c r="AF180" s="563">
        <f>AA180*(1+AF181)</f>
        <v>61.356749999999998</v>
      </c>
      <c r="AG180" s="563">
        <f t="shared" ref="AG180:AM180" si="238">AF180*(1+AG181)</f>
        <v>64.424587500000001</v>
      </c>
      <c r="AH180" s="563">
        <f t="shared" si="238"/>
        <v>67.645816875000008</v>
      </c>
      <c r="AI180" s="563">
        <f t="shared" si="238"/>
        <v>71.028107718750007</v>
      </c>
      <c r="AJ180" s="563">
        <f t="shared" si="238"/>
        <v>74.579513104687507</v>
      </c>
      <c r="AK180" s="563">
        <f t="shared" si="238"/>
        <v>78.308488759921886</v>
      </c>
      <c r="AL180" s="563">
        <f t="shared" si="238"/>
        <v>82.22391319791798</v>
      </c>
      <c r="AM180" s="563">
        <f t="shared" si="238"/>
        <v>86.335108857813879</v>
      </c>
    </row>
    <row r="181" spans="2:44" s="205" customFormat="1" hidden="1" outlineLevel="1">
      <c r="B181" s="231" t="s">
        <v>273</v>
      </c>
      <c r="C181" s="232"/>
      <c r="D181" s="232"/>
      <c r="E181" s="232"/>
      <c r="F181" s="232"/>
      <c r="G181" s="232"/>
      <c r="H181" s="232"/>
      <c r="I181" s="232"/>
      <c r="J181" s="232"/>
      <c r="K181" s="232"/>
      <c r="L181" s="232"/>
      <c r="M181" s="580"/>
      <c r="N181" s="580"/>
      <c r="O181" s="580"/>
      <c r="P181" s="580"/>
      <c r="Q181" s="232"/>
      <c r="R181" s="580">
        <f t="shared" ref="R181:W181" si="239">R180/M180-1</f>
        <v>0.50574712643678166</v>
      </c>
      <c r="S181" s="580">
        <f t="shared" si="239"/>
        <v>9.090909090909105E-2</v>
      </c>
      <c r="T181" s="580">
        <f t="shared" si="239"/>
        <v>3.5714285714285809E-2</v>
      </c>
      <c r="U181" s="580">
        <f t="shared" si="239"/>
        <v>3.5714285714284921E-2</v>
      </c>
      <c r="V181" s="232">
        <f t="shared" si="239"/>
        <v>0.12955465587044523</v>
      </c>
      <c r="W181" s="580">
        <f t="shared" si="239"/>
        <v>3.8167938931297662E-2</v>
      </c>
      <c r="X181" s="580">
        <v>0.05</v>
      </c>
      <c r="Y181" s="580">
        <v>0.05</v>
      </c>
      <c r="Z181" s="580">
        <v>0.05</v>
      </c>
      <c r="AA181" s="232">
        <f>AA180/V180-1</f>
        <v>4.7222222222222276E-2</v>
      </c>
      <c r="AB181" s="580"/>
      <c r="AC181" s="580"/>
      <c r="AD181" s="580"/>
      <c r="AE181" s="580"/>
      <c r="AF181" s="233">
        <v>0.05</v>
      </c>
      <c r="AG181" s="233">
        <v>0.05</v>
      </c>
      <c r="AH181" s="233">
        <v>0.05</v>
      </c>
      <c r="AI181" s="233">
        <v>0.05</v>
      </c>
      <c r="AJ181" s="233">
        <v>0.05</v>
      </c>
      <c r="AK181" s="233">
        <v>0.05</v>
      </c>
      <c r="AL181" s="233">
        <v>0.05</v>
      </c>
      <c r="AM181" s="233">
        <v>0.05</v>
      </c>
    </row>
    <row r="182" spans="2:44" hidden="1" outlineLevel="1">
      <c r="M182" s="416"/>
      <c r="N182" s="416"/>
      <c r="O182" s="416"/>
      <c r="P182" s="416"/>
      <c r="Q182" s="413"/>
      <c r="R182" s="416"/>
      <c r="S182" s="416"/>
      <c r="T182" s="416"/>
      <c r="U182" s="416"/>
      <c r="W182" s="416"/>
      <c r="X182" s="416"/>
      <c r="Y182" s="416"/>
      <c r="Z182" s="416"/>
      <c r="AB182" s="416"/>
      <c r="AC182" s="416"/>
      <c r="AD182" s="416"/>
      <c r="AE182" s="416"/>
    </row>
    <row r="183" spans="2:44" collapsed="1">
      <c r="B183" s="64" t="s">
        <v>277</v>
      </c>
      <c r="G183" s="563"/>
      <c r="L183" s="563"/>
      <c r="M183" s="416"/>
      <c r="N183" s="416"/>
      <c r="O183" s="416"/>
      <c r="P183" s="416"/>
      <c r="Q183" s="563"/>
      <c r="R183" s="416"/>
      <c r="S183" s="416"/>
      <c r="T183" s="416"/>
      <c r="U183" s="416"/>
      <c r="V183" s="563"/>
      <c r="W183" s="416"/>
      <c r="X183" s="416"/>
      <c r="Y183" s="416"/>
      <c r="Z183" s="416"/>
      <c r="AA183" s="563"/>
      <c r="AB183" s="416"/>
      <c r="AC183" s="416"/>
      <c r="AD183" s="416"/>
      <c r="AE183" s="416"/>
    </row>
    <row r="184" spans="2:44" s="205" customFormat="1">
      <c r="B184" s="197" t="s">
        <v>33</v>
      </c>
      <c r="C184" s="563"/>
      <c r="D184" s="563"/>
      <c r="E184" s="563"/>
      <c r="F184" s="563"/>
      <c r="G184" s="563"/>
      <c r="H184" s="563"/>
      <c r="I184" s="563"/>
      <c r="J184" s="563"/>
      <c r="K184" s="563"/>
      <c r="L184" s="563"/>
      <c r="M184" s="570"/>
      <c r="N184" s="570"/>
      <c r="O184" s="570"/>
      <c r="P184" s="570"/>
      <c r="Q184" s="563"/>
      <c r="R184" s="570"/>
      <c r="S184" s="570"/>
      <c r="T184" s="570"/>
      <c r="U184" s="570"/>
      <c r="V184" s="563"/>
      <c r="W184" s="570">
        <f>(1-W185)*W61</f>
        <v>0</v>
      </c>
      <c r="X184" s="570">
        <f>(1-X185)*X61</f>
        <v>7.4999999999999997E-2</v>
      </c>
      <c r="Y184" s="570">
        <f>(1-Y185)*Y61</f>
        <v>0.77500000000000002</v>
      </c>
      <c r="Z184" s="570">
        <f>(1-Z185)*Z61</f>
        <v>1.3645362267983152</v>
      </c>
      <c r="AA184" s="563">
        <f>Z184+Y184+X184+W184</f>
        <v>2.2145362267983155</v>
      </c>
      <c r="AB184" s="570">
        <f t="shared" ref="AB184:AE184" si="240">(1-AB185)*AB61</f>
        <v>1.6166813715728108</v>
      </c>
      <c r="AC184" s="570">
        <f t="shared" si="240"/>
        <v>2.4250220573592163</v>
      </c>
      <c r="AD184" s="570">
        <f t="shared" si="240"/>
        <v>2.6944689526213517</v>
      </c>
      <c r="AE184" s="570">
        <f t="shared" si="240"/>
        <v>4.0417034289320277</v>
      </c>
      <c r="AF184" s="563">
        <f t="shared" ref="AF184:AR184" si="241">(1-AF185)*AF61</f>
        <v>10.777875810485407</v>
      </c>
      <c r="AG184" s="563">
        <f t="shared" si="241"/>
        <v>24.447825437527761</v>
      </c>
      <c r="AH184" s="563">
        <f t="shared" si="241"/>
        <v>40.686925511083231</v>
      </c>
      <c r="AI184" s="563">
        <f t="shared" si="241"/>
        <v>51.15413145972046</v>
      </c>
      <c r="AJ184" s="563">
        <f t="shared" si="241"/>
        <v>62.316737906884882</v>
      </c>
      <c r="AK184" s="563">
        <f t="shared" si="241"/>
        <v>62.816525120678058</v>
      </c>
      <c r="AL184" s="563">
        <f t="shared" si="241"/>
        <v>66.83667277513311</v>
      </c>
      <c r="AM184" s="563">
        <f t="shared" si="241"/>
        <v>71.112856691547094</v>
      </c>
      <c r="AN184" s="563">
        <f t="shared" si="241"/>
        <v>75.661588308275029</v>
      </c>
      <c r="AO184" s="563">
        <f t="shared" si="241"/>
        <v>80.500451878343171</v>
      </c>
      <c r="AP184" s="563">
        <f t="shared" si="241"/>
        <v>85.648174223915035</v>
      </c>
      <c r="AQ184" s="563">
        <f t="shared" si="241"/>
        <v>91.124699010481834</v>
      </c>
      <c r="AR184" s="563">
        <f t="shared" si="241"/>
        <v>96.951265832088453</v>
      </c>
    </row>
    <row r="185" spans="2:44" s="205" customFormat="1">
      <c r="B185" s="231" t="s">
        <v>279</v>
      </c>
      <c r="C185" s="232"/>
      <c r="D185" s="232"/>
      <c r="E185" s="232"/>
      <c r="F185" s="232"/>
      <c r="G185" s="232"/>
      <c r="H185" s="232"/>
      <c r="I185" s="232"/>
      <c r="J185" s="232"/>
      <c r="K185" s="232"/>
      <c r="L185" s="232"/>
      <c r="M185" s="580"/>
      <c r="N185" s="580"/>
      <c r="O185" s="580"/>
      <c r="P185" s="580"/>
      <c r="Q185" s="232"/>
      <c r="R185" s="580"/>
      <c r="S185" s="580"/>
      <c r="T185" s="580"/>
      <c r="U185" s="580"/>
      <c r="V185" s="232"/>
      <c r="W185" s="600">
        <v>0.75</v>
      </c>
      <c r="X185" s="600">
        <v>0.75</v>
      </c>
      <c r="Y185" s="600">
        <v>0.75</v>
      </c>
      <c r="Z185" s="600">
        <v>0.75</v>
      </c>
      <c r="AA185" s="232">
        <f>1-(AA184/AA61)</f>
        <v>0.75</v>
      </c>
      <c r="AB185" s="600">
        <f>AF185</f>
        <v>0.77</v>
      </c>
      <c r="AC185" s="600">
        <f>AB185</f>
        <v>0.77</v>
      </c>
      <c r="AD185" s="600">
        <f t="shared" ref="AD185:AE185" si="242">AC185</f>
        <v>0.77</v>
      </c>
      <c r="AE185" s="600">
        <f t="shared" si="242"/>
        <v>0.77</v>
      </c>
      <c r="AF185" s="233">
        <v>0.77</v>
      </c>
      <c r="AG185" s="233">
        <v>0.78</v>
      </c>
      <c r="AH185" s="233">
        <v>0.79</v>
      </c>
      <c r="AI185" s="233">
        <v>0.8</v>
      </c>
      <c r="AJ185" s="233">
        <v>0.81</v>
      </c>
      <c r="AK185" s="233">
        <v>0.82</v>
      </c>
      <c r="AL185" s="233">
        <f t="shared" ref="AL185:AR185" si="243">AK185</f>
        <v>0.82</v>
      </c>
      <c r="AM185" s="233">
        <f t="shared" si="243"/>
        <v>0.82</v>
      </c>
      <c r="AN185" s="233">
        <f t="shared" si="243"/>
        <v>0.82</v>
      </c>
      <c r="AO185" s="233">
        <f t="shared" si="243"/>
        <v>0.82</v>
      </c>
      <c r="AP185" s="233">
        <f t="shared" si="243"/>
        <v>0.82</v>
      </c>
      <c r="AQ185" s="233">
        <f t="shared" si="243"/>
        <v>0.82</v>
      </c>
      <c r="AR185" s="233">
        <f t="shared" si="243"/>
        <v>0.82</v>
      </c>
    </row>
    <row r="186" spans="2:44" hidden="1" outlineLevel="1">
      <c r="B186" s="197" t="s">
        <v>34</v>
      </c>
      <c r="C186" s="563"/>
      <c r="D186" s="563"/>
      <c r="E186" s="563"/>
      <c r="F186" s="563"/>
      <c r="G186" s="563"/>
      <c r="H186" s="563">
        <f>M186-4.1</f>
        <v>5.0999999999999996</v>
      </c>
      <c r="I186" s="563">
        <v>9</v>
      </c>
      <c r="J186" s="563"/>
      <c r="K186" s="563"/>
      <c r="L186" s="563"/>
      <c r="M186" s="570">
        <v>9.1999999999999993</v>
      </c>
      <c r="N186" s="570">
        <v>9.9</v>
      </c>
      <c r="O186" s="570">
        <v>10</v>
      </c>
      <c r="P186" s="570">
        <f>Q186-O186-N186-M186</f>
        <v>10.8</v>
      </c>
      <c r="Q186" s="563">
        <v>39.9</v>
      </c>
      <c r="R186" s="570">
        <v>16</v>
      </c>
      <c r="S186" s="570">
        <v>16.2</v>
      </c>
      <c r="T186" s="570">
        <v>20.2</v>
      </c>
      <c r="U186" s="570">
        <f>V186-T186-S186-R186</f>
        <v>24.799999999999997</v>
      </c>
      <c r="V186" s="563">
        <v>77.2</v>
      </c>
      <c r="W186" s="570">
        <v>16.600000000000001</v>
      </c>
      <c r="X186" s="570">
        <f>S186*(1+X187)</f>
        <v>17.010000000000002</v>
      </c>
      <c r="Y186" s="570">
        <f>T186*(1+Y187)</f>
        <v>21.21</v>
      </c>
      <c r="Z186" s="570">
        <f>U186*(1+Z187)</f>
        <v>26.04</v>
      </c>
      <c r="AA186" s="563">
        <f>Z186+Y186+X186+W186</f>
        <v>80.860000000000014</v>
      </c>
      <c r="AB186" s="570"/>
      <c r="AC186" s="570"/>
      <c r="AD186" s="570"/>
      <c r="AE186" s="570"/>
      <c r="AF186" s="563">
        <f>AA186*(1+AF187)</f>
        <v>84.90300000000002</v>
      </c>
      <c r="AG186" s="563">
        <f t="shared" ref="AG186:AM186" si="244">AF186*(1+AG187)</f>
        <v>89.14815000000003</v>
      </c>
      <c r="AH186" s="563">
        <f t="shared" si="244"/>
        <v>93.605557500000032</v>
      </c>
      <c r="AI186" s="563">
        <f t="shared" si="244"/>
        <v>98.285835375000033</v>
      </c>
      <c r="AJ186" s="563">
        <f t="shared" si="244"/>
        <v>103.20012714375004</v>
      </c>
      <c r="AK186" s="563">
        <f t="shared" si="244"/>
        <v>108.36013350093755</v>
      </c>
      <c r="AL186" s="563">
        <f t="shared" si="244"/>
        <v>113.77814017598443</v>
      </c>
      <c r="AM186" s="563">
        <f t="shared" si="244"/>
        <v>119.46704718478367</v>
      </c>
    </row>
    <row r="187" spans="2:44" s="205" customFormat="1" hidden="1" outlineLevel="1">
      <c r="B187" s="231" t="s">
        <v>273</v>
      </c>
      <c r="C187" s="232"/>
      <c r="D187" s="232"/>
      <c r="E187" s="232"/>
      <c r="F187" s="232"/>
      <c r="G187" s="232"/>
      <c r="H187" s="232"/>
      <c r="I187" s="232"/>
      <c r="J187" s="232"/>
      <c r="K187" s="232"/>
      <c r="L187" s="232"/>
      <c r="M187" s="580"/>
      <c r="N187" s="580"/>
      <c r="O187" s="580"/>
      <c r="P187" s="580"/>
      <c r="Q187" s="232"/>
      <c r="R187" s="580">
        <f t="shared" ref="R187:W187" si="245">R186/M186-1</f>
        <v>0.73913043478260887</v>
      </c>
      <c r="S187" s="580">
        <f t="shared" si="245"/>
        <v>0.63636363636363624</v>
      </c>
      <c r="T187" s="580">
        <f t="shared" si="245"/>
        <v>1.02</v>
      </c>
      <c r="U187" s="580">
        <f t="shared" si="245"/>
        <v>1.2962962962962958</v>
      </c>
      <c r="V187" s="232">
        <f t="shared" si="245"/>
        <v>0.93483709273182969</v>
      </c>
      <c r="W187" s="580">
        <f t="shared" si="245"/>
        <v>3.7500000000000089E-2</v>
      </c>
      <c r="X187" s="580">
        <v>0.05</v>
      </c>
      <c r="Y187" s="580">
        <v>0.05</v>
      </c>
      <c r="Z187" s="580">
        <v>0.05</v>
      </c>
      <c r="AA187" s="232">
        <f>AA186/V186-1</f>
        <v>4.7409326424870502E-2</v>
      </c>
      <c r="AB187" s="580"/>
      <c r="AC187" s="580"/>
      <c r="AD187" s="580"/>
      <c r="AE187" s="580"/>
      <c r="AF187" s="233">
        <v>0.05</v>
      </c>
      <c r="AG187" s="233">
        <f t="shared" ref="AG187:AM187" si="246">AF187</f>
        <v>0.05</v>
      </c>
      <c r="AH187" s="233">
        <f t="shared" si="246"/>
        <v>0.05</v>
      </c>
      <c r="AI187" s="233">
        <f t="shared" si="246"/>
        <v>0.05</v>
      </c>
      <c r="AJ187" s="233">
        <f t="shared" si="246"/>
        <v>0.05</v>
      </c>
      <c r="AK187" s="233">
        <f t="shared" si="246"/>
        <v>0.05</v>
      </c>
      <c r="AL187" s="233">
        <f t="shared" si="246"/>
        <v>0.05</v>
      </c>
      <c r="AM187" s="233">
        <f t="shared" si="246"/>
        <v>0.05</v>
      </c>
    </row>
    <row r="188" spans="2:44" hidden="1" outlineLevel="1">
      <c r="M188" s="416"/>
      <c r="N188" s="416"/>
      <c r="O188" s="416"/>
      <c r="P188" s="416"/>
      <c r="Q188" s="413"/>
      <c r="R188" s="416"/>
      <c r="S188" s="416"/>
      <c r="T188" s="416"/>
      <c r="U188" s="416"/>
      <c r="W188" s="416"/>
      <c r="X188" s="416"/>
      <c r="Y188" s="416"/>
      <c r="Z188" s="416"/>
      <c r="AB188" s="416"/>
      <c r="AC188" s="416"/>
      <c r="AD188" s="416"/>
      <c r="AE188" s="416"/>
    </row>
    <row r="189" spans="2:44" s="413" customFormat="1" collapsed="1">
      <c r="B189" s="413" t="s">
        <v>466</v>
      </c>
      <c r="G189" s="563"/>
      <c r="L189" s="563"/>
      <c r="M189" s="416"/>
      <c r="N189" s="416"/>
      <c r="O189" s="416"/>
      <c r="P189" s="416"/>
      <c r="Q189" s="563"/>
      <c r="R189" s="416"/>
      <c r="S189" s="416"/>
      <c r="T189" s="416"/>
      <c r="U189" s="416"/>
      <c r="V189" s="563"/>
      <c r="W189" s="416"/>
      <c r="X189" s="416"/>
      <c r="Y189" s="416"/>
      <c r="Z189" s="416"/>
      <c r="AA189" s="563"/>
      <c r="AB189" s="416"/>
      <c r="AC189" s="416"/>
      <c r="AD189" s="416"/>
      <c r="AE189" s="416"/>
    </row>
    <row r="190" spans="2:44" s="205" customFormat="1">
      <c r="B190" s="197" t="s">
        <v>33</v>
      </c>
      <c r="C190" s="563"/>
      <c r="D190" s="563"/>
      <c r="E190" s="563"/>
      <c r="F190" s="563"/>
      <c r="G190" s="563"/>
      <c r="H190" s="563"/>
      <c r="I190" s="563"/>
      <c r="J190" s="563"/>
      <c r="K190" s="563"/>
      <c r="L190" s="563"/>
      <c r="M190" s="570"/>
      <c r="N190" s="570"/>
      <c r="O190" s="570"/>
      <c r="P190" s="570"/>
      <c r="Q190" s="563"/>
      <c r="R190" s="570"/>
      <c r="S190" s="570"/>
      <c r="T190" s="570"/>
      <c r="U190" s="570"/>
      <c r="V190" s="563"/>
      <c r="W190" s="570"/>
      <c r="X190" s="570"/>
      <c r="Y190" s="570"/>
      <c r="Z190" s="570"/>
      <c r="AA190" s="563"/>
      <c r="AB190" s="570"/>
      <c r="AC190" s="570"/>
      <c r="AD190" s="570"/>
      <c r="AE190" s="570"/>
      <c r="AF190" s="563">
        <f t="shared" ref="AF190:AR190" si="247">(1-AF191)*AF92</f>
        <v>0</v>
      </c>
      <c r="AG190" s="563">
        <f t="shared" si="247"/>
        <v>0</v>
      </c>
      <c r="AH190" s="563">
        <f t="shared" si="247"/>
        <v>2.6379127631800388</v>
      </c>
      <c r="AI190" s="563">
        <f t="shared" si="247"/>
        <v>8.1906717490839807</v>
      </c>
      <c r="AJ190" s="563">
        <f t="shared" si="247"/>
        <v>13.965947613510039</v>
      </c>
      <c r="AK190" s="563">
        <f t="shared" si="247"/>
        <v>19.974180906846129</v>
      </c>
      <c r="AL190" s="563">
        <f t="shared" si="247"/>
        <v>26.201356998714786</v>
      </c>
      <c r="AM190" s="563">
        <f t="shared" si="247"/>
        <v>32.686366889789255</v>
      </c>
      <c r="AN190" s="563">
        <f t="shared" si="247"/>
        <v>42.823800926919482</v>
      </c>
      <c r="AO190" s="563">
        <f t="shared" si="247"/>
        <v>53.352181224599164</v>
      </c>
      <c r="AP190" s="563">
        <f t="shared" si="247"/>
        <v>57.528886177674998</v>
      </c>
      <c r="AQ190" s="563">
        <f t="shared" si="247"/>
        <v>61.563525594660568</v>
      </c>
      <c r="AR190" s="563">
        <f t="shared" si="247"/>
        <v>65.754327146493495</v>
      </c>
    </row>
    <row r="191" spans="2:44" s="205" customFormat="1">
      <c r="B191" s="231" t="s">
        <v>279</v>
      </c>
      <c r="C191" s="232"/>
      <c r="D191" s="232"/>
      <c r="E191" s="232"/>
      <c r="F191" s="232"/>
      <c r="G191" s="232"/>
      <c r="H191" s="232"/>
      <c r="I191" s="232"/>
      <c r="J191" s="232"/>
      <c r="K191" s="232"/>
      <c r="L191" s="232"/>
      <c r="M191" s="580"/>
      <c r="N191" s="580"/>
      <c r="O191" s="580"/>
      <c r="P191" s="580"/>
      <c r="Q191" s="232"/>
      <c r="R191" s="580"/>
      <c r="S191" s="580"/>
      <c r="T191" s="580"/>
      <c r="U191" s="580"/>
      <c r="V191" s="232"/>
      <c r="W191" s="600"/>
      <c r="X191" s="600"/>
      <c r="Y191" s="600"/>
      <c r="Z191" s="600"/>
      <c r="AA191" s="232"/>
      <c r="AB191" s="600"/>
      <c r="AC191" s="600"/>
      <c r="AD191" s="600"/>
      <c r="AE191" s="600"/>
      <c r="AF191" s="233">
        <v>0.75</v>
      </c>
      <c r="AG191" s="233">
        <f>AF191</f>
        <v>0.75</v>
      </c>
      <c r="AH191" s="233">
        <f t="shared" ref="AH191:AR191" si="248">AG191</f>
        <v>0.75</v>
      </c>
      <c r="AI191" s="233">
        <f t="shared" si="248"/>
        <v>0.75</v>
      </c>
      <c r="AJ191" s="233">
        <f t="shared" si="248"/>
        <v>0.75</v>
      </c>
      <c r="AK191" s="233">
        <f t="shared" si="248"/>
        <v>0.75</v>
      </c>
      <c r="AL191" s="233">
        <f t="shared" si="248"/>
        <v>0.75</v>
      </c>
      <c r="AM191" s="233">
        <f t="shared" si="248"/>
        <v>0.75</v>
      </c>
      <c r="AN191" s="233">
        <f t="shared" si="248"/>
        <v>0.75</v>
      </c>
      <c r="AO191" s="233">
        <f t="shared" si="248"/>
        <v>0.75</v>
      </c>
      <c r="AP191" s="233">
        <f t="shared" si="248"/>
        <v>0.75</v>
      </c>
      <c r="AQ191" s="233">
        <f t="shared" si="248"/>
        <v>0.75</v>
      </c>
      <c r="AR191" s="233">
        <f t="shared" si="248"/>
        <v>0.75</v>
      </c>
    </row>
    <row r="192" spans="2:44" s="413" customFormat="1" hidden="1" outlineLevel="1">
      <c r="B192" s="197" t="s">
        <v>34</v>
      </c>
      <c r="C192" s="563"/>
      <c r="D192" s="563"/>
      <c r="E192" s="563"/>
      <c r="F192" s="563"/>
      <c r="G192" s="563"/>
      <c r="H192" s="563"/>
      <c r="I192" s="563"/>
      <c r="J192" s="563"/>
      <c r="K192" s="563"/>
      <c r="L192" s="563"/>
      <c r="M192" s="570">
        <v>0</v>
      </c>
      <c r="N192" s="570">
        <v>10</v>
      </c>
      <c r="O192" s="570">
        <v>9.6999999999999993</v>
      </c>
      <c r="P192" s="570">
        <v>4.4000000000000004</v>
      </c>
      <c r="Q192" s="563">
        <f>P192+O192+N192+M192</f>
        <v>24.1</v>
      </c>
      <c r="R192" s="570"/>
      <c r="S192" s="570">
        <v>11.5</v>
      </c>
      <c r="T192" s="570">
        <v>11.4</v>
      </c>
      <c r="U192" s="570"/>
      <c r="V192" s="563">
        <v>46.1</v>
      </c>
      <c r="W192" s="570">
        <v>9.5</v>
      </c>
      <c r="X192" s="570"/>
      <c r="Y192" s="570"/>
      <c r="Z192" s="570"/>
      <c r="AA192" s="563"/>
      <c r="AB192" s="570"/>
      <c r="AC192" s="570"/>
      <c r="AD192" s="570"/>
      <c r="AE192" s="570"/>
      <c r="AF192" s="563"/>
      <c r="AG192" s="563"/>
      <c r="AH192" s="563"/>
      <c r="AI192" s="563"/>
      <c r="AJ192" s="563"/>
      <c r="AK192" s="563"/>
      <c r="AL192" s="563"/>
      <c r="AM192" s="563"/>
    </row>
    <row r="193" spans="2:39" s="413" customFormat="1" hidden="1" outlineLevel="1">
      <c r="B193" s="231" t="s">
        <v>273</v>
      </c>
      <c r="G193" s="563"/>
      <c r="L193" s="563"/>
      <c r="M193" s="416"/>
      <c r="N193" s="416"/>
      <c r="O193" s="416"/>
      <c r="P193" s="416"/>
      <c r="Q193" s="563"/>
      <c r="R193" s="416"/>
      <c r="S193" s="416"/>
      <c r="T193" s="416"/>
      <c r="U193" s="416"/>
      <c r="V193" s="719">
        <f>V192/Q192</f>
        <v>1.912863070539419</v>
      </c>
      <c r="W193" s="416"/>
      <c r="X193" s="416"/>
      <c r="Y193" s="416"/>
      <c r="Z193" s="416"/>
      <c r="AA193" s="563"/>
      <c r="AB193" s="416"/>
      <c r="AC193" s="416"/>
      <c r="AD193" s="416"/>
      <c r="AE193" s="416"/>
      <c r="AF193" s="233"/>
      <c r="AG193" s="233"/>
      <c r="AH193" s="233"/>
      <c r="AI193" s="233"/>
      <c r="AJ193" s="233"/>
      <c r="AK193" s="233"/>
      <c r="AL193" s="233"/>
      <c r="AM193" s="233"/>
    </row>
    <row r="194" spans="2:39" s="413" customFormat="1" hidden="1" outlineLevel="1">
      <c r="M194" s="416"/>
      <c r="N194" s="416"/>
      <c r="O194" s="416"/>
      <c r="P194" s="416"/>
      <c r="R194" s="416"/>
      <c r="S194" s="416"/>
      <c r="T194" s="416"/>
      <c r="U194" s="416"/>
      <c r="W194" s="416"/>
      <c r="X194" s="416"/>
      <c r="Y194" s="416"/>
      <c r="Z194" s="416"/>
      <c r="AB194" s="416"/>
      <c r="AC194" s="416"/>
      <c r="AD194" s="416"/>
      <c r="AE194" s="416"/>
    </row>
    <row r="195" spans="2:39" collapsed="1">
      <c r="B195" s="64" t="s">
        <v>274</v>
      </c>
      <c r="G195" s="563"/>
      <c r="L195" s="563"/>
      <c r="M195" s="416"/>
      <c r="N195" s="416"/>
      <c r="O195" s="416"/>
      <c r="P195" s="416"/>
      <c r="Q195" s="563"/>
      <c r="R195" s="416"/>
      <c r="S195" s="416"/>
      <c r="T195" s="416"/>
      <c r="U195" s="416"/>
      <c r="V195" s="563"/>
      <c r="W195" s="416"/>
      <c r="X195" s="416"/>
      <c r="Y195" s="416"/>
      <c r="Z195" s="416"/>
      <c r="AA195" s="563"/>
      <c r="AB195" s="416"/>
      <c r="AC195" s="416"/>
      <c r="AD195" s="416"/>
      <c r="AE195" s="416"/>
    </row>
    <row r="196" spans="2:39" s="205" customFormat="1">
      <c r="B196" s="197" t="s">
        <v>33</v>
      </c>
      <c r="C196" s="563"/>
      <c r="D196" s="563"/>
      <c r="E196" s="563"/>
      <c r="F196" s="563"/>
      <c r="G196" s="563"/>
      <c r="H196" s="563"/>
      <c r="I196" s="563"/>
      <c r="J196" s="563"/>
      <c r="K196" s="563"/>
      <c r="L196" s="563"/>
      <c r="M196" s="570"/>
      <c r="N196" s="570"/>
      <c r="O196" s="570"/>
      <c r="P196" s="570"/>
      <c r="Q196" s="563"/>
      <c r="R196" s="570"/>
      <c r="S196" s="570"/>
      <c r="T196" s="570"/>
      <c r="U196" s="570"/>
      <c r="V196" s="563"/>
      <c r="W196" s="570"/>
      <c r="X196" s="570"/>
      <c r="Y196" s="570"/>
      <c r="Z196" s="570"/>
      <c r="AA196" s="563"/>
      <c r="AB196" s="570"/>
      <c r="AC196" s="570"/>
      <c r="AD196" s="570"/>
      <c r="AE196" s="570"/>
      <c r="AF196" s="563"/>
      <c r="AG196" s="563"/>
      <c r="AH196" s="563"/>
      <c r="AI196" s="563"/>
      <c r="AJ196" s="563"/>
      <c r="AK196" s="563"/>
      <c r="AL196" s="563"/>
      <c r="AM196" s="563"/>
    </row>
    <row r="197" spans="2:39" s="205" customFormat="1">
      <c r="B197" s="231" t="s">
        <v>279</v>
      </c>
      <c r="C197" s="232"/>
      <c r="D197" s="232"/>
      <c r="E197" s="232"/>
      <c r="F197" s="232"/>
      <c r="G197" s="232"/>
      <c r="H197" s="232"/>
      <c r="I197" s="232"/>
      <c r="J197" s="232"/>
      <c r="K197" s="232"/>
      <c r="L197" s="232"/>
      <c r="M197" s="580"/>
      <c r="N197" s="580"/>
      <c r="O197" s="580"/>
      <c r="P197" s="580"/>
      <c r="Q197" s="232"/>
      <c r="R197" s="580"/>
      <c r="S197" s="580"/>
      <c r="T197" s="580"/>
      <c r="U197" s="580"/>
      <c r="V197" s="232"/>
      <c r="W197" s="580"/>
      <c r="X197" s="580"/>
      <c r="Y197" s="580"/>
      <c r="Z197" s="580"/>
      <c r="AA197" s="232"/>
      <c r="AB197" s="580"/>
      <c r="AC197" s="580"/>
      <c r="AD197" s="580"/>
      <c r="AE197" s="580"/>
      <c r="AF197" s="233"/>
      <c r="AG197" s="233"/>
      <c r="AH197" s="233"/>
      <c r="AI197" s="233"/>
      <c r="AJ197" s="233"/>
      <c r="AK197" s="233"/>
      <c r="AL197" s="233"/>
      <c r="AM197" s="233"/>
    </row>
    <row r="198" spans="2:39" hidden="1" outlineLevel="1">
      <c r="B198" s="197" t="s">
        <v>34</v>
      </c>
      <c r="C198" s="563"/>
      <c r="D198" s="563"/>
      <c r="E198" s="563"/>
      <c r="F198" s="563"/>
      <c r="G198" s="563"/>
      <c r="H198" s="563">
        <f>M198-6.4</f>
        <v>0.39999999999999947</v>
      </c>
      <c r="I198" s="563"/>
      <c r="J198" s="563"/>
      <c r="K198" s="563"/>
      <c r="L198" s="563"/>
      <c r="M198" s="570">
        <v>6.8</v>
      </c>
      <c r="N198" s="570">
        <v>14.2</v>
      </c>
      <c r="O198" s="570">
        <v>16.2</v>
      </c>
      <c r="P198" s="570">
        <f>Q198-O198-N198-M198</f>
        <v>12.700000000000003</v>
      </c>
      <c r="Q198" s="230">
        <v>49.9</v>
      </c>
      <c r="R198" s="570">
        <v>16.399999999999999</v>
      </c>
      <c r="S198" s="570">
        <v>27.1</v>
      </c>
      <c r="T198" s="570">
        <v>17.7</v>
      </c>
      <c r="U198" s="570">
        <f>V198-T198-S198-R198</f>
        <v>12.299999999999997</v>
      </c>
      <c r="V198" s="563">
        <v>73.5</v>
      </c>
      <c r="W198" s="570">
        <f>R198*(1+W199)</f>
        <v>0</v>
      </c>
      <c r="X198" s="570">
        <f>S198*(1+X199)</f>
        <v>0</v>
      </c>
      <c r="Y198" s="570">
        <f>T198*(1+Y199)</f>
        <v>0</v>
      </c>
      <c r="Z198" s="570">
        <f>U198*(1+Z199)</f>
        <v>0</v>
      </c>
      <c r="AA198" s="563">
        <f>Z198+Y198+X198+W198</f>
        <v>0</v>
      </c>
      <c r="AB198" s="570"/>
      <c r="AC198" s="570"/>
      <c r="AD198" s="570"/>
      <c r="AE198" s="570"/>
      <c r="AF198" s="563">
        <f>AA198*(1+AF199)</f>
        <v>0</v>
      </c>
      <c r="AG198" s="563">
        <f t="shared" ref="AG198:AM198" si="249">AF198*(1+AG199)</f>
        <v>0</v>
      </c>
      <c r="AH198" s="563">
        <f t="shared" si="249"/>
        <v>0</v>
      </c>
      <c r="AI198" s="563">
        <f t="shared" si="249"/>
        <v>0</v>
      </c>
      <c r="AJ198" s="563">
        <f t="shared" si="249"/>
        <v>0</v>
      </c>
      <c r="AK198" s="563">
        <f t="shared" si="249"/>
        <v>0</v>
      </c>
      <c r="AL198" s="563">
        <f t="shared" si="249"/>
        <v>0</v>
      </c>
      <c r="AM198" s="563">
        <f t="shared" si="249"/>
        <v>0</v>
      </c>
    </row>
    <row r="199" spans="2:39" s="205" customFormat="1" hidden="1" outlineLevel="1">
      <c r="B199" s="231" t="s">
        <v>273</v>
      </c>
      <c r="C199" s="232"/>
      <c r="D199" s="232"/>
      <c r="E199" s="232"/>
      <c r="F199" s="232"/>
      <c r="G199" s="232"/>
      <c r="H199" s="232"/>
      <c r="I199" s="232"/>
      <c r="J199" s="232"/>
      <c r="K199" s="232"/>
      <c r="L199" s="232"/>
      <c r="M199" s="580"/>
      <c r="N199" s="580"/>
      <c r="O199" s="580"/>
      <c r="P199" s="580"/>
      <c r="Q199" s="232"/>
      <c r="R199" s="580">
        <f>R198/M198-1</f>
        <v>1.4117647058823528</v>
      </c>
      <c r="S199" s="580">
        <f>S198/N198-1</f>
        <v>0.90845070422535223</v>
      </c>
      <c r="T199" s="580">
        <f>T198/O198-1</f>
        <v>9.259259259259256E-2</v>
      </c>
      <c r="U199" s="580">
        <f>U198/P198-1</f>
        <v>-3.1496062992126372E-2</v>
      </c>
      <c r="V199" s="232">
        <f>V198/Q198-1</f>
        <v>0.47294589178356716</v>
      </c>
      <c r="W199" s="580">
        <v>-1</v>
      </c>
      <c r="X199" s="580">
        <v>-1</v>
      </c>
      <c r="Y199" s="580">
        <v>-1</v>
      </c>
      <c r="Z199" s="580">
        <v>-1</v>
      </c>
      <c r="AA199" s="232">
        <f>AA198/V198-1</f>
        <v>-1</v>
      </c>
      <c r="AB199" s="580"/>
      <c r="AC199" s="580"/>
      <c r="AD199" s="580"/>
      <c r="AE199" s="580"/>
      <c r="AF199" s="233">
        <v>0</v>
      </c>
      <c r="AG199" s="233">
        <f t="shared" ref="AG199:AM199" si="250">AF199</f>
        <v>0</v>
      </c>
      <c r="AH199" s="233">
        <f t="shared" si="250"/>
        <v>0</v>
      </c>
      <c r="AI199" s="233">
        <f t="shared" si="250"/>
        <v>0</v>
      </c>
      <c r="AJ199" s="233">
        <f t="shared" si="250"/>
        <v>0</v>
      </c>
      <c r="AK199" s="233">
        <f t="shared" si="250"/>
        <v>0</v>
      </c>
      <c r="AL199" s="233">
        <f t="shared" si="250"/>
        <v>0</v>
      </c>
      <c r="AM199" s="233">
        <f t="shared" si="250"/>
        <v>0</v>
      </c>
    </row>
    <row r="200" spans="2:39" hidden="1" outlineLevel="1">
      <c r="M200" s="416"/>
      <c r="N200" s="416"/>
      <c r="O200" s="416"/>
      <c r="P200" s="416"/>
      <c r="Q200" s="413"/>
      <c r="R200" s="416"/>
      <c r="S200" s="416"/>
      <c r="T200" s="416"/>
      <c r="U200" s="416"/>
      <c r="W200" s="416"/>
      <c r="X200" s="416"/>
      <c r="Y200" s="416"/>
      <c r="Z200" s="416"/>
      <c r="AB200" s="416"/>
      <c r="AC200" s="416"/>
      <c r="AD200" s="416"/>
      <c r="AE200" s="416"/>
    </row>
    <row r="201" spans="2:39" collapsed="1">
      <c r="B201" s="64" t="s">
        <v>278</v>
      </c>
      <c r="G201" s="563"/>
      <c r="L201" s="563"/>
      <c r="M201" s="416"/>
      <c r="N201" s="416"/>
      <c r="O201" s="416"/>
      <c r="P201" s="416"/>
      <c r="Q201" s="563"/>
      <c r="R201" s="416"/>
      <c r="S201" s="416"/>
      <c r="T201" s="416"/>
      <c r="U201" s="416"/>
      <c r="V201" s="563"/>
      <c r="W201" s="416"/>
      <c r="X201" s="416"/>
      <c r="Y201" s="416"/>
      <c r="Z201" s="416"/>
      <c r="AA201" s="563"/>
      <c r="AB201" s="416"/>
      <c r="AC201" s="416"/>
      <c r="AD201" s="416"/>
      <c r="AE201" s="416"/>
    </row>
    <row r="202" spans="2:39" s="205" customFormat="1">
      <c r="B202" s="197" t="s">
        <v>33</v>
      </c>
      <c r="C202" s="563"/>
      <c r="D202" s="563"/>
      <c r="E202" s="563"/>
      <c r="F202" s="563"/>
      <c r="G202" s="563"/>
      <c r="H202" s="563"/>
      <c r="I202" s="563"/>
      <c r="J202" s="563"/>
      <c r="K202" s="563"/>
      <c r="L202" s="563"/>
      <c r="M202" s="570"/>
      <c r="N202" s="570"/>
      <c r="O202" s="570"/>
      <c r="P202" s="570"/>
      <c r="Q202" s="563"/>
      <c r="R202" s="570"/>
      <c r="S202" s="570"/>
      <c r="T202" s="570"/>
      <c r="U202" s="570"/>
      <c r="V202" s="563"/>
      <c r="W202" s="570"/>
      <c r="X202" s="570"/>
      <c r="Y202" s="570"/>
      <c r="Z202" s="570"/>
      <c r="AA202" s="563"/>
      <c r="AB202" s="570"/>
      <c r="AC202" s="570"/>
      <c r="AD202" s="570"/>
      <c r="AE202" s="570"/>
      <c r="AF202" s="563"/>
      <c r="AG202" s="563"/>
      <c r="AH202" s="563"/>
      <c r="AI202" s="563"/>
      <c r="AJ202" s="563"/>
      <c r="AK202" s="563"/>
      <c r="AL202" s="563"/>
      <c r="AM202" s="563"/>
    </row>
    <row r="203" spans="2:39" s="205" customFormat="1">
      <c r="B203" s="231" t="s">
        <v>279</v>
      </c>
      <c r="C203" s="232"/>
      <c r="D203" s="232"/>
      <c r="E203" s="232"/>
      <c r="F203" s="232"/>
      <c r="G203" s="232"/>
      <c r="H203" s="232"/>
      <c r="I203" s="232"/>
      <c r="J203" s="232"/>
      <c r="K203" s="232"/>
      <c r="L203" s="232"/>
      <c r="M203" s="580"/>
      <c r="N203" s="580"/>
      <c r="O203" s="580"/>
      <c r="P203" s="580"/>
      <c r="Q203" s="232"/>
      <c r="R203" s="580"/>
      <c r="S203" s="580"/>
      <c r="T203" s="580"/>
      <c r="U203" s="580"/>
      <c r="V203" s="232"/>
      <c r="W203" s="580"/>
      <c r="X203" s="580"/>
      <c r="Y203" s="580"/>
      <c r="Z203" s="580"/>
      <c r="AA203" s="232"/>
      <c r="AB203" s="580"/>
      <c r="AC203" s="580"/>
      <c r="AD203" s="580"/>
      <c r="AE203" s="580"/>
      <c r="AF203" s="233"/>
      <c r="AG203" s="233"/>
      <c r="AH203" s="233"/>
      <c r="AI203" s="233"/>
      <c r="AJ203" s="233"/>
      <c r="AK203" s="233"/>
      <c r="AL203" s="233"/>
      <c r="AM203" s="233"/>
    </row>
    <row r="204" spans="2:39" hidden="1" outlineLevel="1">
      <c r="B204" s="197" t="s">
        <v>34</v>
      </c>
      <c r="C204" s="563"/>
      <c r="D204" s="563"/>
      <c r="E204" s="563"/>
      <c r="F204" s="563"/>
      <c r="G204" s="563"/>
      <c r="H204" s="563">
        <f>M204-5.8</f>
        <v>10.8</v>
      </c>
      <c r="I204" s="563">
        <v>13.5</v>
      </c>
      <c r="J204" s="563"/>
      <c r="K204" s="563"/>
      <c r="L204" s="563"/>
      <c r="M204" s="570">
        <v>16.600000000000001</v>
      </c>
      <c r="N204" s="570">
        <v>13.6</v>
      </c>
      <c r="O204" s="570">
        <v>15.2</v>
      </c>
      <c r="P204" s="570">
        <f>Q204-O204-N204-M204</f>
        <v>13.200000000000003</v>
      </c>
      <c r="Q204" s="563">
        <v>58.6</v>
      </c>
      <c r="R204" s="570">
        <v>15.2</v>
      </c>
      <c r="S204" s="570">
        <v>13.5</v>
      </c>
      <c r="T204" s="570">
        <v>9.1</v>
      </c>
      <c r="U204" s="570">
        <f>V204-T204-S204-R204</f>
        <v>5.1999999999999993</v>
      </c>
      <c r="V204" s="563">
        <v>43</v>
      </c>
      <c r="W204" s="570"/>
      <c r="X204" s="570">
        <f>S204*(1+X205)</f>
        <v>14.175000000000001</v>
      </c>
      <c r="Y204" s="570">
        <f>T204*(1+Y205)</f>
        <v>9.5549999999999997</v>
      </c>
      <c r="Z204" s="570">
        <f>U204*(1+Z205)</f>
        <v>5.4599999999999991</v>
      </c>
      <c r="AA204" s="563">
        <f>Z204+Y204+X204+W204</f>
        <v>29.189999999999998</v>
      </c>
      <c r="AB204" s="570"/>
      <c r="AC204" s="570"/>
      <c r="AD204" s="570"/>
      <c r="AE204" s="570"/>
      <c r="AF204" s="563">
        <f>AA204*(1+AF205)</f>
        <v>30.6495</v>
      </c>
      <c r="AG204" s="563">
        <f t="shared" ref="AG204:AM204" si="251">AF204*(1+AG205)</f>
        <v>32.181975000000001</v>
      </c>
      <c r="AH204" s="563">
        <f t="shared" si="251"/>
        <v>33.791073750000002</v>
      </c>
      <c r="AI204" s="563">
        <f t="shared" si="251"/>
        <v>35.480627437500004</v>
      </c>
      <c r="AJ204" s="563">
        <f t="shared" si="251"/>
        <v>37.254658809375009</v>
      </c>
      <c r="AK204" s="563">
        <f t="shared" si="251"/>
        <v>39.117391749843762</v>
      </c>
      <c r="AL204" s="563">
        <f t="shared" si="251"/>
        <v>41.07326133733595</v>
      </c>
      <c r="AM204" s="563">
        <f t="shared" si="251"/>
        <v>43.126924404202747</v>
      </c>
    </row>
    <row r="205" spans="2:39" s="205" customFormat="1" hidden="1" outlineLevel="1">
      <c r="B205" s="231" t="s">
        <v>273</v>
      </c>
      <c r="C205" s="232"/>
      <c r="D205" s="232"/>
      <c r="E205" s="232"/>
      <c r="F205" s="232"/>
      <c r="G205" s="232"/>
      <c r="H205" s="232"/>
      <c r="I205" s="232"/>
      <c r="J205" s="232"/>
      <c r="K205" s="232"/>
      <c r="L205" s="232"/>
      <c r="M205" s="580"/>
      <c r="N205" s="580"/>
      <c r="O205" s="580"/>
      <c r="P205" s="580"/>
      <c r="Q205" s="232"/>
      <c r="R205" s="580">
        <f>R204/M204-1</f>
        <v>-8.4337349397590522E-2</v>
      </c>
      <c r="S205" s="580">
        <f>S204/N204-1</f>
        <v>-7.3529411764705621E-3</v>
      </c>
      <c r="T205" s="580">
        <f>T204/O204-1</f>
        <v>-0.40131578947368418</v>
      </c>
      <c r="U205" s="580">
        <f>U204/P204-1</f>
        <v>-0.60606060606060619</v>
      </c>
      <c r="V205" s="232">
        <f>V204/Q204-1</f>
        <v>-0.2662116040955631</v>
      </c>
      <c r="W205" s="580">
        <v>0.05</v>
      </c>
      <c r="X205" s="580">
        <v>0.05</v>
      </c>
      <c r="Y205" s="580">
        <v>0.05</v>
      </c>
      <c r="Z205" s="580">
        <v>0.05</v>
      </c>
      <c r="AA205" s="232">
        <f>AA204/V204-1</f>
        <v>-0.32116279069767451</v>
      </c>
      <c r="AB205" s="580"/>
      <c r="AC205" s="580"/>
      <c r="AD205" s="580"/>
      <c r="AE205" s="580"/>
      <c r="AF205" s="233">
        <v>0.05</v>
      </c>
      <c r="AG205" s="233">
        <f t="shared" ref="AG205:AM205" si="252">AF205</f>
        <v>0.05</v>
      </c>
      <c r="AH205" s="233">
        <f t="shared" si="252"/>
        <v>0.05</v>
      </c>
      <c r="AI205" s="233">
        <f t="shared" si="252"/>
        <v>0.05</v>
      </c>
      <c r="AJ205" s="233">
        <f t="shared" si="252"/>
        <v>0.05</v>
      </c>
      <c r="AK205" s="233">
        <f t="shared" si="252"/>
        <v>0.05</v>
      </c>
      <c r="AL205" s="233">
        <f t="shared" si="252"/>
        <v>0.05</v>
      </c>
      <c r="AM205" s="233">
        <f t="shared" si="252"/>
        <v>0.05</v>
      </c>
    </row>
    <row r="206" spans="2:39" s="205" customFormat="1" hidden="1" outlineLevel="1">
      <c r="B206" s="231"/>
      <c r="C206" s="232"/>
      <c r="D206" s="232"/>
      <c r="E206" s="232"/>
      <c r="F206" s="232"/>
      <c r="G206" s="232"/>
      <c r="H206" s="232"/>
      <c r="I206" s="232"/>
      <c r="J206" s="232"/>
      <c r="K206" s="232"/>
      <c r="L206" s="232"/>
      <c r="M206" s="580"/>
      <c r="N206" s="580"/>
      <c r="O206" s="580"/>
      <c r="P206" s="580"/>
      <c r="Q206" s="232"/>
      <c r="R206" s="580"/>
      <c r="S206" s="580"/>
      <c r="T206" s="580"/>
      <c r="U206" s="580"/>
      <c r="V206" s="232"/>
      <c r="W206" s="580"/>
      <c r="X206" s="580"/>
      <c r="Y206" s="580"/>
      <c r="Z206" s="580"/>
      <c r="AA206" s="232"/>
      <c r="AB206" s="580"/>
      <c r="AC206" s="580"/>
      <c r="AD206" s="580"/>
      <c r="AE206" s="580"/>
      <c r="AF206" s="233"/>
      <c r="AG206" s="233"/>
      <c r="AH206" s="233"/>
      <c r="AI206" s="233"/>
      <c r="AJ206" s="233"/>
      <c r="AK206" s="233"/>
      <c r="AL206" s="233"/>
      <c r="AM206" s="233"/>
    </row>
    <row r="207" spans="2:39" s="413" customFormat="1" collapsed="1">
      <c r="B207" s="413" t="s">
        <v>445</v>
      </c>
      <c r="G207" s="563"/>
      <c r="L207" s="563"/>
      <c r="M207" s="416"/>
      <c r="N207" s="416"/>
      <c r="O207" s="416"/>
      <c r="P207" s="416"/>
      <c r="Q207" s="563"/>
      <c r="R207" s="416"/>
      <c r="S207" s="416"/>
      <c r="T207" s="416"/>
      <c r="U207" s="416"/>
      <c r="V207" s="563"/>
      <c r="W207" s="416"/>
      <c r="X207" s="416"/>
      <c r="Y207" s="416"/>
      <c r="Z207" s="416"/>
      <c r="AA207" s="563"/>
      <c r="AB207" s="416"/>
      <c r="AC207" s="416"/>
      <c r="AD207" s="416"/>
      <c r="AE207" s="416"/>
    </row>
    <row r="208" spans="2:39" s="205" customFormat="1">
      <c r="B208" s="197" t="s">
        <v>33</v>
      </c>
      <c r="C208" s="563"/>
      <c r="D208" s="563"/>
      <c r="E208" s="563"/>
      <c r="F208" s="563"/>
      <c r="G208" s="563"/>
      <c r="H208" s="563"/>
      <c r="I208" s="563"/>
      <c r="J208" s="563"/>
      <c r="K208" s="563"/>
      <c r="L208" s="563"/>
      <c r="M208" s="570"/>
      <c r="N208" s="570"/>
      <c r="O208" s="570"/>
      <c r="P208" s="570"/>
      <c r="Q208" s="563"/>
      <c r="R208" s="570"/>
      <c r="S208" s="570"/>
      <c r="T208" s="570"/>
      <c r="U208" s="570"/>
      <c r="V208" s="563"/>
      <c r="W208" s="570"/>
      <c r="X208" s="570"/>
      <c r="Y208" s="570"/>
      <c r="Z208" s="570"/>
      <c r="AA208" s="563"/>
      <c r="AB208" s="570"/>
      <c r="AC208" s="570"/>
      <c r="AD208" s="570"/>
      <c r="AE208" s="570"/>
      <c r="AF208" s="563"/>
      <c r="AG208" s="563"/>
      <c r="AH208" s="563"/>
      <c r="AI208" s="563"/>
      <c r="AJ208" s="563"/>
      <c r="AK208" s="563"/>
      <c r="AL208" s="563"/>
      <c r="AM208" s="563"/>
    </row>
    <row r="209" spans="2:39" s="205" customFormat="1">
      <c r="B209" s="231" t="s">
        <v>279</v>
      </c>
      <c r="C209" s="232"/>
      <c r="D209" s="232"/>
      <c r="E209" s="232"/>
      <c r="F209" s="232"/>
      <c r="G209" s="232"/>
      <c r="H209" s="232"/>
      <c r="I209" s="232"/>
      <c r="J209" s="232"/>
      <c r="K209" s="232"/>
      <c r="L209" s="232"/>
      <c r="M209" s="580"/>
      <c r="N209" s="580"/>
      <c r="O209" s="580"/>
      <c r="P209" s="580"/>
      <c r="Q209" s="232"/>
      <c r="R209" s="580"/>
      <c r="S209" s="580"/>
      <c r="T209" s="580"/>
      <c r="U209" s="580"/>
      <c r="V209" s="232"/>
      <c r="W209" s="580"/>
      <c r="X209" s="580"/>
      <c r="Y209" s="580"/>
      <c r="Z209" s="580"/>
      <c r="AA209" s="232"/>
      <c r="AB209" s="580"/>
      <c r="AC209" s="580"/>
      <c r="AD209" s="580"/>
      <c r="AE209" s="580"/>
      <c r="AF209" s="233"/>
      <c r="AG209" s="233"/>
      <c r="AH209" s="233"/>
      <c r="AI209" s="233"/>
      <c r="AJ209" s="233"/>
      <c r="AK209" s="233"/>
      <c r="AL209" s="233"/>
      <c r="AM209" s="233"/>
    </row>
    <row r="210" spans="2:39" s="413" customFormat="1" hidden="1" outlineLevel="1">
      <c r="B210" s="197" t="s">
        <v>34</v>
      </c>
      <c r="C210" s="563"/>
      <c r="D210" s="563"/>
      <c r="E210" s="563"/>
      <c r="F210" s="563"/>
      <c r="G210" s="563"/>
      <c r="H210" s="563">
        <f>M210-13.3</f>
        <v>5</v>
      </c>
      <c r="I210" s="563">
        <v>11.7</v>
      </c>
      <c r="J210" s="563"/>
      <c r="K210" s="563"/>
      <c r="L210" s="563"/>
      <c r="M210" s="570">
        <v>18.3</v>
      </c>
      <c r="N210" s="570">
        <v>19.7</v>
      </c>
      <c r="O210" s="570">
        <v>17.399999999999999</v>
      </c>
      <c r="P210" s="570">
        <f>Q210-O210-N210-M210</f>
        <v>9.8000000000000043</v>
      </c>
      <c r="Q210" s="563">
        <v>65.2</v>
      </c>
      <c r="R210" s="570">
        <v>2.1</v>
      </c>
      <c r="S210" s="570">
        <v>0.6</v>
      </c>
      <c r="T210" s="570">
        <v>-0.9</v>
      </c>
      <c r="U210" s="570">
        <f>V210-T210-S210-R210</f>
        <v>-0.80000000000000027</v>
      </c>
      <c r="V210" s="563">
        <v>1</v>
      </c>
      <c r="W210" s="570"/>
      <c r="X210" s="570"/>
      <c r="Y210" s="570"/>
      <c r="Z210" s="570"/>
      <c r="AA210" s="563"/>
      <c r="AB210" s="570"/>
      <c r="AC210" s="570"/>
      <c r="AD210" s="570"/>
      <c r="AE210" s="570"/>
      <c r="AF210" s="563">
        <f>AA210*(1+AF211)</f>
        <v>0</v>
      </c>
      <c r="AG210" s="563">
        <f t="shared" ref="AG210:AM210" si="253">AF210*(1+AG211)</f>
        <v>0</v>
      </c>
      <c r="AH210" s="563">
        <f t="shared" si="253"/>
        <v>0</v>
      </c>
      <c r="AI210" s="563">
        <f t="shared" si="253"/>
        <v>0</v>
      </c>
      <c r="AJ210" s="563">
        <f t="shared" si="253"/>
        <v>0</v>
      </c>
      <c r="AK210" s="563">
        <f t="shared" si="253"/>
        <v>0</v>
      </c>
      <c r="AL210" s="563">
        <f t="shared" si="253"/>
        <v>0</v>
      </c>
      <c r="AM210" s="563">
        <f t="shared" si="253"/>
        <v>0</v>
      </c>
    </row>
    <row r="211" spans="2:39" s="205" customFormat="1" hidden="1" outlineLevel="1">
      <c r="B211" s="231" t="s">
        <v>273</v>
      </c>
      <c r="C211" s="232"/>
      <c r="D211" s="232"/>
      <c r="E211" s="232"/>
      <c r="F211" s="232"/>
      <c r="G211" s="232"/>
      <c r="H211" s="232"/>
      <c r="I211" s="232"/>
      <c r="J211" s="232"/>
      <c r="K211" s="232"/>
      <c r="L211" s="232"/>
      <c r="M211" s="580"/>
      <c r="N211" s="580"/>
      <c r="O211" s="580"/>
      <c r="P211" s="580"/>
      <c r="Q211" s="232"/>
      <c r="R211" s="580">
        <f>R210/M210-1</f>
        <v>-0.88524590163934425</v>
      </c>
      <c r="S211" s="580">
        <f>S210/N210-1</f>
        <v>-0.96954314720812185</v>
      </c>
      <c r="T211" s="580">
        <f>T210/O210-1</f>
        <v>-1.0517241379310345</v>
      </c>
      <c r="U211" s="580">
        <f>U210/P210-1</f>
        <v>-1.0816326530612246</v>
      </c>
      <c r="V211" s="232">
        <f>V210/Q210-1</f>
        <v>-0.98466257668711654</v>
      </c>
      <c r="W211" s="580"/>
      <c r="X211" s="580"/>
      <c r="Y211" s="580"/>
      <c r="Z211" s="580"/>
      <c r="AA211" s="232"/>
      <c r="AB211" s="580"/>
      <c r="AC211" s="580"/>
      <c r="AD211" s="580"/>
      <c r="AE211" s="580"/>
      <c r="AF211" s="233">
        <v>0</v>
      </c>
      <c r="AG211" s="233">
        <v>0</v>
      </c>
      <c r="AH211" s="233">
        <v>0</v>
      </c>
      <c r="AI211" s="233">
        <v>0</v>
      </c>
      <c r="AJ211" s="233">
        <v>0</v>
      </c>
      <c r="AK211" s="233">
        <v>0</v>
      </c>
      <c r="AL211" s="233">
        <v>0</v>
      </c>
      <c r="AM211" s="233">
        <v>0</v>
      </c>
    </row>
    <row r="212" spans="2:39" s="413" customFormat="1" hidden="1" outlineLevel="1">
      <c r="B212" s="231"/>
      <c r="G212" s="563"/>
      <c r="L212" s="563"/>
      <c r="M212" s="416"/>
      <c r="N212" s="416"/>
      <c r="O212" s="416"/>
      <c r="P212" s="416"/>
      <c r="Q212" s="563"/>
      <c r="R212" s="416"/>
      <c r="S212" s="416"/>
      <c r="T212" s="416"/>
      <c r="U212" s="416"/>
      <c r="V212" s="563"/>
      <c r="W212" s="416"/>
      <c r="X212" s="416"/>
      <c r="Y212" s="416"/>
      <c r="Z212" s="416"/>
      <c r="AA212" s="563"/>
      <c r="AB212" s="416"/>
      <c r="AC212" s="416"/>
      <c r="AD212" s="416"/>
      <c r="AE212" s="416"/>
    </row>
    <row r="213" spans="2:39" s="413" customFormat="1" hidden="1" outlineLevel="1">
      <c r="B213" s="413" t="s">
        <v>449</v>
      </c>
      <c r="G213" s="563"/>
      <c r="L213" s="563"/>
      <c r="M213" s="416"/>
      <c r="N213" s="416"/>
      <c r="O213" s="416"/>
      <c r="P213" s="416"/>
      <c r="Q213" s="563"/>
      <c r="R213" s="416"/>
      <c r="S213" s="416"/>
      <c r="T213" s="416"/>
      <c r="U213" s="416"/>
      <c r="V213" s="563"/>
      <c r="W213" s="416"/>
      <c r="X213" s="416"/>
      <c r="Y213" s="416"/>
      <c r="Z213" s="416"/>
      <c r="AA213" s="563"/>
      <c r="AB213" s="416"/>
      <c r="AC213" s="416"/>
      <c r="AD213" s="416"/>
      <c r="AE213" s="416"/>
    </row>
    <row r="214" spans="2:39" s="205" customFormat="1" hidden="1" outlineLevel="1">
      <c r="B214" s="197" t="s">
        <v>33</v>
      </c>
      <c r="C214" s="563"/>
      <c r="D214" s="563"/>
      <c r="E214" s="563"/>
      <c r="F214" s="563"/>
      <c r="G214" s="563"/>
      <c r="H214" s="563"/>
      <c r="I214" s="563"/>
      <c r="J214" s="563"/>
      <c r="K214" s="563"/>
      <c r="L214" s="563"/>
      <c r="M214" s="570"/>
      <c r="N214" s="570"/>
      <c r="O214" s="570"/>
      <c r="P214" s="570"/>
      <c r="Q214" s="563"/>
      <c r="R214" s="570"/>
      <c r="S214" s="570"/>
      <c r="T214" s="570"/>
      <c r="U214" s="570"/>
      <c r="V214" s="563"/>
      <c r="W214" s="570"/>
      <c r="X214" s="570"/>
      <c r="Y214" s="570"/>
      <c r="Z214" s="570"/>
      <c r="AA214" s="563"/>
      <c r="AB214" s="570"/>
      <c r="AC214" s="570"/>
      <c r="AD214" s="570"/>
      <c r="AE214" s="570"/>
      <c r="AF214" s="563"/>
      <c r="AG214" s="563"/>
      <c r="AH214" s="563"/>
      <c r="AI214" s="563"/>
      <c r="AJ214" s="563"/>
      <c r="AK214" s="563"/>
      <c r="AL214" s="563"/>
      <c r="AM214" s="563"/>
    </row>
    <row r="215" spans="2:39" s="205" customFormat="1" hidden="1" outlineLevel="1">
      <c r="B215" s="231" t="s">
        <v>279</v>
      </c>
      <c r="C215" s="232"/>
      <c r="D215" s="232"/>
      <c r="E215" s="232"/>
      <c r="F215" s="232"/>
      <c r="G215" s="232"/>
      <c r="H215" s="232"/>
      <c r="I215" s="232"/>
      <c r="J215" s="232"/>
      <c r="K215" s="232"/>
      <c r="L215" s="232"/>
      <c r="M215" s="580"/>
      <c r="N215" s="580"/>
      <c r="O215" s="580"/>
      <c r="P215" s="580"/>
      <c r="Q215" s="232"/>
      <c r="R215" s="580"/>
      <c r="S215" s="580"/>
      <c r="T215" s="580"/>
      <c r="U215" s="580"/>
      <c r="V215" s="232"/>
      <c r="W215" s="580"/>
      <c r="X215" s="580"/>
      <c r="Y215" s="580"/>
      <c r="Z215" s="580"/>
      <c r="AA215" s="232"/>
      <c r="AB215" s="580"/>
      <c r="AC215" s="580"/>
      <c r="AD215" s="580"/>
      <c r="AE215" s="580"/>
      <c r="AF215" s="233"/>
      <c r="AG215" s="233"/>
      <c r="AH215" s="233"/>
      <c r="AI215" s="233"/>
      <c r="AJ215" s="233"/>
      <c r="AK215" s="233"/>
      <c r="AL215" s="233"/>
      <c r="AM215" s="233"/>
    </row>
    <row r="216" spans="2:39" s="413" customFormat="1" hidden="1" outlineLevel="1">
      <c r="B216" s="197" t="s">
        <v>34</v>
      </c>
      <c r="C216" s="563"/>
      <c r="D216" s="563"/>
      <c r="E216" s="563"/>
      <c r="F216" s="563"/>
      <c r="G216" s="563"/>
      <c r="H216" s="563">
        <f>M216-8</f>
        <v>-0.60000000000000142</v>
      </c>
      <c r="I216" s="563">
        <v>8.8000000000000007</v>
      </c>
      <c r="J216" s="563"/>
      <c r="K216" s="563"/>
      <c r="L216" s="563"/>
      <c r="M216" s="570">
        <f>13.2-M174</f>
        <v>7.3999999999999986</v>
      </c>
      <c r="N216" s="570">
        <v>8.5</v>
      </c>
      <c r="O216" s="570">
        <v>9.6</v>
      </c>
      <c r="P216" s="570">
        <f>Q216-O216-N216-M216</f>
        <v>8.8817841970012523E-15</v>
      </c>
      <c r="Q216" s="563">
        <f>76.9-Q174-Q192</f>
        <v>25.500000000000007</v>
      </c>
      <c r="R216" s="570">
        <f>28.1-R174</f>
        <v>16.399999999999999</v>
      </c>
      <c r="S216" s="570">
        <v>12.6</v>
      </c>
      <c r="T216" s="570">
        <v>15.3</v>
      </c>
      <c r="U216" s="570">
        <f>V216-S216-T216-R216</f>
        <v>11.599999999999998</v>
      </c>
      <c r="V216" s="563">
        <v>55.9</v>
      </c>
      <c r="W216" s="570">
        <v>19.600000000000001</v>
      </c>
      <c r="X216" s="570"/>
      <c r="Y216" s="570"/>
      <c r="Z216" s="570"/>
      <c r="AA216" s="563"/>
      <c r="AB216" s="570"/>
      <c r="AC216" s="570"/>
      <c r="AD216" s="570"/>
      <c r="AE216" s="570"/>
      <c r="AF216" s="563"/>
      <c r="AG216" s="563"/>
      <c r="AH216" s="563"/>
      <c r="AI216" s="563"/>
      <c r="AJ216" s="563"/>
      <c r="AK216" s="563"/>
      <c r="AL216" s="563"/>
      <c r="AM216" s="563"/>
    </row>
    <row r="217" spans="2:39" s="413" customFormat="1" hidden="1" outlineLevel="1">
      <c r="B217" s="231" t="s">
        <v>273</v>
      </c>
      <c r="G217" s="563"/>
      <c r="L217" s="563"/>
      <c r="M217" s="416"/>
      <c r="N217" s="416"/>
      <c r="O217" s="416"/>
      <c r="P217" s="416"/>
      <c r="Q217" s="563"/>
      <c r="R217" s="206"/>
      <c r="S217" s="206"/>
      <c r="T217" s="206"/>
      <c r="U217" s="206"/>
      <c r="V217" s="187"/>
      <c r="W217" s="580">
        <f>W216/R216-1</f>
        <v>0.19512195121951237</v>
      </c>
      <c r="X217" s="416"/>
      <c r="Y217" s="416"/>
      <c r="Z217" s="416"/>
      <c r="AA217" s="232"/>
      <c r="AB217" s="580"/>
      <c r="AC217" s="416"/>
      <c r="AD217" s="416"/>
      <c r="AE217" s="416"/>
      <c r="AF217" s="233"/>
      <c r="AG217" s="233"/>
      <c r="AH217" s="233"/>
      <c r="AI217" s="233"/>
      <c r="AJ217" s="233"/>
      <c r="AK217" s="233"/>
      <c r="AL217" s="233"/>
      <c r="AM217" s="233"/>
    </row>
    <row r="218" spans="2:39" s="413" customFormat="1" collapsed="1">
      <c r="B218" s="231"/>
      <c r="G218" s="223"/>
      <c r="L218" s="223"/>
      <c r="M218" s="416"/>
      <c r="N218" s="416"/>
      <c r="O218" s="416"/>
      <c r="P218" s="416"/>
      <c r="Q218" s="223"/>
      <c r="R218" s="416"/>
      <c r="S218" s="416"/>
      <c r="T218" s="416"/>
      <c r="U218" s="416"/>
      <c r="V218" s="223"/>
      <c r="W218" s="416"/>
      <c r="X218" s="416"/>
      <c r="Y218" s="416"/>
      <c r="Z218" s="416"/>
      <c r="AA218" s="223"/>
      <c r="AB218" s="416"/>
      <c r="AC218" s="416"/>
      <c r="AD218" s="416"/>
      <c r="AE218" s="416"/>
    </row>
    <row r="219" spans="2:39" s="413" customFormat="1">
      <c r="B219" s="413" t="s">
        <v>569</v>
      </c>
      <c r="G219" s="223"/>
      <c r="L219" s="223"/>
      <c r="M219" s="416"/>
      <c r="N219" s="416"/>
      <c r="O219" s="416"/>
      <c r="P219" s="416"/>
      <c r="Q219" s="223"/>
      <c r="R219" s="416"/>
      <c r="S219" s="416"/>
      <c r="T219" s="416"/>
      <c r="U219" s="416"/>
      <c r="V219" s="223"/>
      <c r="W219" s="416"/>
      <c r="X219" s="416"/>
      <c r="Y219" s="416"/>
      <c r="Z219" s="416"/>
      <c r="AA219" s="223"/>
      <c r="AB219" s="416"/>
      <c r="AC219" s="416"/>
      <c r="AD219" s="416"/>
      <c r="AE219" s="416"/>
    </row>
    <row r="220" spans="2:39" s="413" customFormat="1" hidden="1" outlineLevel="1">
      <c r="B220" s="197" t="s">
        <v>34</v>
      </c>
      <c r="C220" s="563"/>
      <c r="D220" s="563"/>
      <c r="E220" s="563"/>
      <c r="F220" s="563"/>
      <c r="G220" s="563"/>
      <c r="H220" s="563"/>
      <c r="I220" s="563"/>
      <c r="J220" s="563"/>
      <c r="K220" s="563"/>
      <c r="L220" s="563"/>
      <c r="M220" s="570"/>
      <c r="N220" s="570"/>
      <c r="O220" s="570"/>
      <c r="P220" s="570"/>
      <c r="Q220" s="563"/>
      <c r="R220" s="570"/>
      <c r="S220" s="570"/>
      <c r="T220" s="570"/>
      <c r="U220" s="570"/>
      <c r="V220" s="563"/>
      <c r="W220" s="570">
        <v>3.9</v>
      </c>
      <c r="X220" s="570"/>
      <c r="Y220" s="570"/>
      <c r="Z220" s="570"/>
      <c r="AA220" s="563"/>
      <c r="AB220" s="570"/>
      <c r="AC220" s="570"/>
      <c r="AD220" s="570"/>
      <c r="AE220" s="570"/>
      <c r="AF220" s="563"/>
      <c r="AG220" s="563"/>
      <c r="AH220" s="563"/>
      <c r="AI220" s="563"/>
      <c r="AJ220" s="563"/>
      <c r="AK220" s="563"/>
      <c r="AL220" s="563"/>
      <c r="AM220" s="563"/>
    </row>
    <row r="221" spans="2:39" s="413" customFormat="1" hidden="1" outlineLevel="1">
      <c r="B221" s="231" t="s">
        <v>273</v>
      </c>
      <c r="G221" s="563"/>
      <c r="L221" s="563"/>
      <c r="M221" s="416"/>
      <c r="N221" s="416"/>
      <c r="O221" s="416"/>
      <c r="P221" s="416"/>
      <c r="Q221" s="563"/>
      <c r="R221" s="206"/>
      <c r="S221" s="206"/>
      <c r="T221" s="206"/>
      <c r="U221" s="206"/>
      <c r="V221" s="187"/>
      <c r="W221" s="580"/>
      <c r="X221" s="416"/>
      <c r="Y221" s="416"/>
      <c r="Z221" s="416"/>
      <c r="AA221" s="232"/>
      <c r="AB221" s="580"/>
      <c r="AC221" s="416"/>
      <c r="AD221" s="416"/>
      <c r="AE221" s="416"/>
      <c r="AF221" s="233"/>
      <c r="AG221" s="233"/>
      <c r="AH221" s="233"/>
      <c r="AI221" s="233"/>
      <c r="AJ221" s="233"/>
      <c r="AK221" s="233"/>
      <c r="AL221" s="233"/>
      <c r="AM221" s="233"/>
    </row>
    <row r="222" spans="2:39" s="413" customFormat="1" collapsed="1">
      <c r="B222" s="231"/>
      <c r="G222" s="223"/>
      <c r="L222" s="223"/>
      <c r="M222" s="416"/>
      <c r="N222" s="416"/>
      <c r="O222" s="416"/>
      <c r="P222" s="416"/>
      <c r="Q222" s="223"/>
      <c r="R222" s="416"/>
      <c r="S222" s="416"/>
      <c r="T222" s="416"/>
      <c r="U222" s="416"/>
      <c r="V222" s="223"/>
      <c r="W222" s="416"/>
      <c r="X222" s="416"/>
      <c r="Y222" s="416"/>
      <c r="Z222" s="416"/>
      <c r="AA222" s="223"/>
      <c r="AB222" s="416"/>
      <c r="AC222" s="416"/>
      <c r="AD222" s="416"/>
      <c r="AE222" s="416"/>
    </row>
    <row r="223" spans="2:39" s="413" customFormat="1">
      <c r="B223" s="231"/>
      <c r="G223" s="223"/>
      <c r="L223" s="223"/>
      <c r="M223" s="416"/>
      <c r="N223" s="416"/>
      <c r="O223" s="416"/>
      <c r="P223" s="416"/>
      <c r="Q223" s="223"/>
      <c r="R223" s="416"/>
      <c r="S223" s="416"/>
      <c r="T223" s="416"/>
      <c r="U223" s="416"/>
      <c r="V223" s="223"/>
      <c r="W223" s="416"/>
      <c r="X223" s="416"/>
      <c r="Y223" s="416"/>
      <c r="Z223" s="416"/>
      <c r="AA223" s="223"/>
      <c r="AB223" s="416"/>
      <c r="AC223" s="416"/>
      <c r="AD223" s="416"/>
      <c r="AE223" s="416"/>
    </row>
    <row r="224" spans="2:39" s="413" customFormat="1">
      <c r="B224" s="231"/>
      <c r="G224" s="223"/>
      <c r="L224" s="223"/>
      <c r="M224" s="416"/>
      <c r="N224" s="416"/>
      <c r="O224" s="416"/>
      <c r="P224" s="416"/>
      <c r="Q224" s="223"/>
      <c r="R224" s="416"/>
      <c r="S224" s="416"/>
      <c r="T224" s="416"/>
      <c r="U224" s="416"/>
      <c r="V224" s="223"/>
      <c r="W224" s="416"/>
      <c r="X224" s="416"/>
      <c r="Y224" s="416"/>
      <c r="Z224" s="416"/>
      <c r="AA224" s="223"/>
      <c r="AB224" s="416"/>
      <c r="AC224" s="416"/>
      <c r="AD224" s="416"/>
      <c r="AE224" s="416"/>
    </row>
    <row r="225" spans="2:44" s="205" customFormat="1">
      <c r="B225" s="226" t="s">
        <v>283</v>
      </c>
      <c r="C225" s="224"/>
      <c r="D225" s="224"/>
      <c r="E225" s="224"/>
      <c r="F225" s="224"/>
      <c r="G225" s="224"/>
      <c r="H225" s="224"/>
      <c r="I225" s="224"/>
      <c r="J225" s="224"/>
      <c r="K225" s="224"/>
      <c r="L225" s="224">
        <f>L144+L136+L128+L120</f>
        <v>125.60966077914982</v>
      </c>
      <c r="M225" s="571">
        <f>M120+M128+M136+M144</f>
        <v>30.041630000000001</v>
      </c>
      <c r="N225" s="571">
        <f>N120+N128+N136+N144</f>
        <v>39.702310000000004</v>
      </c>
      <c r="O225" s="571">
        <f>O120+O128+O136+O144</f>
        <v>34.370530000000002</v>
      </c>
      <c r="P225" s="571"/>
      <c r="Q225" s="224">
        <f t="shared" ref="Q225:AE225" si="254">Q144+Q136+Q128+Q120+Q166+Q202+Q178+Q184+Q196+Q172</f>
        <v>158.66613756856657</v>
      </c>
      <c r="R225" s="571">
        <f t="shared" si="254"/>
        <v>42.107780000000005</v>
      </c>
      <c r="S225" s="571">
        <f t="shared" si="254"/>
        <v>50.169940000000011</v>
      </c>
      <c r="T225" s="571">
        <f t="shared" si="254"/>
        <v>49.424810000000015</v>
      </c>
      <c r="U225" s="571">
        <f t="shared" si="254"/>
        <v>56.582016199642922</v>
      </c>
      <c r="V225" s="224">
        <f t="shared" si="254"/>
        <v>198.28454619964299</v>
      </c>
      <c r="W225" s="571">
        <f t="shared" si="254"/>
        <v>54.275380000000013</v>
      </c>
      <c r="X225" s="571">
        <f t="shared" si="254"/>
        <v>56.656000000000013</v>
      </c>
      <c r="Y225" s="571">
        <f t="shared" si="254"/>
        <v>54.545999999999999</v>
      </c>
      <c r="Z225" s="571">
        <f t="shared" si="254"/>
        <v>67.292098264853664</v>
      </c>
      <c r="AA225" s="224">
        <f t="shared" si="254"/>
        <v>232.76947826485369</v>
      </c>
      <c r="AB225" s="571">
        <f t="shared" si="254"/>
        <v>62.075454465148567</v>
      </c>
      <c r="AC225" s="571">
        <f t="shared" si="254"/>
        <v>65.44867625613017</v>
      </c>
      <c r="AD225" s="571">
        <f t="shared" si="254"/>
        <v>63.147993551019965</v>
      </c>
      <c r="AE225" s="571">
        <f t="shared" si="254"/>
        <v>79.98842480327059</v>
      </c>
      <c r="AF225" s="224">
        <f t="shared" ref="AF225:AR225" si="255">AF144+AF136+AF128+AF120+AF166+AF202+AF178+AF184+AF196+AF172+AF190</f>
        <v>270.66054907556929</v>
      </c>
      <c r="AG225" s="224">
        <f t="shared" si="255"/>
        <v>308.27951443288799</v>
      </c>
      <c r="AH225" s="224">
        <f t="shared" si="255"/>
        <v>374.94031951219227</v>
      </c>
      <c r="AI225" s="224">
        <f t="shared" si="255"/>
        <v>451.22313330565345</v>
      </c>
      <c r="AJ225" s="224">
        <f t="shared" si="255"/>
        <v>524.75923704003492</v>
      </c>
      <c r="AK225" s="224">
        <f t="shared" si="255"/>
        <v>598.44437581144075</v>
      </c>
      <c r="AL225" s="224">
        <f t="shared" si="255"/>
        <v>680.76571558983755</v>
      </c>
      <c r="AM225" s="224">
        <f t="shared" si="255"/>
        <v>769.19770342951938</v>
      </c>
      <c r="AN225" s="224">
        <f t="shared" si="255"/>
        <v>856.98341425794058</v>
      </c>
      <c r="AO225" s="224">
        <f t="shared" si="255"/>
        <v>933.24834526265136</v>
      </c>
      <c r="AP225" s="224">
        <f t="shared" si="255"/>
        <v>987.1973720063595</v>
      </c>
      <c r="AQ225" s="224">
        <f t="shared" si="255"/>
        <v>1045.7629359418172</v>
      </c>
      <c r="AR225" s="224">
        <f t="shared" si="255"/>
        <v>1103.1548219885299</v>
      </c>
    </row>
    <row r="226" spans="2:44" s="205" customFormat="1">
      <c r="B226" s="226" t="s">
        <v>472</v>
      </c>
      <c r="C226" s="224"/>
      <c r="D226" s="224"/>
      <c r="E226" s="224"/>
      <c r="F226" s="224"/>
      <c r="G226" s="224"/>
      <c r="H226" s="224"/>
      <c r="I226" s="224"/>
      <c r="J226" s="224"/>
      <c r="K226" s="224"/>
      <c r="L226" s="224">
        <f>IS!V28</f>
        <v>117.95700000000001</v>
      </c>
      <c r="M226" s="571">
        <f>IS!W28</f>
        <v>29.698</v>
      </c>
      <c r="N226" s="571">
        <f>IS!X28</f>
        <v>36.313000000000002</v>
      </c>
      <c r="O226" s="571">
        <f>IS!Y28</f>
        <v>33.518000000000001</v>
      </c>
      <c r="P226" s="571"/>
      <c r="Q226" s="224">
        <f>IS!AA28</f>
        <v>145.07299999999998</v>
      </c>
      <c r="R226" s="571">
        <f>IS!AB28</f>
        <v>41.556000000000004</v>
      </c>
      <c r="S226" s="571">
        <f>IS!AC28</f>
        <v>49.327999999999996</v>
      </c>
      <c r="T226" s="571">
        <f>IS!AD28</f>
        <v>48.646000000000001</v>
      </c>
      <c r="U226" s="571"/>
      <c r="V226" s="224"/>
      <c r="W226" s="571"/>
      <c r="X226" s="571"/>
      <c r="Y226" s="571"/>
      <c r="Z226" s="571"/>
      <c r="AA226" s="224"/>
      <c r="AB226" s="571"/>
      <c r="AC226" s="571"/>
      <c r="AD226" s="571"/>
      <c r="AE226" s="571"/>
      <c r="AF226" s="224"/>
      <c r="AG226" s="224"/>
      <c r="AH226" s="224"/>
      <c r="AI226" s="224"/>
      <c r="AJ226" s="224"/>
      <c r="AK226" s="224"/>
      <c r="AL226" s="224"/>
      <c r="AM226" s="224"/>
      <c r="AN226" s="224"/>
      <c r="AO226" s="224"/>
      <c r="AP226" s="224"/>
      <c r="AQ226" s="224"/>
      <c r="AR226" s="224"/>
    </row>
    <row r="227" spans="2:44" s="205" customFormat="1">
      <c r="B227" s="197" t="s">
        <v>471</v>
      </c>
      <c r="C227" s="223"/>
      <c r="D227" s="223"/>
      <c r="E227" s="223"/>
      <c r="F227" s="223"/>
      <c r="G227" s="223"/>
      <c r="H227" s="223"/>
      <c r="I227" s="223"/>
      <c r="J227" s="223"/>
      <c r="K227" s="223"/>
      <c r="L227" s="223">
        <f>L226-L225</f>
        <v>-7.6526607791498122</v>
      </c>
      <c r="M227" s="570">
        <f>M226-M225</f>
        <v>-0.34363000000000099</v>
      </c>
      <c r="N227" s="570">
        <f>N226-N225</f>
        <v>-3.3893100000000018</v>
      </c>
      <c r="O227" s="570">
        <f>O226-O225</f>
        <v>-0.85253000000000156</v>
      </c>
      <c r="P227" s="570"/>
      <c r="Q227" s="223">
        <f>Q226-Q225</f>
        <v>-13.59313756856659</v>
      </c>
      <c r="R227" s="570">
        <f>R226-R225</f>
        <v>-0.55178000000000083</v>
      </c>
      <c r="S227" s="570">
        <f>S226-S225</f>
        <v>-0.84194000000001523</v>
      </c>
      <c r="T227" s="570">
        <f>T226-T225</f>
        <v>-0.77881000000001421</v>
      </c>
      <c r="U227" s="570"/>
      <c r="V227" s="223"/>
      <c r="W227" s="570"/>
      <c r="X227" s="570"/>
      <c r="Y227" s="570"/>
      <c r="Z227" s="570"/>
      <c r="AA227" s="563"/>
      <c r="AB227" s="570"/>
      <c r="AC227" s="570"/>
      <c r="AD227" s="570"/>
      <c r="AE227" s="570"/>
      <c r="AF227" s="563"/>
      <c r="AG227" s="563"/>
      <c r="AH227" s="563"/>
      <c r="AI227" s="563"/>
      <c r="AJ227" s="563"/>
      <c r="AK227" s="563"/>
      <c r="AL227" s="563"/>
      <c r="AM227" s="563"/>
    </row>
    <row r="228" spans="2:44" s="205" customFormat="1">
      <c r="B228" s="236"/>
      <c r="C228" s="237"/>
      <c r="D228" s="237"/>
      <c r="E228" s="237"/>
      <c r="F228" s="237"/>
      <c r="G228" s="237"/>
      <c r="H228" s="237"/>
      <c r="I228" s="237"/>
      <c r="J228" s="237"/>
      <c r="K228" s="237"/>
      <c r="L228" s="237"/>
      <c r="M228" s="583"/>
      <c r="N228" s="583"/>
      <c r="O228" s="583"/>
      <c r="P228" s="583"/>
      <c r="Q228" s="237"/>
      <c r="R228" s="583"/>
      <c r="S228" s="583"/>
      <c r="T228" s="583"/>
      <c r="U228" s="583"/>
      <c r="V228" s="237"/>
      <c r="W228" s="583"/>
      <c r="X228" s="583"/>
      <c r="Y228" s="583"/>
      <c r="Z228" s="583"/>
      <c r="AA228" s="237"/>
      <c r="AB228" s="583"/>
      <c r="AC228" s="583"/>
      <c r="AD228" s="583"/>
      <c r="AE228" s="583"/>
      <c r="AF228" s="237"/>
      <c r="AG228" s="237"/>
      <c r="AH228" s="237"/>
      <c r="AI228" s="237"/>
      <c r="AJ228" s="237"/>
      <c r="AK228" s="237"/>
      <c r="AL228" s="237"/>
      <c r="AM228" s="237"/>
    </row>
    <row r="229" spans="2:44">
      <c r="M229" s="416"/>
      <c r="N229" s="416"/>
      <c r="O229" s="416"/>
      <c r="P229" s="416"/>
      <c r="R229" s="416"/>
      <c r="S229" s="416"/>
      <c r="T229" s="416"/>
      <c r="U229" s="416"/>
      <c r="W229" s="416"/>
      <c r="X229" s="416"/>
      <c r="Y229" s="416"/>
      <c r="Z229" s="416"/>
      <c r="AB229" s="416"/>
      <c r="AC229" s="416"/>
      <c r="AD229" s="416"/>
      <c r="AE229" s="416"/>
    </row>
    <row r="230" spans="2:44" s="205" customFormat="1">
      <c r="B230" s="226" t="s">
        <v>34</v>
      </c>
      <c r="C230" s="224"/>
      <c r="D230" s="224"/>
      <c r="E230" s="224"/>
      <c r="F230" s="224"/>
      <c r="G230" s="224"/>
      <c r="H230" s="224">
        <f>H216+H210+H204+H198+H186+H180+H160+H122+H156</f>
        <v>86.199999999999989</v>
      </c>
      <c r="I230" s="224">
        <f>I216+I210+I204+I198+I186+I180+I168+I160+I156+I122</f>
        <v>107.69999999999999</v>
      </c>
      <c r="J230" s="224"/>
      <c r="K230" s="224"/>
      <c r="L230" s="224"/>
      <c r="M230" s="571">
        <f>M186+M180+M204+M168+M198+M152+M146+M138+M130+M122+M216+M210+M192+M174+M160+M156</f>
        <v>142.1</v>
      </c>
      <c r="N230" s="571">
        <f>N186+N180+N204+N168+N198+N152+N146+N138+N130+N122+N216+N210+N192+N174+N160+N156</f>
        <v>157.89999999999998</v>
      </c>
      <c r="O230" s="571">
        <f>O186+O180+O204+O168+O198+O152+O146+O138+O130+O122+O216+O210+O192+O174+O160+O156</f>
        <v>158.69999999999999</v>
      </c>
      <c r="P230" s="571">
        <f>P186+P180+P204+P168+P198+P152+P146+P138+P130+P122+P216+P210+P192+P174+P160+P156</f>
        <v>173.70000000000005</v>
      </c>
      <c r="Q230" s="224">
        <f>Q122+Q130+Q138++Q146+Q152+Q156+Q160+Q168+Q174+Q180+Q186+Q198+Q204+Q210+Q192+Q216</f>
        <v>634.79999999999995</v>
      </c>
      <c r="R230" s="571">
        <f>R186+R180+R204+R168+R198+R152+R146+R138+R130+R122+R216+R210+R192+R174+R160+R156</f>
        <v>158.79999999999998</v>
      </c>
      <c r="S230" s="571">
        <f>S186+S180+S204+S168+S198+S152+S146+S138+S130+S122+S216+S210+S192+S174+S160+S156</f>
        <v>167</v>
      </c>
      <c r="T230" s="571">
        <f>T186+T180+T204+T168+T198+T152+T146+T138+T130+T122+T216+T210+T192+T174+T160+T156</f>
        <v>160.80000000000001</v>
      </c>
      <c r="U230" s="571"/>
      <c r="V230" s="299">
        <f>V186+V180+V204+V168+V198+V152+V146+V138+V130+V122+V216+V210+V192+V174+V160+V156</f>
        <v>661.9</v>
      </c>
      <c r="W230" s="571">
        <f>W186+W180+W204+W168+W198+W152+W146+W138+W130+W122+W216+W210+W192+W174+W160+W156+W220</f>
        <v>145</v>
      </c>
      <c r="X230" s="571"/>
      <c r="Y230" s="571"/>
      <c r="Z230" s="571"/>
      <c r="AA230" s="299"/>
      <c r="AB230" s="571"/>
      <c r="AC230" s="571"/>
      <c r="AD230" s="571"/>
      <c r="AE230" s="571"/>
      <c r="AF230" s="299"/>
      <c r="AG230" s="299"/>
      <c r="AH230" s="299"/>
      <c r="AI230" s="299"/>
      <c r="AJ230" s="299"/>
      <c r="AK230" s="299"/>
      <c r="AL230" s="299"/>
      <c r="AM230" s="299"/>
      <c r="AN230" s="299"/>
      <c r="AO230" s="299"/>
      <c r="AP230" s="299"/>
      <c r="AQ230" s="299"/>
      <c r="AR230" s="299"/>
    </row>
    <row r="231" spans="2:44" s="205" customFormat="1">
      <c r="B231" s="238" t="s">
        <v>473</v>
      </c>
      <c r="C231" s="239"/>
      <c r="D231" s="239"/>
      <c r="E231" s="239"/>
      <c r="F231" s="239"/>
      <c r="G231" s="239"/>
      <c r="H231" s="239"/>
      <c r="I231" s="239"/>
      <c r="J231" s="239"/>
      <c r="K231" s="239"/>
      <c r="L231" s="239">
        <f>IS!V48</f>
        <v>397.9</v>
      </c>
      <c r="M231" s="575">
        <f>IS!W48</f>
        <v>142.09999999999997</v>
      </c>
      <c r="N231" s="575">
        <f>IS!X48</f>
        <v>147.9</v>
      </c>
      <c r="O231" s="575">
        <f>IS!Y48</f>
        <v>149.00000000000003</v>
      </c>
      <c r="P231" s="575">
        <f>IS!Z48</f>
        <v>169.3</v>
      </c>
      <c r="Q231" s="239">
        <f>IS!AA48</f>
        <v>608.29999999999995</v>
      </c>
      <c r="R231" s="575">
        <f>IS!AB48</f>
        <v>158.80000000000001</v>
      </c>
      <c r="S231" s="575">
        <f>IS!AC48</f>
        <v>155.5</v>
      </c>
      <c r="T231" s="575">
        <f>IS!AD48</f>
        <v>149.39999999999998</v>
      </c>
      <c r="U231" s="575"/>
      <c r="V231" s="239">
        <f>IS!AF48</f>
        <v>638.94200000000001</v>
      </c>
      <c r="W231" s="575"/>
      <c r="X231" s="575"/>
      <c r="Y231" s="575"/>
      <c r="Z231" s="575"/>
      <c r="AA231" s="239"/>
      <c r="AB231" s="575"/>
      <c r="AC231" s="575"/>
      <c r="AD231" s="575"/>
      <c r="AE231" s="575"/>
      <c r="AF231" s="239"/>
      <c r="AG231" s="239"/>
      <c r="AH231" s="239"/>
      <c r="AI231" s="239"/>
      <c r="AJ231" s="239"/>
      <c r="AK231" s="239"/>
      <c r="AL231" s="239"/>
      <c r="AM231" s="239"/>
      <c r="AN231" s="239"/>
      <c r="AO231" s="239"/>
      <c r="AP231" s="239"/>
      <c r="AQ231" s="239"/>
      <c r="AR231" s="239"/>
    </row>
    <row r="232" spans="2:44">
      <c r="M232" s="416"/>
      <c r="N232" s="416"/>
      <c r="O232" s="416"/>
      <c r="P232" s="416"/>
      <c r="R232" s="416"/>
      <c r="S232" s="416"/>
      <c r="T232" s="416"/>
      <c r="U232" s="416"/>
      <c r="W232" s="416"/>
      <c r="X232" s="416"/>
      <c r="Y232" s="416"/>
      <c r="Z232" s="416"/>
      <c r="AB232" s="416"/>
      <c r="AC232" s="416"/>
      <c r="AD232" s="416"/>
      <c r="AE232" s="416"/>
      <c r="AN232" s="413"/>
      <c r="AO232" s="413"/>
      <c r="AP232" s="413"/>
      <c r="AQ232" s="413"/>
      <c r="AR232" s="413"/>
    </row>
    <row r="233" spans="2:44">
      <c r="B233" s="64" t="s">
        <v>464</v>
      </c>
      <c r="C233" s="415"/>
      <c r="D233" s="415"/>
      <c r="E233" s="415"/>
      <c r="F233" s="415"/>
      <c r="G233" s="415"/>
      <c r="H233" s="415"/>
      <c r="I233" s="415">
        <f>I124+I132+I140+I162</f>
        <v>35.299999999999997</v>
      </c>
      <c r="J233" s="415"/>
      <c r="K233" s="415"/>
      <c r="L233" s="415"/>
      <c r="M233" s="420">
        <f>M124+M132+M140+M162</f>
        <v>41.699999999999996</v>
      </c>
      <c r="N233" s="420">
        <f>N124+N132+N140+N162</f>
        <v>51.100000000000009</v>
      </c>
      <c r="O233" s="420">
        <f>O124+O132+O140+O162</f>
        <v>49.2</v>
      </c>
      <c r="P233" s="420">
        <f>P124+P132+P140+P162</f>
        <v>60.899999999999991</v>
      </c>
      <c r="Q233" s="415">
        <f>P233+O233+N233+M233</f>
        <v>202.89999999999998</v>
      </c>
      <c r="R233" s="420">
        <f>R124+R132+R140+R162</f>
        <v>53.699999999999996</v>
      </c>
      <c r="S233" s="420">
        <f>S124+S132+S140+S162</f>
        <v>59.900000000000006</v>
      </c>
      <c r="T233" s="420">
        <f>T124+T132+T140+T162</f>
        <v>48.7</v>
      </c>
      <c r="U233" s="420"/>
      <c r="V233" s="415">
        <f>V124+V132+V140+V162</f>
        <v>252.9</v>
      </c>
      <c r="W233" s="420">
        <f>W124+W132+W140+W162</f>
        <v>62.800000000000004</v>
      </c>
      <c r="X233" s="420"/>
      <c r="Y233" s="420"/>
      <c r="Z233" s="420"/>
      <c r="AA233" s="415"/>
      <c r="AB233" s="420"/>
      <c r="AC233" s="420"/>
      <c r="AD233" s="420"/>
      <c r="AE233" s="420"/>
      <c r="AF233" s="415"/>
      <c r="AG233" s="415"/>
      <c r="AH233" s="415"/>
      <c r="AI233" s="415"/>
      <c r="AJ233" s="415"/>
      <c r="AK233" s="415"/>
      <c r="AL233" s="415"/>
      <c r="AM233" s="415"/>
      <c r="AN233" s="415"/>
      <c r="AO233" s="415"/>
      <c r="AP233" s="415"/>
      <c r="AQ233" s="415"/>
      <c r="AR233" s="415"/>
    </row>
    <row r="234" spans="2:44" s="413" customFormat="1">
      <c r="B234" s="413" t="s">
        <v>463</v>
      </c>
      <c r="C234" s="415"/>
      <c r="D234" s="415"/>
      <c r="E234" s="415"/>
      <c r="F234" s="415"/>
      <c r="G234" s="415"/>
      <c r="H234" s="415"/>
      <c r="I234" s="415">
        <v>32.799999999999997</v>
      </c>
      <c r="J234" s="415"/>
      <c r="K234" s="415"/>
      <c r="L234" s="415"/>
      <c r="M234" s="420">
        <v>51.1</v>
      </c>
      <c r="N234" s="420">
        <v>50.4</v>
      </c>
      <c r="O234" s="420">
        <v>44.8</v>
      </c>
      <c r="P234" s="420">
        <f>Q234-O234-N234-M234</f>
        <v>53.100000000000016</v>
      </c>
      <c r="Q234" s="415">
        <v>199.4</v>
      </c>
      <c r="R234" s="420">
        <v>51.6</v>
      </c>
      <c r="S234" s="420">
        <v>49.7</v>
      </c>
      <c r="T234" s="420">
        <v>57.5</v>
      </c>
      <c r="U234" s="420"/>
      <c r="V234" s="415">
        <v>223.7</v>
      </c>
      <c r="W234" s="420">
        <v>57.2</v>
      </c>
      <c r="X234" s="420"/>
      <c r="Y234" s="420"/>
      <c r="Z234" s="420"/>
      <c r="AA234" s="415"/>
      <c r="AB234" s="420"/>
      <c r="AC234" s="420"/>
      <c r="AD234" s="420"/>
      <c r="AE234" s="420"/>
      <c r="AF234" s="415"/>
      <c r="AG234" s="415"/>
      <c r="AH234" s="415"/>
      <c r="AI234" s="415"/>
      <c r="AJ234" s="415"/>
      <c r="AK234" s="415"/>
      <c r="AL234" s="415"/>
      <c r="AM234" s="415"/>
      <c r="AN234" s="415"/>
      <c r="AO234" s="415"/>
      <c r="AP234" s="415"/>
      <c r="AQ234" s="415"/>
      <c r="AR234" s="415"/>
    </row>
    <row r="235" spans="2:44" s="205" customFormat="1">
      <c r="B235" s="226" t="s">
        <v>465</v>
      </c>
      <c r="C235" s="224"/>
      <c r="D235" s="224"/>
      <c r="E235" s="224"/>
      <c r="F235" s="224"/>
      <c r="G235" s="224"/>
      <c r="H235" s="224"/>
      <c r="I235" s="224">
        <f t="shared" ref="I235" si="256">I233+I234</f>
        <v>68.099999999999994</v>
      </c>
      <c r="J235" s="224"/>
      <c r="K235" s="224"/>
      <c r="L235" s="224"/>
      <c r="M235" s="571">
        <f t="shared" ref="M235:W235" si="257">M233+M234</f>
        <v>92.8</v>
      </c>
      <c r="N235" s="571">
        <f t="shared" si="257"/>
        <v>101.5</v>
      </c>
      <c r="O235" s="571">
        <f t="shared" si="257"/>
        <v>94</v>
      </c>
      <c r="P235" s="571">
        <f t="shared" si="257"/>
        <v>114</v>
      </c>
      <c r="Q235" s="224">
        <f t="shared" si="257"/>
        <v>402.29999999999995</v>
      </c>
      <c r="R235" s="571">
        <f t="shared" si="257"/>
        <v>105.3</v>
      </c>
      <c r="S235" s="571">
        <f t="shared" si="257"/>
        <v>109.60000000000001</v>
      </c>
      <c r="T235" s="571">
        <f t="shared" si="257"/>
        <v>106.2</v>
      </c>
      <c r="U235" s="571"/>
      <c r="V235" s="299">
        <f t="shared" si="257"/>
        <v>476.6</v>
      </c>
      <c r="W235" s="571">
        <f t="shared" si="257"/>
        <v>120</v>
      </c>
      <c r="X235" s="571"/>
      <c r="Y235" s="571"/>
      <c r="Z235" s="571"/>
      <c r="AA235" s="299"/>
      <c r="AB235" s="571"/>
      <c r="AC235" s="571"/>
      <c r="AD235" s="571"/>
      <c r="AE235" s="571"/>
      <c r="AF235" s="299"/>
      <c r="AG235" s="299"/>
      <c r="AH235" s="299"/>
      <c r="AI235" s="299"/>
      <c r="AJ235" s="299"/>
      <c r="AK235" s="299"/>
      <c r="AL235" s="299"/>
      <c r="AM235" s="299"/>
      <c r="AN235" s="299"/>
      <c r="AO235" s="299"/>
      <c r="AP235" s="299"/>
      <c r="AQ235" s="299"/>
      <c r="AR235" s="299"/>
    </row>
    <row r="236" spans="2:44" s="205" customFormat="1">
      <c r="B236" s="238" t="s">
        <v>474</v>
      </c>
      <c r="C236" s="239"/>
      <c r="D236" s="239"/>
      <c r="E236" s="239"/>
      <c r="F236" s="239"/>
      <c r="G236" s="239"/>
      <c r="H236" s="239"/>
      <c r="I236" s="239"/>
      <c r="J236" s="239"/>
      <c r="K236" s="239"/>
      <c r="L236" s="239">
        <f>IS!V61</f>
        <v>0</v>
      </c>
      <c r="M236" s="239">
        <f>IS!W61</f>
        <v>92.8</v>
      </c>
      <c r="N236" s="239">
        <f>IS!X61</f>
        <v>101.5</v>
      </c>
      <c r="O236" s="239">
        <f>IS!Y61</f>
        <v>94</v>
      </c>
      <c r="P236" s="239">
        <f>IS!Z61</f>
        <v>114</v>
      </c>
      <c r="Q236" s="239">
        <f>IS!AA61</f>
        <v>402.29999999999995</v>
      </c>
      <c r="R236" s="239">
        <f>IS!AB61</f>
        <v>105.3</v>
      </c>
      <c r="S236" s="239">
        <f>IS!AC61</f>
        <v>109.60000000000001</v>
      </c>
      <c r="T236" s="239">
        <f>IS!AD61</f>
        <v>106.2</v>
      </c>
      <c r="U236" s="239"/>
      <c r="V236" s="239">
        <f>IS!AF61</f>
        <v>464.05800000000005</v>
      </c>
      <c r="W236" s="239"/>
      <c r="X236" s="239"/>
      <c r="Y236" s="239"/>
      <c r="Z236" s="239"/>
      <c r="AA236" s="239"/>
      <c r="AB236" s="239"/>
      <c r="AC236" s="239"/>
      <c r="AD236" s="239"/>
      <c r="AE236" s="239"/>
      <c r="AF236" s="239"/>
      <c r="AG236" s="239"/>
      <c r="AH236" s="239"/>
      <c r="AI236" s="239"/>
      <c r="AJ236" s="239"/>
      <c r="AK236" s="239"/>
      <c r="AL236" s="239"/>
      <c r="AM236" s="239"/>
    </row>
  </sheetData>
  <pageMargins left="0" right="0" top="0" bottom="0" header="0" footer="0"/>
  <pageSetup paperSize="5" scale="37"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M104"/>
  <sheetViews>
    <sheetView zoomScale="85" zoomScaleNormal="85" workbookViewId="0">
      <selection activeCell="C2" sqref="C2:W34"/>
    </sheetView>
  </sheetViews>
  <sheetFormatPr defaultRowHeight="13.5" outlineLevelRow="1"/>
  <cols>
    <col min="1" max="2" width="1.625" style="4" customWidth="1"/>
    <col min="3" max="3" width="52.125" style="10" customWidth="1"/>
    <col min="4" max="7" width="9.25" style="6" customWidth="1"/>
    <col min="8" max="8" width="8.5" style="6" customWidth="1"/>
    <col min="9" max="17" width="9.25" style="6" customWidth="1"/>
    <col min="18" max="18" width="9.25" style="7" customWidth="1"/>
    <col min="19" max="20" width="9" style="7" customWidth="1"/>
    <col min="21" max="23" width="9" style="4" customWidth="1"/>
    <col min="24" max="24" width="9" style="4"/>
    <col min="25" max="25" width="0" style="4" hidden="1" customWidth="1"/>
    <col min="26" max="26" width="32.125" customWidth="1"/>
    <col min="32" max="16384" width="9" style="4"/>
  </cols>
  <sheetData>
    <row r="1" spans="1:31" s="64" customFormat="1" ht="12.75" customHeight="1">
      <c r="A1" s="61"/>
      <c r="B1" s="61"/>
      <c r="C1" s="218"/>
      <c r="D1" s="5"/>
      <c r="E1" s="5"/>
      <c r="F1" s="5"/>
      <c r="G1" s="5"/>
      <c r="H1" s="62"/>
      <c r="I1" s="62"/>
      <c r="J1" s="62"/>
      <c r="K1" s="62"/>
      <c r="L1" s="62"/>
      <c r="M1" s="62"/>
      <c r="N1" s="62"/>
      <c r="O1" s="62"/>
      <c r="P1" s="62"/>
      <c r="Q1" s="62"/>
      <c r="R1" s="63"/>
      <c r="S1" s="63"/>
      <c r="Z1"/>
      <c r="AA1"/>
      <c r="AB1"/>
      <c r="AC1"/>
      <c r="AD1"/>
      <c r="AE1"/>
    </row>
    <row r="2" spans="1:31" s="67" customFormat="1" ht="12.75" customHeight="1">
      <c r="A2" s="65"/>
      <c r="B2" s="65"/>
      <c r="C2" s="66" t="s">
        <v>357</v>
      </c>
      <c r="D2" s="168">
        <v>2011</v>
      </c>
      <c r="E2" s="168">
        <v>2012</v>
      </c>
      <c r="F2" s="168">
        <v>2013</v>
      </c>
      <c r="G2" s="168">
        <v>2014</v>
      </c>
      <c r="H2" s="168">
        <v>2015</v>
      </c>
      <c r="I2" s="168">
        <v>2016</v>
      </c>
      <c r="J2" s="168">
        <v>2017</v>
      </c>
      <c r="K2" s="168" t="s">
        <v>57</v>
      </c>
      <c r="L2" s="168" t="s">
        <v>62</v>
      </c>
      <c r="M2" s="168" t="s">
        <v>67</v>
      </c>
      <c r="N2" s="168" t="s">
        <v>8</v>
      </c>
      <c r="O2" s="168" t="s">
        <v>3</v>
      </c>
      <c r="P2" s="168" t="s">
        <v>4</v>
      </c>
      <c r="Q2" s="168" t="s">
        <v>5</v>
      </c>
      <c r="R2" s="408" t="s">
        <v>6</v>
      </c>
      <c r="S2" s="408" t="s">
        <v>487</v>
      </c>
      <c r="T2" s="408" t="s">
        <v>492</v>
      </c>
      <c r="U2" s="408" t="s">
        <v>497</v>
      </c>
      <c r="V2" s="408" t="s">
        <v>502</v>
      </c>
      <c r="W2" s="408" t="s">
        <v>507</v>
      </c>
      <c r="Z2"/>
      <c r="AA2"/>
      <c r="AB2"/>
      <c r="AC2"/>
      <c r="AD2"/>
      <c r="AE2"/>
    </row>
    <row r="3" spans="1:31" s="70" customFormat="1" ht="12.75" customHeight="1">
      <c r="A3" s="68"/>
      <c r="B3" s="68"/>
      <c r="C3" s="69" t="s">
        <v>284</v>
      </c>
      <c r="D3" s="9"/>
      <c r="E3" s="9"/>
      <c r="F3" s="9"/>
      <c r="G3" s="9"/>
      <c r="H3" s="9"/>
      <c r="I3" s="9"/>
      <c r="J3" s="9"/>
      <c r="K3" s="9"/>
      <c r="L3" s="9"/>
      <c r="M3" s="9"/>
      <c r="N3" s="9"/>
      <c r="O3" s="9"/>
      <c r="P3" s="9"/>
      <c r="Q3" s="9"/>
      <c r="R3" s="9"/>
      <c r="S3" s="9"/>
      <c r="T3" s="9"/>
      <c r="U3" s="9"/>
      <c r="V3" s="9"/>
      <c r="W3" s="9"/>
      <c r="Z3"/>
      <c r="AA3"/>
      <c r="AB3"/>
      <c r="AC3"/>
      <c r="AD3"/>
      <c r="AE3"/>
    </row>
    <row r="4" spans="1:31" s="64" customFormat="1" ht="12.75" customHeight="1">
      <c r="A4" s="63"/>
      <c r="B4" s="63"/>
      <c r="C4" s="71" t="s">
        <v>89</v>
      </c>
      <c r="D4" s="72"/>
      <c r="E4" s="72"/>
      <c r="F4" s="72"/>
      <c r="G4" s="62"/>
      <c r="H4" s="62"/>
      <c r="I4" s="62"/>
      <c r="J4" s="62"/>
      <c r="K4" s="62"/>
      <c r="L4" s="62"/>
      <c r="M4" s="62"/>
      <c r="N4" s="62"/>
      <c r="O4" s="62"/>
      <c r="P4" s="62"/>
      <c r="Q4" s="62"/>
      <c r="R4" s="62"/>
      <c r="S4" s="62"/>
      <c r="T4" s="62"/>
      <c r="U4" s="62"/>
      <c r="V4" s="62"/>
      <c r="W4" s="62"/>
      <c r="Z4"/>
      <c r="AA4"/>
      <c r="AB4"/>
      <c r="AC4"/>
      <c r="AD4"/>
      <c r="AE4"/>
    </row>
    <row r="5" spans="1:31" s="64" customFormat="1" ht="12.75" customHeight="1">
      <c r="A5" s="61"/>
      <c r="B5" s="61"/>
      <c r="C5" s="73" t="s">
        <v>285</v>
      </c>
      <c r="D5" s="75">
        <v>46.271999999999998</v>
      </c>
      <c r="E5" s="75">
        <v>180.52699999999999</v>
      </c>
      <c r="F5" s="75">
        <v>568.78099999999995</v>
      </c>
      <c r="G5" s="75">
        <v>875.48599999999999</v>
      </c>
      <c r="H5" s="75">
        <v>397.04</v>
      </c>
      <c r="I5" s="75">
        <v>408.33</v>
      </c>
      <c r="J5" s="75">
        <v>598.02800000000002</v>
      </c>
      <c r="K5" s="75">
        <f>CS!K42</f>
        <v>464.7724101127987</v>
      </c>
      <c r="L5" s="75">
        <f>CS!L42</f>
        <v>406.54467164629267</v>
      </c>
      <c r="M5" s="75">
        <f>CS!M42</f>
        <v>142.6673712195464</v>
      </c>
      <c r="N5" s="75">
        <f>CS!N42</f>
        <v>461.71640844209662</v>
      </c>
      <c r="O5" s="75">
        <f>CS!O42</f>
        <v>1025.7866408679604</v>
      </c>
      <c r="P5" s="75">
        <f>CS!P42</f>
        <v>1825.9218125638799</v>
      </c>
      <c r="Q5" s="75">
        <f>CS!Q42</f>
        <v>2439.7141023451895</v>
      </c>
      <c r="R5" s="75">
        <f>CS!R42</f>
        <v>3873.6383773634016</v>
      </c>
      <c r="S5" s="75">
        <f>CS!S42</f>
        <v>5590.2987737600206</v>
      </c>
      <c r="T5" s="75">
        <f>CS!T42</f>
        <v>7559.3173332979313</v>
      </c>
      <c r="U5" s="75">
        <f>CS!U42</f>
        <v>9491.6262404352401</v>
      </c>
      <c r="V5" s="75">
        <f>CS!V42</f>
        <v>11762.115110863486</v>
      </c>
      <c r="W5" s="75">
        <f>CS!W42</f>
        <v>14204.338880211393</v>
      </c>
      <c r="Z5"/>
      <c r="AA5"/>
      <c r="AB5"/>
      <c r="AC5"/>
      <c r="AD5"/>
      <c r="AE5"/>
    </row>
    <row r="6" spans="1:31" s="64" customFormat="1" ht="12.75" customHeight="1">
      <c r="A6" s="61"/>
      <c r="B6" s="61"/>
      <c r="C6" s="73" t="s">
        <v>358</v>
      </c>
      <c r="D6" s="75">
        <v>148.82</v>
      </c>
      <c r="E6" s="75">
        <v>267.27800000000002</v>
      </c>
      <c r="F6" s="75">
        <v>215.94200000000001</v>
      </c>
      <c r="G6" s="75">
        <v>69.706000000000003</v>
      </c>
      <c r="H6" s="75">
        <v>195.57900000000001</v>
      </c>
      <c r="I6" s="75">
        <v>381.34699999999998</v>
      </c>
      <c r="J6" s="75">
        <v>797.94</v>
      </c>
      <c r="K6" s="75">
        <f t="shared" ref="K6:R6" si="0">J6</f>
        <v>797.94</v>
      </c>
      <c r="L6" s="75">
        <f t="shared" si="0"/>
        <v>797.94</v>
      </c>
      <c r="M6" s="75">
        <f t="shared" si="0"/>
        <v>797.94</v>
      </c>
      <c r="N6" s="75">
        <f t="shared" si="0"/>
        <v>797.94</v>
      </c>
      <c r="O6" s="75">
        <f t="shared" si="0"/>
        <v>797.94</v>
      </c>
      <c r="P6" s="75">
        <f t="shared" si="0"/>
        <v>797.94</v>
      </c>
      <c r="Q6" s="75">
        <f t="shared" si="0"/>
        <v>797.94</v>
      </c>
      <c r="R6" s="75">
        <f t="shared" si="0"/>
        <v>797.94</v>
      </c>
      <c r="S6" s="75">
        <f t="shared" ref="S6" si="1">R6</f>
        <v>797.94</v>
      </c>
      <c r="T6" s="75">
        <f t="shared" ref="T6" si="2">S6</f>
        <v>797.94</v>
      </c>
      <c r="U6" s="75">
        <f t="shared" ref="U6" si="3">T6</f>
        <v>797.94</v>
      </c>
      <c r="V6" s="75">
        <f t="shared" ref="V6" si="4">U6</f>
        <v>797.94</v>
      </c>
      <c r="W6" s="75">
        <f t="shared" ref="W6" si="5">V6</f>
        <v>797.94</v>
      </c>
      <c r="Z6"/>
      <c r="AA6"/>
      <c r="AB6"/>
      <c r="AC6"/>
      <c r="AD6"/>
      <c r="AE6"/>
    </row>
    <row r="7" spans="1:31" s="64" customFormat="1" ht="12.75" customHeight="1">
      <c r="A7" s="61"/>
      <c r="B7" s="61"/>
      <c r="C7" s="73" t="s">
        <v>359</v>
      </c>
      <c r="D7" s="75">
        <v>104.839</v>
      </c>
      <c r="E7" s="75">
        <v>109.066</v>
      </c>
      <c r="F7" s="75">
        <v>117.822</v>
      </c>
      <c r="G7" s="75">
        <v>144.47200000000001</v>
      </c>
      <c r="H7" s="75">
        <v>164.959</v>
      </c>
      <c r="I7" s="75">
        <v>215.28</v>
      </c>
      <c r="J7" s="75">
        <v>261.36500000000001</v>
      </c>
      <c r="K7" s="75">
        <f t="shared" ref="K7:R7" si="6">K56</f>
        <v>266.37650590066124</v>
      </c>
      <c r="L7" s="75">
        <f t="shared" si="6"/>
        <v>268.13352233168541</v>
      </c>
      <c r="M7" s="75">
        <f t="shared" si="6"/>
        <v>271.32604417282073</v>
      </c>
      <c r="N7" s="75">
        <f t="shared" si="6"/>
        <v>275.05645691080053</v>
      </c>
      <c r="O7" s="75">
        <f t="shared" si="6"/>
        <v>285.12006220610755</v>
      </c>
      <c r="P7" s="75">
        <f t="shared" si="6"/>
        <v>287.91130993936673</v>
      </c>
      <c r="Q7" s="75">
        <f t="shared" si="6"/>
        <v>294.71465135602824</v>
      </c>
      <c r="R7" s="75">
        <f t="shared" si="6"/>
        <v>304.48237129414696</v>
      </c>
      <c r="S7" s="75">
        <f t="shared" ref="S7:W7" si="7">S56</f>
        <v>315.23354257737242</v>
      </c>
      <c r="T7" s="75">
        <f t="shared" si="7"/>
        <v>317.23649805619266</v>
      </c>
      <c r="U7" s="75">
        <f t="shared" si="7"/>
        <v>429.35681802933806</v>
      </c>
      <c r="V7" s="75">
        <f t="shared" si="7"/>
        <v>488.81303378399485</v>
      </c>
      <c r="W7" s="75">
        <f t="shared" si="7"/>
        <v>551.43694787138793</v>
      </c>
      <c r="Z7"/>
      <c r="AA7"/>
      <c r="AB7"/>
      <c r="AC7"/>
      <c r="AD7"/>
      <c r="AE7"/>
    </row>
    <row r="8" spans="1:31" s="64" customFormat="1" ht="12.75" customHeight="1">
      <c r="A8" s="61"/>
      <c r="B8" s="61"/>
      <c r="C8" s="73" t="s">
        <v>86</v>
      </c>
      <c r="D8" s="75">
        <v>130.11799999999999</v>
      </c>
      <c r="E8" s="75">
        <v>128.69499999999999</v>
      </c>
      <c r="F8" s="75">
        <v>162.60499999999999</v>
      </c>
      <c r="G8" s="75">
        <v>199.452</v>
      </c>
      <c r="H8" s="75">
        <v>271.68299999999999</v>
      </c>
      <c r="I8" s="75">
        <v>355.12599999999998</v>
      </c>
      <c r="J8" s="75">
        <v>475.77499999999998</v>
      </c>
      <c r="K8" s="75">
        <f t="shared" ref="K8:R8" si="8">K60</f>
        <v>473.55823271228672</v>
      </c>
      <c r="L8" s="75">
        <f t="shared" si="8"/>
        <v>485.99200922617979</v>
      </c>
      <c r="M8" s="75">
        <f t="shared" si="8"/>
        <v>482.35741186279233</v>
      </c>
      <c r="N8" s="75">
        <f t="shared" si="8"/>
        <v>502.27700827189659</v>
      </c>
      <c r="O8" s="75">
        <f t="shared" si="8"/>
        <v>500.69864582535968</v>
      </c>
      <c r="P8" s="75">
        <f t="shared" si="8"/>
        <v>511.84232878109646</v>
      </c>
      <c r="Q8" s="75">
        <f t="shared" si="8"/>
        <v>515.75063987304952</v>
      </c>
      <c r="R8" s="75">
        <f t="shared" si="8"/>
        <v>512.37033514325424</v>
      </c>
      <c r="S8" s="75">
        <f t="shared" ref="S8:W8" si="9">S60</f>
        <v>513.71392123719954</v>
      </c>
      <c r="T8" s="75">
        <f t="shared" si="9"/>
        <v>522.80574879660549</v>
      </c>
      <c r="U8" s="75">
        <f t="shared" si="9"/>
        <v>590.36562479033978</v>
      </c>
      <c r="V8" s="75">
        <f t="shared" si="9"/>
        <v>596.80661101534258</v>
      </c>
      <c r="W8" s="75">
        <f t="shared" si="9"/>
        <v>599.38798681672597</v>
      </c>
      <c r="Z8"/>
      <c r="AA8"/>
      <c r="AB8"/>
      <c r="AC8"/>
      <c r="AD8"/>
      <c r="AE8"/>
    </row>
    <row r="9" spans="1:31" s="64" customFormat="1" ht="12.75" customHeight="1">
      <c r="A9" s="61"/>
      <c r="B9" s="61"/>
      <c r="C9" s="76" t="s">
        <v>360</v>
      </c>
      <c r="D9" s="77">
        <f>21.115+18.638</f>
        <v>39.753</v>
      </c>
      <c r="E9" s="77">
        <f>32.356+25.509</f>
        <v>57.865000000000002</v>
      </c>
      <c r="F9" s="77">
        <f>30.561+41.707</f>
        <v>72.268000000000001</v>
      </c>
      <c r="G9" s="77">
        <v>108.524</v>
      </c>
      <c r="H9" s="77">
        <v>60.378</v>
      </c>
      <c r="I9" s="77">
        <v>61.707999999999998</v>
      </c>
      <c r="J9" s="77">
        <v>74.036000000000001</v>
      </c>
      <c r="K9" s="77">
        <f t="shared" ref="K9:R9" si="10">K58</f>
        <v>73.993473861294802</v>
      </c>
      <c r="L9" s="77">
        <f t="shared" si="10"/>
        <v>75.412553155786526</v>
      </c>
      <c r="M9" s="77">
        <f t="shared" si="10"/>
        <v>78.383079427703763</v>
      </c>
      <c r="N9" s="77">
        <f t="shared" si="10"/>
        <v>83.712834711982779</v>
      </c>
      <c r="O9" s="77">
        <f t="shared" si="10"/>
        <v>83.449774304226608</v>
      </c>
      <c r="P9" s="77">
        <f t="shared" si="10"/>
        <v>89.572407536691884</v>
      </c>
      <c r="Q9" s="77">
        <f t="shared" si="10"/>
        <v>92.098328548758843</v>
      </c>
      <c r="R9" s="77">
        <f t="shared" si="10"/>
        <v>109.19367798134925</v>
      </c>
      <c r="S9" s="77">
        <f t="shared" ref="S9:W9" si="11">S58</f>
        <v>135.43367014435259</v>
      </c>
      <c r="T9" s="77">
        <f t="shared" si="11"/>
        <v>162.42508700477063</v>
      </c>
      <c r="U9" s="77">
        <f t="shared" si="11"/>
        <v>187.84360788783542</v>
      </c>
      <c r="V9" s="77">
        <f t="shared" si="11"/>
        <v>215.9871544626954</v>
      </c>
      <c r="W9" s="77">
        <f t="shared" si="11"/>
        <v>245.74907459485766</v>
      </c>
      <c r="Z9"/>
      <c r="AA9"/>
      <c r="AB9"/>
      <c r="AC9"/>
      <c r="AD9"/>
      <c r="AE9"/>
    </row>
    <row r="10" spans="1:31" s="64" customFormat="1" ht="12.75" customHeight="1">
      <c r="A10" s="63"/>
      <c r="B10" s="63"/>
      <c r="C10" s="30" t="s">
        <v>87</v>
      </c>
      <c r="D10" s="79">
        <f t="shared" ref="D10:H10" si="12">SUM(D5:D9)</f>
        <v>469.80199999999996</v>
      </c>
      <c r="E10" s="79">
        <f t="shared" si="12"/>
        <v>743.43100000000004</v>
      </c>
      <c r="F10" s="496">
        <f t="shared" si="12"/>
        <v>1137.4179999999999</v>
      </c>
      <c r="G10" s="496">
        <f t="shared" si="12"/>
        <v>1397.6399999999999</v>
      </c>
      <c r="H10" s="496">
        <f t="shared" si="12"/>
        <v>1089.6389999999999</v>
      </c>
      <c r="I10" s="496">
        <f t="shared" ref="I10:R10" si="13">SUM(I5:I9)</f>
        <v>1421.7909999999999</v>
      </c>
      <c r="J10" s="496">
        <f t="shared" si="13"/>
        <v>2207.1440000000002</v>
      </c>
      <c r="K10" s="496">
        <f t="shared" si="13"/>
        <v>2076.6406225870414</v>
      </c>
      <c r="L10" s="496">
        <f t="shared" si="13"/>
        <v>2034.0227563599444</v>
      </c>
      <c r="M10" s="496">
        <f t="shared" si="13"/>
        <v>1772.6739066828632</v>
      </c>
      <c r="N10" s="496">
        <f t="shared" si="13"/>
        <v>2120.7027083367766</v>
      </c>
      <c r="O10" s="496">
        <f t="shared" si="13"/>
        <v>2692.9951232036542</v>
      </c>
      <c r="P10" s="496">
        <f t="shared" si="13"/>
        <v>3513.1878588210352</v>
      </c>
      <c r="Q10" s="496">
        <f t="shared" si="13"/>
        <v>4140.2177221230268</v>
      </c>
      <c r="R10" s="496">
        <f t="shared" si="13"/>
        <v>5597.6247617821518</v>
      </c>
      <c r="S10" s="496">
        <f t="shared" ref="S10:W10" si="14">SUM(S5:S9)</f>
        <v>7352.6199077189449</v>
      </c>
      <c r="T10" s="496">
        <f t="shared" si="14"/>
        <v>9359.7246671555004</v>
      </c>
      <c r="U10" s="496">
        <f t="shared" si="14"/>
        <v>11497.132291142754</v>
      </c>
      <c r="V10" s="496">
        <f t="shared" si="14"/>
        <v>13861.66191012552</v>
      </c>
      <c r="W10" s="496">
        <f t="shared" si="14"/>
        <v>16398.852889494367</v>
      </c>
      <c r="Z10"/>
      <c r="AA10"/>
      <c r="AB10"/>
      <c r="AC10"/>
      <c r="AD10"/>
      <c r="AE10"/>
    </row>
    <row r="11" spans="1:31" s="64" customFormat="1" ht="12.75" customHeight="1">
      <c r="A11" s="63"/>
      <c r="B11" s="63"/>
      <c r="C11" s="30"/>
      <c r="D11" s="78"/>
      <c r="E11" s="78"/>
      <c r="F11" s="497"/>
      <c r="G11" s="497"/>
      <c r="H11" s="496"/>
      <c r="I11" s="496"/>
      <c r="J11" s="496"/>
      <c r="K11" s="496"/>
      <c r="L11" s="496"/>
      <c r="M11" s="496"/>
      <c r="N11" s="496"/>
      <c r="O11" s="496"/>
      <c r="P11" s="496"/>
      <c r="Q11" s="496"/>
      <c r="R11" s="496"/>
      <c r="S11" s="496"/>
      <c r="T11" s="496"/>
      <c r="U11" s="496"/>
      <c r="V11" s="496"/>
      <c r="W11" s="496"/>
      <c r="Z11"/>
      <c r="AA11"/>
      <c r="AB11"/>
      <c r="AC11"/>
      <c r="AD11"/>
      <c r="AE11"/>
    </row>
    <row r="12" spans="1:31" s="64" customFormat="1">
      <c r="A12" s="61"/>
      <c r="B12" s="61"/>
      <c r="C12" s="73" t="s">
        <v>361</v>
      </c>
      <c r="D12" s="75">
        <f>0.559+94.385</f>
        <v>94.944000000000003</v>
      </c>
      <c r="E12" s="75">
        <f>1.08+115.993</f>
        <v>117.07299999999999</v>
      </c>
      <c r="F12" s="75">
        <f>0.816+267.7</f>
        <v>268.51599999999996</v>
      </c>
      <c r="G12" s="75">
        <v>97.855999999999995</v>
      </c>
      <c r="H12" s="75">
        <v>425.65199999999999</v>
      </c>
      <c r="I12" s="75">
        <v>572.71100000000001</v>
      </c>
      <c r="J12" s="75">
        <v>385.78500000000003</v>
      </c>
      <c r="K12" s="75">
        <f>J12-CS!K24-CS!K25</f>
        <v>385.78500000000003</v>
      </c>
      <c r="L12" s="75">
        <f>K12-CS!L24-CS!L25</f>
        <v>385.78500000000003</v>
      </c>
      <c r="M12" s="75">
        <f>L12-CS!M24-CS!M25</f>
        <v>385.78500000000003</v>
      </c>
      <c r="N12" s="75">
        <f>M12-CS!N24-CS!N25</f>
        <v>385.78500000000003</v>
      </c>
      <c r="O12" s="75">
        <f>N12-CS!O24-CS!O25</f>
        <v>385.78500000000003</v>
      </c>
      <c r="P12" s="75">
        <f>O12-CS!P24-CS!P25</f>
        <v>385.78500000000003</v>
      </c>
      <c r="Q12" s="75">
        <f>P12-CS!Q24-CS!Q25</f>
        <v>385.78500000000003</v>
      </c>
      <c r="R12" s="75">
        <f>Q12-CS!R24-CS!R25</f>
        <v>385.78500000000003</v>
      </c>
      <c r="S12" s="75">
        <f>R12-CS!S24-CS!S25</f>
        <v>385.78500000000003</v>
      </c>
      <c r="T12" s="75">
        <f>S12-CS!T24-CS!T25</f>
        <v>385.78500000000003</v>
      </c>
      <c r="U12" s="75">
        <f>T12-CS!U24-CS!U25</f>
        <v>385.78500000000003</v>
      </c>
      <c r="V12" s="75">
        <f>U12-CS!V24-CS!V25</f>
        <v>385.78500000000003</v>
      </c>
      <c r="W12" s="75">
        <f>V12-CS!W24-CS!W25</f>
        <v>385.78500000000003</v>
      </c>
      <c r="Z12"/>
      <c r="AA12"/>
      <c r="AB12"/>
      <c r="AC12"/>
      <c r="AD12"/>
      <c r="AE12"/>
    </row>
    <row r="13" spans="1:31" s="64" customFormat="1" ht="12.75" customHeight="1">
      <c r="A13" s="61"/>
      <c r="B13" s="61"/>
      <c r="C13" s="73" t="s">
        <v>362</v>
      </c>
      <c r="D13" s="75">
        <v>268.971</v>
      </c>
      <c r="E13" s="75">
        <v>284.47300000000001</v>
      </c>
      <c r="F13" s="75">
        <v>319.31599999999997</v>
      </c>
      <c r="G13" s="75">
        <v>523.51599999999996</v>
      </c>
      <c r="H13" s="75">
        <v>704.20699999999999</v>
      </c>
      <c r="I13" s="75">
        <v>798.76800000000003</v>
      </c>
      <c r="J13" s="75">
        <v>896.7</v>
      </c>
      <c r="K13" s="75">
        <f>J13-CS!K8-CS!K23</f>
        <v>1021.8935970120461</v>
      </c>
      <c r="L13" s="75">
        <f>K13-CS!L8-CS!L23</f>
        <v>1123.7924329473074</v>
      </c>
      <c r="M13" s="75">
        <f>L13-CS!M8-CS!M23</f>
        <v>1214.7643359158635</v>
      </c>
      <c r="N13" s="75">
        <f>M13-CS!N8-CS!N23</f>
        <v>1285.1485422351427</v>
      </c>
      <c r="O13" s="75">
        <f>N13-CS!O8-CS!O23</f>
        <v>1348.147982842861</v>
      </c>
      <c r="P13" s="75">
        <f>O13-CS!P8-CS!P23</f>
        <v>1404.6757694382793</v>
      </c>
      <c r="Q13" s="75">
        <f>P13-CS!Q8-CS!Q23</f>
        <v>1465.2965228631392</v>
      </c>
      <c r="R13" s="75">
        <f>Q13-CS!R8-CS!R23</f>
        <v>1507.9917219416132</v>
      </c>
      <c r="S13" s="75">
        <f>R13-CS!S8-CS!S23</f>
        <v>1539.0862994607776</v>
      </c>
      <c r="T13" s="75">
        <f>S13-CS!T8-CS!T23</f>
        <v>1552.2670411868939</v>
      </c>
      <c r="U13" s="75">
        <f>T13-CS!U8-CS!U23</f>
        <v>1567.4532721327548</v>
      </c>
      <c r="V13" s="75">
        <f>U13-CS!V8-CS!V23</f>
        <v>1584.9058930478495</v>
      </c>
      <c r="W13" s="75">
        <f>V13-CS!W8-CS!W23</f>
        <v>1603.895210520081</v>
      </c>
      <c r="Z13"/>
      <c r="AA13"/>
      <c r="AB13"/>
      <c r="AC13"/>
      <c r="AD13"/>
      <c r="AE13"/>
    </row>
    <row r="14" spans="1:31" s="64" customFormat="1" ht="12.75" customHeight="1">
      <c r="A14" s="61"/>
      <c r="B14" s="61"/>
      <c r="C14" s="76" t="s">
        <v>288</v>
      </c>
      <c r="D14" s="77">
        <f>180.277+51.543+224.677+15.495</f>
        <v>471.99199999999996</v>
      </c>
      <c r="E14" s="77">
        <f>162.98+51.543+189.303+19.544</f>
        <v>423.37</v>
      </c>
      <c r="F14" s="77">
        <f>163.147+54.258+145.234+156.171</f>
        <v>518.80999999999995</v>
      </c>
      <c r="G14" s="77">
        <f>156.578+54.258+190.974+54.557</f>
        <v>456.36700000000002</v>
      </c>
      <c r="H14" s="77">
        <f>683.996+197.039+220.191+408.644</f>
        <v>1509.87</v>
      </c>
      <c r="I14" s="77">
        <f>553.78+197.039+446.786+32.815</f>
        <v>1230.42</v>
      </c>
      <c r="J14" s="77">
        <f>517.51+197.039+399.095+29.852</f>
        <v>1143.4960000000001</v>
      </c>
      <c r="K14" s="77">
        <f t="shared" ref="K14:R14" si="15">K62</f>
        <v>1154.2981922361989</v>
      </c>
      <c r="L14" s="77">
        <f t="shared" si="15"/>
        <v>1156.3258150553934</v>
      </c>
      <c r="M14" s="77">
        <f t="shared" si="15"/>
        <v>1165.6970786684149</v>
      </c>
      <c r="N14" s="77">
        <f t="shared" si="15"/>
        <v>1171.9796859677588</v>
      </c>
      <c r="O14" s="77">
        <f t="shared" si="15"/>
        <v>1182.2051359765437</v>
      </c>
      <c r="P14" s="77">
        <f t="shared" si="15"/>
        <v>1183.6353853062856</v>
      </c>
      <c r="Q14" s="77">
        <f t="shared" si="15"/>
        <v>1197.2782711338648</v>
      </c>
      <c r="R14" s="77">
        <f t="shared" si="15"/>
        <v>1196.9307009494053</v>
      </c>
      <c r="S14" s="77">
        <f t="shared" ref="S14:W14" si="16">S62</f>
        <v>1190.8822719589625</v>
      </c>
      <c r="T14" s="77">
        <f t="shared" si="16"/>
        <v>1192.8092326912843</v>
      </c>
      <c r="U14" s="77">
        <f t="shared" si="16"/>
        <v>1194.1486501440963</v>
      </c>
      <c r="V14" s="77">
        <f t="shared" si="16"/>
        <v>1193.6132220306852</v>
      </c>
      <c r="W14" s="77">
        <f t="shared" si="16"/>
        <v>1198.7759736334519</v>
      </c>
      <c r="Z14"/>
      <c r="AA14"/>
      <c r="AB14"/>
      <c r="AC14"/>
      <c r="AD14"/>
      <c r="AE14"/>
    </row>
    <row r="15" spans="1:31" s="64" customFormat="1" ht="12.75" customHeight="1">
      <c r="A15" s="63"/>
      <c r="B15" s="63"/>
      <c r="C15" s="80" t="s">
        <v>88</v>
      </c>
      <c r="D15" s="81">
        <f t="shared" ref="D15:H15" si="17">SUM(D10:D14)</f>
        <v>1305.7089999999998</v>
      </c>
      <c r="E15" s="81">
        <f t="shared" si="17"/>
        <v>1568.3470000000002</v>
      </c>
      <c r="F15" s="498">
        <f t="shared" si="17"/>
        <v>2244.0599999999995</v>
      </c>
      <c r="G15" s="498">
        <f t="shared" si="17"/>
        <v>2475.3789999999999</v>
      </c>
      <c r="H15" s="498">
        <f t="shared" si="17"/>
        <v>3729.3679999999999</v>
      </c>
      <c r="I15" s="498">
        <f t="shared" ref="I15:R15" si="18">SUM(I10:I14)</f>
        <v>4023.69</v>
      </c>
      <c r="J15" s="498">
        <f t="shared" si="18"/>
        <v>4633.125</v>
      </c>
      <c r="K15" s="498">
        <f t="shared" si="18"/>
        <v>4638.6174118352865</v>
      </c>
      <c r="L15" s="498">
        <f t="shared" si="18"/>
        <v>4699.9260043626455</v>
      </c>
      <c r="M15" s="498">
        <f t="shared" si="18"/>
        <v>4538.9203212671418</v>
      </c>
      <c r="N15" s="498">
        <f t="shared" si="18"/>
        <v>4963.6159365396779</v>
      </c>
      <c r="O15" s="498">
        <f t="shared" si="18"/>
        <v>5609.1332420230583</v>
      </c>
      <c r="P15" s="498">
        <f t="shared" si="18"/>
        <v>6487.2840135655997</v>
      </c>
      <c r="Q15" s="498">
        <f t="shared" si="18"/>
        <v>7188.5775161200309</v>
      </c>
      <c r="R15" s="498">
        <f t="shared" si="18"/>
        <v>8688.3321846731706</v>
      </c>
      <c r="S15" s="498">
        <f t="shared" ref="S15:W15" si="19">SUM(S10:S14)</f>
        <v>10468.373479138685</v>
      </c>
      <c r="T15" s="498">
        <f t="shared" si="19"/>
        <v>12490.585941033678</v>
      </c>
      <c r="U15" s="498">
        <f t="shared" si="19"/>
        <v>14644.519213419604</v>
      </c>
      <c r="V15" s="498">
        <f t="shared" si="19"/>
        <v>17025.966025204056</v>
      </c>
      <c r="W15" s="499">
        <f t="shared" si="19"/>
        <v>19587.309073647899</v>
      </c>
      <c r="Z15"/>
      <c r="AA15"/>
      <c r="AB15"/>
      <c r="AC15"/>
      <c r="AD15"/>
      <c r="AE15"/>
    </row>
    <row r="16" spans="1:31" s="64" customFormat="1" ht="9" customHeight="1">
      <c r="A16" s="63"/>
      <c r="B16" s="63"/>
      <c r="C16" s="82"/>
      <c r="D16" s="78"/>
      <c r="E16" s="78"/>
      <c r="F16" s="497"/>
      <c r="G16" s="497"/>
      <c r="H16" s="496"/>
      <c r="I16" s="496"/>
      <c r="J16" s="496"/>
      <c r="K16" s="496"/>
      <c r="L16" s="496"/>
      <c r="M16" s="496"/>
      <c r="N16" s="496"/>
      <c r="O16" s="496"/>
      <c r="P16" s="496"/>
      <c r="Q16" s="496"/>
      <c r="R16" s="496"/>
      <c r="S16" s="496"/>
      <c r="T16" s="496"/>
      <c r="U16" s="496"/>
      <c r="V16" s="496"/>
      <c r="W16" s="496"/>
      <c r="Z16"/>
      <c r="AA16"/>
      <c r="AB16"/>
      <c r="AC16"/>
      <c r="AD16"/>
      <c r="AE16"/>
    </row>
    <row r="17" spans="1:31" s="64" customFormat="1" ht="12.75" customHeight="1">
      <c r="A17" s="63"/>
      <c r="B17" s="63"/>
      <c r="C17" s="82" t="s">
        <v>147</v>
      </c>
      <c r="D17" s="78"/>
      <c r="E17" s="78"/>
      <c r="F17" s="497"/>
      <c r="G17" s="497"/>
      <c r="H17" s="496"/>
      <c r="I17" s="496"/>
      <c r="J17" s="496"/>
      <c r="K17" s="496"/>
      <c r="L17" s="496"/>
      <c r="M17" s="496"/>
      <c r="N17" s="496"/>
      <c r="O17" s="496"/>
      <c r="P17" s="496"/>
      <c r="Q17" s="496"/>
      <c r="R17" s="496"/>
      <c r="S17" s="496"/>
      <c r="T17" s="496"/>
      <c r="U17" s="496"/>
      <c r="V17" s="496"/>
      <c r="W17" s="496"/>
      <c r="Z17"/>
      <c r="AA17"/>
      <c r="AB17"/>
      <c r="AC17"/>
      <c r="AD17"/>
      <c r="AE17"/>
    </row>
    <row r="18" spans="1:31" s="64" customFormat="1" ht="12.75" customHeight="1">
      <c r="A18" s="83"/>
      <c r="B18" s="83"/>
      <c r="C18" s="73" t="s">
        <v>363</v>
      </c>
      <c r="D18" s="84">
        <v>94.125</v>
      </c>
      <c r="E18" s="84">
        <v>147.06800000000001</v>
      </c>
      <c r="F18" s="75">
        <v>183.27099999999999</v>
      </c>
      <c r="G18" s="75">
        <v>231.84399999999999</v>
      </c>
      <c r="H18" s="75">
        <v>392.51100000000002</v>
      </c>
      <c r="I18" s="75">
        <v>370.505</v>
      </c>
      <c r="J18" s="75">
        <v>401.92099999999999</v>
      </c>
      <c r="K18" s="75">
        <f t="shared" ref="K18:R18" si="20">K64</f>
        <v>399.77894873191502</v>
      </c>
      <c r="L18" s="75">
        <f t="shared" si="20"/>
        <v>406.82131326437974</v>
      </c>
      <c r="M18" s="75">
        <f t="shared" si="20"/>
        <v>408.33242856867309</v>
      </c>
      <c r="N18" s="75">
        <f t="shared" si="20"/>
        <v>412.50811147292069</v>
      </c>
      <c r="O18" s="75">
        <f t="shared" si="20"/>
        <v>418.83593240025249</v>
      </c>
      <c r="P18" s="75">
        <f t="shared" si="20"/>
        <v>423.24825105989822</v>
      </c>
      <c r="Q18" s="75">
        <f t="shared" si="20"/>
        <v>425.94325712930782</v>
      </c>
      <c r="R18" s="75">
        <f t="shared" si="20"/>
        <v>427.75560001794929</v>
      </c>
      <c r="S18" s="75">
        <f t="shared" ref="S18:W18" si="21">S64</f>
        <v>427.23740204649738</v>
      </c>
      <c r="T18" s="75">
        <f t="shared" si="21"/>
        <v>422.49004230766138</v>
      </c>
      <c r="U18" s="75">
        <f t="shared" si="21"/>
        <v>424.54926327652151</v>
      </c>
      <c r="V18" s="75">
        <f t="shared" si="21"/>
        <v>426.63990633836318</v>
      </c>
      <c r="W18" s="75">
        <f t="shared" si="21"/>
        <v>427.7592801943382</v>
      </c>
      <c r="Z18"/>
      <c r="AA18"/>
      <c r="AB18"/>
      <c r="AC18"/>
      <c r="AD18"/>
      <c r="AE18"/>
    </row>
    <row r="19" spans="1:31" s="64" customFormat="1" ht="12.75" customHeight="1">
      <c r="A19" s="83"/>
      <c r="B19" s="83"/>
      <c r="C19" s="76" t="s">
        <v>364</v>
      </c>
      <c r="D19" s="85">
        <v>0</v>
      </c>
      <c r="E19" s="85">
        <v>23.364999999999998</v>
      </c>
      <c r="F19" s="77">
        <v>0</v>
      </c>
      <c r="G19" s="77">
        <v>3.895</v>
      </c>
      <c r="H19" s="77">
        <v>52.945999999999998</v>
      </c>
      <c r="I19" s="77">
        <f>22.478+46.327</f>
        <v>68.805000000000007</v>
      </c>
      <c r="J19" s="77">
        <f>360.949+53.648</f>
        <v>414.59700000000004</v>
      </c>
      <c r="K19" s="77">
        <f t="shared" ref="K19:R19" si="22">J19</f>
        <v>414.59700000000004</v>
      </c>
      <c r="L19" s="77">
        <f t="shared" si="22"/>
        <v>414.59700000000004</v>
      </c>
      <c r="M19" s="77">
        <f t="shared" si="22"/>
        <v>414.59700000000004</v>
      </c>
      <c r="N19" s="77">
        <f t="shared" si="22"/>
        <v>414.59700000000004</v>
      </c>
      <c r="O19" s="77">
        <f t="shared" si="22"/>
        <v>414.59700000000004</v>
      </c>
      <c r="P19" s="77">
        <f t="shared" si="22"/>
        <v>414.59700000000004</v>
      </c>
      <c r="Q19" s="77">
        <f t="shared" si="22"/>
        <v>414.59700000000004</v>
      </c>
      <c r="R19" s="77">
        <f t="shared" si="22"/>
        <v>414.59700000000004</v>
      </c>
      <c r="S19" s="77">
        <f t="shared" ref="S19" si="23">R19</f>
        <v>414.59700000000004</v>
      </c>
      <c r="T19" s="77">
        <f t="shared" ref="T19" si="24">S19</f>
        <v>414.59700000000004</v>
      </c>
      <c r="U19" s="77">
        <f t="shared" ref="U19" si="25">T19</f>
        <v>414.59700000000004</v>
      </c>
      <c r="V19" s="77">
        <f t="shared" ref="V19" si="26">U19</f>
        <v>414.59700000000004</v>
      </c>
      <c r="W19" s="77">
        <f t="shared" ref="W19" si="27">V19</f>
        <v>414.59700000000004</v>
      </c>
      <c r="Z19"/>
      <c r="AA19"/>
      <c r="AB19"/>
      <c r="AC19"/>
      <c r="AD19"/>
      <c r="AE19"/>
    </row>
    <row r="20" spans="1:31" s="64" customFormat="1" ht="12.75" customHeight="1">
      <c r="A20" s="63"/>
      <c r="B20" s="63"/>
      <c r="C20" s="30" t="s">
        <v>90</v>
      </c>
      <c r="D20" s="79">
        <f t="shared" ref="D20:H20" si="28">SUM(D18:D19)</f>
        <v>94.125</v>
      </c>
      <c r="E20" s="79">
        <f t="shared" si="28"/>
        <v>170.43300000000002</v>
      </c>
      <c r="F20" s="496">
        <f t="shared" si="28"/>
        <v>183.27099999999999</v>
      </c>
      <c r="G20" s="496">
        <f t="shared" si="28"/>
        <v>235.739</v>
      </c>
      <c r="H20" s="496">
        <f t="shared" si="28"/>
        <v>445.45699999999999</v>
      </c>
      <c r="I20" s="496">
        <f t="shared" ref="I20:R20" si="29">SUM(I18:I19)</f>
        <v>439.31</v>
      </c>
      <c r="J20" s="496">
        <f t="shared" si="29"/>
        <v>816.51800000000003</v>
      </c>
      <c r="K20" s="496">
        <f t="shared" si="29"/>
        <v>814.37594873191506</v>
      </c>
      <c r="L20" s="496">
        <f t="shared" si="29"/>
        <v>821.41831326437978</v>
      </c>
      <c r="M20" s="496">
        <f t="shared" si="29"/>
        <v>822.92942856867307</v>
      </c>
      <c r="N20" s="496">
        <f t="shared" si="29"/>
        <v>827.10511147292073</v>
      </c>
      <c r="O20" s="496">
        <f t="shared" si="29"/>
        <v>833.43293240025253</v>
      </c>
      <c r="P20" s="496">
        <f t="shared" si="29"/>
        <v>837.84525105989826</v>
      </c>
      <c r="Q20" s="496">
        <f t="shared" si="29"/>
        <v>840.54025712930786</v>
      </c>
      <c r="R20" s="496">
        <f t="shared" si="29"/>
        <v>842.35260001794927</v>
      </c>
      <c r="S20" s="496">
        <f t="shared" ref="S20:W20" si="30">SUM(S18:S19)</f>
        <v>841.83440204649742</v>
      </c>
      <c r="T20" s="496">
        <f t="shared" si="30"/>
        <v>837.08704230766148</v>
      </c>
      <c r="U20" s="496">
        <f t="shared" si="30"/>
        <v>839.14626327652149</v>
      </c>
      <c r="V20" s="496">
        <f t="shared" si="30"/>
        <v>841.23690633836327</v>
      </c>
      <c r="W20" s="496">
        <f t="shared" si="30"/>
        <v>842.3562801943383</v>
      </c>
      <c r="Z20"/>
      <c r="AA20"/>
      <c r="AB20"/>
      <c r="AC20"/>
      <c r="AD20"/>
      <c r="AE20"/>
    </row>
    <row r="21" spans="1:31" s="64" customFormat="1" ht="12.75" customHeight="1">
      <c r="A21" s="63"/>
      <c r="B21" s="63"/>
      <c r="C21" s="82"/>
      <c r="D21" s="78"/>
      <c r="E21" s="78"/>
      <c r="F21" s="497"/>
      <c r="G21" s="497"/>
      <c r="H21" s="496"/>
      <c r="I21" s="496"/>
      <c r="J21" s="496"/>
      <c r="K21" s="496"/>
      <c r="L21" s="496"/>
      <c r="M21" s="496"/>
      <c r="N21" s="496"/>
      <c r="O21" s="496"/>
      <c r="P21" s="496"/>
      <c r="Q21" s="496"/>
      <c r="R21" s="496"/>
      <c r="S21" s="496"/>
      <c r="T21" s="496"/>
      <c r="U21" s="496"/>
      <c r="V21" s="496"/>
      <c r="W21" s="496"/>
      <c r="Z21"/>
      <c r="AA21"/>
      <c r="AB21"/>
      <c r="AC21"/>
      <c r="AD21"/>
      <c r="AE21"/>
    </row>
    <row r="22" spans="1:31" s="64" customFormat="1" ht="12.75" customHeight="1">
      <c r="A22" s="63"/>
      <c r="B22" s="63"/>
      <c r="C22" s="73" t="s">
        <v>289</v>
      </c>
      <c r="D22" s="75">
        <v>348.32900000000001</v>
      </c>
      <c r="E22" s="75">
        <v>324.85899999999998</v>
      </c>
      <c r="F22" s="75">
        <v>655.56600000000003</v>
      </c>
      <c r="G22" s="75">
        <v>642.90200000000004</v>
      </c>
      <c r="H22" s="75">
        <v>662.28599999999994</v>
      </c>
      <c r="I22" s="75">
        <v>660.76099999999997</v>
      </c>
      <c r="J22" s="75">
        <v>813.52099999999996</v>
      </c>
      <c r="K22" s="75">
        <f>IS!AP225</f>
        <v>840.35799999999995</v>
      </c>
      <c r="L22" s="75">
        <f>IS!AU225</f>
        <v>854.64100000000008</v>
      </c>
      <c r="M22" s="75">
        <f>IS!AZ225</f>
        <v>495</v>
      </c>
      <c r="N22" s="75">
        <f>IS!BE225</f>
        <v>495</v>
      </c>
      <c r="O22" s="75">
        <f>IS!BJ225</f>
        <v>495</v>
      </c>
      <c r="P22" s="75">
        <f>IS!BO225</f>
        <v>495</v>
      </c>
      <c r="Q22" s="75">
        <f>IS!BT225</f>
        <v>0</v>
      </c>
      <c r="R22" s="75">
        <f>IS!BY225</f>
        <v>0</v>
      </c>
      <c r="S22" s="75">
        <f>IS!BV225</f>
        <v>0</v>
      </c>
      <c r="T22" s="75">
        <f>IS!CA225</f>
        <v>0</v>
      </c>
      <c r="U22" s="75">
        <f>IS!BX225</f>
        <v>0</v>
      </c>
      <c r="V22" s="75">
        <f>IS!CC225</f>
        <v>0</v>
      </c>
      <c r="W22" s="75">
        <f>IS!BZ225</f>
        <v>0</v>
      </c>
      <c r="Z22"/>
      <c r="AA22"/>
      <c r="AB22"/>
      <c r="AC22"/>
      <c r="AD22"/>
      <c r="AE22"/>
    </row>
    <row r="23" spans="1:31" s="64" customFormat="1" ht="12.75" customHeight="1">
      <c r="A23" s="63"/>
      <c r="B23" s="63"/>
      <c r="C23" s="73" t="s">
        <v>290</v>
      </c>
      <c r="D23" s="77">
        <f>33.059+37.155+19.993</f>
        <v>90.206999999999994</v>
      </c>
      <c r="E23" s="77">
        <f>30.618+26.674</f>
        <v>57.292000000000002</v>
      </c>
      <c r="F23" s="77">
        <f>30.79+33.392</f>
        <v>64.182000000000002</v>
      </c>
      <c r="G23" s="77">
        <f>38.767+30.077</f>
        <v>68.844000000000008</v>
      </c>
      <c r="H23" s="77">
        <f>32.663+143.527+44.588</f>
        <v>220.77799999999999</v>
      </c>
      <c r="I23" s="77">
        <f>115.31+42.034</f>
        <v>157.34399999999999</v>
      </c>
      <c r="J23" s="77">
        <f>135.318+59.105</f>
        <v>194.423</v>
      </c>
      <c r="K23" s="77">
        <f t="shared" ref="K23:R23" si="31">K66</f>
        <v>199.88947436595751</v>
      </c>
      <c r="L23" s="77">
        <f t="shared" si="31"/>
        <v>203.41065663218987</v>
      </c>
      <c r="M23" s="77">
        <f t="shared" si="31"/>
        <v>204.16621428433655</v>
      </c>
      <c r="N23" s="77">
        <f t="shared" si="31"/>
        <v>210.6424399010659</v>
      </c>
      <c r="O23" s="77">
        <f t="shared" si="31"/>
        <v>214.07169878235129</v>
      </c>
      <c r="P23" s="77">
        <f t="shared" si="31"/>
        <v>216.54561682134329</v>
      </c>
      <c r="Q23" s="77">
        <f t="shared" si="31"/>
        <v>218.16605852964548</v>
      </c>
      <c r="R23" s="77">
        <f t="shared" si="31"/>
        <v>219.36184616305093</v>
      </c>
      <c r="S23" s="77">
        <f t="shared" ref="S23:W23" si="32">S66</f>
        <v>219.39217942928244</v>
      </c>
      <c r="T23" s="77">
        <f t="shared" si="32"/>
        <v>223.31616521976389</v>
      </c>
      <c r="U23" s="77">
        <f t="shared" si="32"/>
        <v>224.76137467580548</v>
      </c>
      <c r="V23" s="77">
        <f t="shared" si="32"/>
        <v>226.24843517943498</v>
      </c>
      <c r="W23" s="77">
        <f t="shared" si="32"/>
        <v>227.2471176032422</v>
      </c>
      <c r="Z23"/>
      <c r="AA23"/>
      <c r="AB23"/>
      <c r="AC23"/>
      <c r="AD23"/>
      <c r="AE23"/>
    </row>
    <row r="24" spans="1:31" s="64" customFormat="1" ht="12.75" customHeight="1">
      <c r="A24" s="63"/>
      <c r="B24" s="63"/>
      <c r="C24" s="80" t="s">
        <v>91</v>
      </c>
      <c r="D24" s="81">
        <f t="shared" ref="D24:H24" si="33">SUM(D20:D23)</f>
        <v>532.66100000000006</v>
      </c>
      <c r="E24" s="81">
        <f t="shared" si="33"/>
        <v>552.58400000000006</v>
      </c>
      <c r="F24" s="498">
        <f t="shared" si="33"/>
        <v>903.01900000000001</v>
      </c>
      <c r="G24" s="498">
        <f t="shared" si="33"/>
        <v>947.48500000000013</v>
      </c>
      <c r="H24" s="498">
        <f t="shared" si="33"/>
        <v>1328.521</v>
      </c>
      <c r="I24" s="498">
        <f t="shared" ref="I24:R24" si="34">SUM(I20:I23)</f>
        <v>1257.415</v>
      </c>
      <c r="J24" s="498">
        <f t="shared" si="34"/>
        <v>1824.462</v>
      </c>
      <c r="K24" s="498">
        <f t="shared" si="34"/>
        <v>1854.6234230978725</v>
      </c>
      <c r="L24" s="498">
        <f t="shared" si="34"/>
        <v>1879.4699698965696</v>
      </c>
      <c r="M24" s="498">
        <f t="shared" si="34"/>
        <v>1522.0956428530096</v>
      </c>
      <c r="N24" s="498">
        <f t="shared" si="34"/>
        <v>1532.7475513739867</v>
      </c>
      <c r="O24" s="498">
        <f t="shared" si="34"/>
        <v>1542.5046311826036</v>
      </c>
      <c r="P24" s="498">
        <f t="shared" si="34"/>
        <v>1549.3908678812413</v>
      </c>
      <c r="Q24" s="498">
        <f t="shared" si="34"/>
        <v>1058.7063156589534</v>
      </c>
      <c r="R24" s="498">
        <f t="shared" si="34"/>
        <v>1061.7144461810003</v>
      </c>
      <c r="S24" s="498">
        <f t="shared" ref="S24:W24" si="35">SUM(S20:S23)</f>
        <v>1061.2265814757798</v>
      </c>
      <c r="T24" s="498">
        <f t="shared" si="35"/>
        <v>1060.4032075274254</v>
      </c>
      <c r="U24" s="498">
        <f t="shared" si="35"/>
        <v>1063.9076379523269</v>
      </c>
      <c r="V24" s="498">
        <f t="shared" si="35"/>
        <v>1067.4853415177981</v>
      </c>
      <c r="W24" s="499">
        <f t="shared" si="35"/>
        <v>1069.6033977975806</v>
      </c>
      <c r="Z24"/>
      <c r="AA24"/>
      <c r="AB24"/>
      <c r="AC24"/>
      <c r="AD24"/>
      <c r="AE24"/>
    </row>
    <row r="25" spans="1:31" s="64" customFormat="1" ht="9" customHeight="1">
      <c r="A25" s="63"/>
      <c r="B25" s="63"/>
      <c r="C25" s="82"/>
      <c r="D25" s="78"/>
      <c r="E25" s="78"/>
      <c r="F25" s="497"/>
      <c r="G25" s="497"/>
      <c r="H25" s="496"/>
      <c r="I25" s="496"/>
      <c r="J25" s="496"/>
      <c r="K25" s="496"/>
      <c r="L25" s="496"/>
      <c r="M25" s="496"/>
      <c r="N25" s="496"/>
      <c r="O25" s="496"/>
      <c r="P25" s="496"/>
      <c r="Q25" s="496"/>
      <c r="R25" s="496"/>
      <c r="S25" s="496"/>
      <c r="T25" s="496"/>
      <c r="U25" s="496"/>
      <c r="V25" s="496"/>
      <c r="W25" s="496"/>
      <c r="Z25"/>
      <c r="AA25"/>
      <c r="AB25"/>
      <c r="AC25"/>
      <c r="AD25"/>
      <c r="AE25"/>
    </row>
    <row r="26" spans="1:31" s="64" customFormat="1" ht="12.75" customHeight="1">
      <c r="A26" s="61"/>
      <c r="B26" s="61"/>
      <c r="C26" s="71" t="s">
        <v>291</v>
      </c>
      <c r="D26" s="74"/>
      <c r="E26" s="74"/>
      <c r="F26" s="500"/>
      <c r="G26" s="500"/>
      <c r="H26" s="75"/>
      <c r="I26" s="75"/>
      <c r="J26" s="75"/>
      <c r="K26" s="75"/>
      <c r="L26" s="75"/>
      <c r="M26" s="75"/>
      <c r="N26" s="75"/>
      <c r="O26" s="75"/>
      <c r="P26" s="75"/>
      <c r="Q26" s="75"/>
      <c r="R26" s="75"/>
      <c r="S26" s="75"/>
      <c r="T26" s="75"/>
      <c r="U26" s="75"/>
      <c r="V26" s="75"/>
      <c r="W26" s="75"/>
      <c r="Z26"/>
      <c r="AA26"/>
      <c r="AB26"/>
      <c r="AC26"/>
      <c r="AD26"/>
      <c r="AE26"/>
    </row>
    <row r="27" spans="1:31" s="64" customFormat="1" ht="12.75" customHeight="1">
      <c r="A27" s="61"/>
      <c r="B27" s="61"/>
      <c r="C27" s="73" t="s">
        <v>292</v>
      </c>
      <c r="D27" s="75">
        <v>0.115</v>
      </c>
      <c r="E27" s="75">
        <v>0.126</v>
      </c>
      <c r="F27" s="75">
        <v>0.14399999999999999</v>
      </c>
      <c r="G27" s="75">
        <v>0.14899999999999999</v>
      </c>
      <c r="H27" s="75">
        <v>0.16200000000000001</v>
      </c>
      <c r="I27" s="75">
        <v>0.17299999999999999</v>
      </c>
      <c r="J27" s="75">
        <v>0.17599999999999999</v>
      </c>
      <c r="K27" s="75">
        <f t="shared" ref="K27:R27" si="36">J27</f>
        <v>0.17599999999999999</v>
      </c>
      <c r="L27" s="75">
        <f t="shared" si="36"/>
        <v>0.17599999999999999</v>
      </c>
      <c r="M27" s="75">
        <f t="shared" si="36"/>
        <v>0.17599999999999999</v>
      </c>
      <c r="N27" s="75">
        <f t="shared" si="36"/>
        <v>0.17599999999999999</v>
      </c>
      <c r="O27" s="75">
        <f t="shared" si="36"/>
        <v>0.17599999999999999</v>
      </c>
      <c r="P27" s="75">
        <f t="shared" si="36"/>
        <v>0.17599999999999999</v>
      </c>
      <c r="Q27" s="75">
        <f t="shared" si="36"/>
        <v>0.17599999999999999</v>
      </c>
      <c r="R27" s="75">
        <f t="shared" si="36"/>
        <v>0.17599999999999999</v>
      </c>
      <c r="S27" s="75">
        <f t="shared" ref="S27" si="37">R27</f>
        <v>0.17599999999999999</v>
      </c>
      <c r="T27" s="75">
        <f t="shared" ref="T27" si="38">S27</f>
        <v>0.17599999999999999</v>
      </c>
      <c r="U27" s="75">
        <f t="shared" ref="U27" si="39">T27</f>
        <v>0.17599999999999999</v>
      </c>
      <c r="V27" s="75">
        <f t="shared" ref="V27" si="40">U27</f>
        <v>0.17599999999999999</v>
      </c>
      <c r="W27" s="75">
        <f t="shared" ref="W27" si="41">V27</f>
        <v>0.17599999999999999</v>
      </c>
      <c r="Z27"/>
      <c r="AA27"/>
      <c r="AB27"/>
      <c r="AC27"/>
      <c r="AD27"/>
      <c r="AE27"/>
    </row>
    <row r="28" spans="1:31" s="64" customFormat="1" ht="12.75" customHeight="1">
      <c r="A28" s="61"/>
      <c r="B28" s="61"/>
      <c r="C28" s="73" t="s">
        <v>293</v>
      </c>
      <c r="D28" s="75">
        <v>1197.0820000000001</v>
      </c>
      <c r="E28" s="75">
        <v>1561.89</v>
      </c>
      <c r="F28" s="75">
        <v>2059.1010000000001</v>
      </c>
      <c r="G28" s="75">
        <v>2359.7440000000001</v>
      </c>
      <c r="H28" s="75">
        <v>3414.837</v>
      </c>
      <c r="I28" s="75">
        <v>4288.1130000000003</v>
      </c>
      <c r="J28" s="75">
        <v>4483.22</v>
      </c>
      <c r="K28" s="75">
        <f>J28+CS!K76+CS!K9</f>
        <v>4790.5884736306016</v>
      </c>
      <c r="L28" s="75">
        <f>K28+CS!L76+CS!L9</f>
        <v>5127.5781500643543</v>
      </c>
      <c r="M28" s="75">
        <f>L28+CS!M76+CS!M9</f>
        <v>5489.2554700112823</v>
      </c>
      <c r="N28" s="75">
        <f>M28+CS!N76+CS!N9</f>
        <v>5877.4428076720251</v>
      </c>
      <c r="O28" s="75">
        <f>N28+CS!O76+CS!O9</f>
        <v>6294.0977562779462</v>
      </c>
      <c r="P28" s="75">
        <f>O28+CS!P76+CS!P9</f>
        <v>6741.323196573213</v>
      </c>
      <c r="Q28" s="75">
        <f>P28+CS!Q76+CS!Q9</f>
        <v>7221.3781167858187</v>
      </c>
      <c r="R28" s="75">
        <f>Q28+CS!R76+CS!R9</f>
        <v>7736.6892402668518</v>
      </c>
      <c r="S28" s="75">
        <f>R28+CS!S76+CS!S9</f>
        <v>8289.8635211816618</v>
      </c>
      <c r="T28" s="75">
        <f>S28+CS!T76+CS!T9</f>
        <v>8883.7015731557458</v>
      </c>
      <c r="U28" s="75">
        <f>T28+CS!U76+CS!U9</f>
        <v>9436.8765182621901</v>
      </c>
      <c r="V28" s="75">
        <f>U28+CS!V76+CS!V9</f>
        <v>10121.291825574754</v>
      </c>
      <c r="W28" s="75">
        <f>V28+CS!W76+CS!W9</f>
        <v>10856.084484275836</v>
      </c>
      <c r="Z28"/>
      <c r="AA28"/>
      <c r="AB28"/>
      <c r="AC28"/>
      <c r="AD28"/>
      <c r="AE28"/>
    </row>
    <row r="29" spans="1:31" s="64" customFormat="1" ht="12.75" customHeight="1">
      <c r="A29" s="61"/>
      <c r="B29" s="61"/>
      <c r="C29" s="73" t="s">
        <v>294</v>
      </c>
      <c r="D29" s="75">
        <v>4.8869999999999996</v>
      </c>
      <c r="E29" s="75">
        <v>-0.20200000000000001</v>
      </c>
      <c r="F29" s="75">
        <v>5.0179999999999998</v>
      </c>
      <c r="G29" s="75">
        <v>27.466000000000001</v>
      </c>
      <c r="H29" s="75">
        <v>21.033000000000001</v>
      </c>
      <c r="I29" s="75">
        <v>12.816000000000001</v>
      </c>
      <c r="J29" s="75">
        <v>-22.960999999999999</v>
      </c>
      <c r="K29" s="75">
        <f t="shared" ref="K29:R29" si="42">J29</f>
        <v>-22.960999999999999</v>
      </c>
      <c r="L29" s="75">
        <f t="shared" si="42"/>
        <v>-22.960999999999999</v>
      </c>
      <c r="M29" s="75">
        <f t="shared" si="42"/>
        <v>-22.960999999999999</v>
      </c>
      <c r="N29" s="75">
        <f t="shared" si="42"/>
        <v>-22.960999999999999</v>
      </c>
      <c r="O29" s="75">
        <f t="shared" si="42"/>
        <v>-22.960999999999999</v>
      </c>
      <c r="P29" s="75">
        <f t="shared" si="42"/>
        <v>-22.960999999999999</v>
      </c>
      <c r="Q29" s="75">
        <f t="shared" si="42"/>
        <v>-22.960999999999999</v>
      </c>
      <c r="R29" s="75">
        <f t="shared" si="42"/>
        <v>-22.960999999999999</v>
      </c>
      <c r="S29" s="75">
        <f t="shared" ref="S29" si="43">R29</f>
        <v>-22.960999999999999</v>
      </c>
      <c r="T29" s="75">
        <f t="shared" ref="T29" si="44">S29</f>
        <v>-22.960999999999999</v>
      </c>
      <c r="U29" s="75">
        <f t="shared" ref="U29" si="45">T29</f>
        <v>-22.960999999999999</v>
      </c>
      <c r="V29" s="75">
        <f t="shared" ref="V29" si="46">U29</f>
        <v>-22.960999999999999</v>
      </c>
      <c r="W29" s="75">
        <f t="shared" ref="W29" si="47">V29</f>
        <v>-22.960999999999999</v>
      </c>
      <c r="Z29"/>
      <c r="AA29"/>
      <c r="AB29"/>
      <c r="AC29"/>
      <c r="AD29"/>
      <c r="AE29"/>
    </row>
    <row r="30" spans="1:31" s="64" customFormat="1" ht="12.75" customHeight="1">
      <c r="A30" s="61"/>
      <c r="B30" s="61"/>
      <c r="C30" s="73" t="s">
        <v>295</v>
      </c>
      <c r="D30" s="75">
        <v>-425.101</v>
      </c>
      <c r="E30" s="75">
        <v>-539.44799999999998</v>
      </c>
      <c r="F30" s="75">
        <v>-715.80100000000004</v>
      </c>
      <c r="G30" s="75">
        <v>-849.77</v>
      </c>
      <c r="H30" s="75">
        <v>-1021.569</v>
      </c>
      <c r="I30" s="75">
        <v>-1520.5060000000001</v>
      </c>
      <c r="J30" s="75">
        <v>-1637.548</v>
      </c>
      <c r="K30" s="75">
        <f>J30+K45-CS!K9</f>
        <v>-1969.5854848931883</v>
      </c>
      <c r="L30" s="75">
        <f>K30+L45-CS!L9</f>
        <v>-2270.1131155982803</v>
      </c>
      <c r="M30" s="75">
        <f>L30+M45-CS!M9</f>
        <v>-2435.4217915971526</v>
      </c>
      <c r="N30" s="75">
        <f>M30+N45-CS!N9</f>
        <v>-2409.5654225063358</v>
      </c>
      <c r="O30" s="75">
        <f>N30+O45-CS!O9</f>
        <v>-2190.4601454374929</v>
      </c>
      <c r="P30" s="75">
        <f>O30+P45-CS!P9</f>
        <v>-1766.4210508888564</v>
      </c>
      <c r="Q30" s="75">
        <f>P30+Q45-CS!Q9</f>
        <v>-1054.4979163247435</v>
      </c>
      <c r="R30" s="75">
        <f>Q30+R45-CS!R9</f>
        <v>-73.062501774684051</v>
      </c>
      <c r="S30" s="75">
        <f>R30+S45-CS!S9</f>
        <v>1154.2923764812413</v>
      </c>
      <c r="T30" s="75">
        <f>S30+T45-CS!T9</f>
        <v>2583.490160350505</v>
      </c>
      <c r="U30" s="75">
        <f>T30+U45-CS!U9</f>
        <v>4180.7440572050855</v>
      </c>
      <c r="V30" s="75">
        <f>U30+V45-CS!V9</f>
        <v>5874.1978581115027</v>
      </c>
      <c r="W30" s="75">
        <f>V30+W45-CS!W9</f>
        <v>7698.6301915744843</v>
      </c>
      <c r="Z30"/>
      <c r="AA30"/>
      <c r="AB30"/>
      <c r="AC30"/>
      <c r="AD30"/>
      <c r="AE30"/>
    </row>
    <row r="31" spans="1:31" s="64" customFormat="1" ht="12.75" customHeight="1">
      <c r="A31" s="61"/>
      <c r="B31" s="61"/>
      <c r="C31" s="73" t="s">
        <v>365</v>
      </c>
      <c r="D31" s="75">
        <v>-3.9350000000000001</v>
      </c>
      <c r="E31" s="75">
        <v>-6.6029999999999998</v>
      </c>
      <c r="F31" s="75">
        <v>-7.4210000000000003</v>
      </c>
      <c r="G31" s="75">
        <v>-9.6950000000000003</v>
      </c>
      <c r="H31" s="75">
        <v>-13.616</v>
      </c>
      <c r="I31" s="75">
        <f>-14.321</f>
        <v>-14.321</v>
      </c>
      <c r="J31" s="75">
        <f>-14.224</f>
        <v>-14.224</v>
      </c>
      <c r="K31" s="75">
        <f t="shared" ref="K31:R31" si="48">J31</f>
        <v>-14.224</v>
      </c>
      <c r="L31" s="75">
        <f t="shared" si="48"/>
        <v>-14.224</v>
      </c>
      <c r="M31" s="75">
        <f t="shared" si="48"/>
        <v>-14.224</v>
      </c>
      <c r="N31" s="75">
        <f t="shared" si="48"/>
        <v>-14.224</v>
      </c>
      <c r="O31" s="75">
        <f t="shared" si="48"/>
        <v>-14.224</v>
      </c>
      <c r="P31" s="75">
        <f t="shared" si="48"/>
        <v>-14.224</v>
      </c>
      <c r="Q31" s="75">
        <f t="shared" si="48"/>
        <v>-14.224</v>
      </c>
      <c r="R31" s="75">
        <f t="shared" si="48"/>
        <v>-14.224</v>
      </c>
      <c r="S31" s="75">
        <f t="shared" ref="S31" si="49">R31</f>
        <v>-14.224</v>
      </c>
      <c r="T31" s="75">
        <f t="shared" ref="T31" si="50">S31</f>
        <v>-14.224</v>
      </c>
      <c r="U31" s="75">
        <f t="shared" ref="U31" si="51">T31</f>
        <v>-14.224</v>
      </c>
      <c r="V31" s="75">
        <f t="shared" ref="V31" si="52">U31</f>
        <v>-14.224</v>
      </c>
      <c r="W31" s="75">
        <f t="shared" ref="W31" si="53">V31</f>
        <v>-14.224</v>
      </c>
      <c r="Z31"/>
      <c r="AA31"/>
      <c r="AB31"/>
      <c r="AC31"/>
      <c r="AD31"/>
      <c r="AE31"/>
    </row>
    <row r="32" spans="1:31" s="64" customFormat="1" ht="12.75" customHeight="1">
      <c r="A32" s="63"/>
      <c r="B32" s="63"/>
      <c r="C32" s="80" t="s">
        <v>296</v>
      </c>
      <c r="D32" s="81">
        <f>SUM(D27:D31)</f>
        <v>773.04800000000012</v>
      </c>
      <c r="E32" s="81">
        <f>SUM(E27:E31)</f>
        <v>1015.7630000000001</v>
      </c>
      <c r="F32" s="498">
        <f t="shared" ref="F32:H32" si="54">SUM(F27:F31)</f>
        <v>1341.0409999999999</v>
      </c>
      <c r="G32" s="498">
        <f t="shared" si="54"/>
        <v>1527.894</v>
      </c>
      <c r="H32" s="498">
        <f t="shared" si="54"/>
        <v>2400.8469999999998</v>
      </c>
      <c r="I32" s="498">
        <f t="shared" ref="I32:R32" si="55">SUM(I27:I31)</f>
        <v>2766.2749999999996</v>
      </c>
      <c r="J32" s="498">
        <f t="shared" si="55"/>
        <v>2808.6630000000005</v>
      </c>
      <c r="K32" s="498">
        <f t="shared" si="55"/>
        <v>2783.993988737413</v>
      </c>
      <c r="L32" s="498">
        <f t="shared" si="55"/>
        <v>2820.456034466074</v>
      </c>
      <c r="M32" s="498">
        <f t="shared" si="55"/>
        <v>3016.8246784141297</v>
      </c>
      <c r="N32" s="498">
        <f t="shared" si="55"/>
        <v>3430.8683851656892</v>
      </c>
      <c r="O32" s="498">
        <f t="shared" si="55"/>
        <v>4066.6286108404533</v>
      </c>
      <c r="P32" s="498">
        <f t="shared" si="55"/>
        <v>4937.8931456843566</v>
      </c>
      <c r="Q32" s="498">
        <f t="shared" si="55"/>
        <v>6129.8712004610752</v>
      </c>
      <c r="R32" s="498">
        <f t="shared" si="55"/>
        <v>7626.6177384921675</v>
      </c>
      <c r="S32" s="498">
        <f t="shared" ref="S32:W32" si="56">SUM(S27:S31)</f>
        <v>9407.1468976629021</v>
      </c>
      <c r="T32" s="498">
        <f t="shared" si="56"/>
        <v>11430.18273350625</v>
      </c>
      <c r="U32" s="498">
        <f t="shared" si="56"/>
        <v>13580.611575467276</v>
      </c>
      <c r="V32" s="498">
        <f t="shared" si="56"/>
        <v>15958.480683686257</v>
      </c>
      <c r="W32" s="499">
        <f t="shared" si="56"/>
        <v>18517.70567585032</v>
      </c>
      <c r="Z32"/>
      <c r="AA32"/>
      <c r="AB32"/>
      <c r="AC32"/>
      <c r="AD32"/>
      <c r="AE32"/>
    </row>
    <row r="33" spans="1:91" s="64" customFormat="1" ht="9" customHeight="1">
      <c r="A33" s="86"/>
      <c r="B33" s="86"/>
      <c r="C33" s="82"/>
      <c r="D33" s="87"/>
      <c r="E33" s="87"/>
      <c r="F33" s="501"/>
      <c r="G33" s="501"/>
      <c r="H33" s="501"/>
      <c r="I33" s="501"/>
      <c r="J33" s="501"/>
      <c r="K33" s="501"/>
      <c r="L33" s="501"/>
      <c r="M33" s="501"/>
      <c r="N33" s="501"/>
      <c r="O33" s="501"/>
      <c r="P33" s="501"/>
      <c r="Q33" s="501"/>
      <c r="R33" s="501"/>
      <c r="S33" s="501"/>
      <c r="T33" s="501"/>
      <c r="U33" s="501"/>
      <c r="V33" s="501"/>
      <c r="W33" s="501"/>
      <c r="Z33"/>
      <c r="AA33"/>
      <c r="AB33"/>
      <c r="AC33"/>
      <c r="AD33"/>
      <c r="AE33"/>
    </row>
    <row r="34" spans="1:91" s="64" customFormat="1" ht="12.75" customHeight="1" thickBot="1">
      <c r="A34" s="68"/>
      <c r="B34" s="68"/>
      <c r="C34" s="88" t="s">
        <v>297</v>
      </c>
      <c r="D34" s="89">
        <f t="shared" ref="D34:H34" si="57">D24+D32</f>
        <v>1305.7090000000003</v>
      </c>
      <c r="E34" s="89">
        <f t="shared" si="57"/>
        <v>1568.3470000000002</v>
      </c>
      <c r="F34" s="502">
        <f t="shared" si="57"/>
        <v>2244.06</v>
      </c>
      <c r="G34" s="502">
        <f t="shared" si="57"/>
        <v>2475.3789999999999</v>
      </c>
      <c r="H34" s="502">
        <f t="shared" si="57"/>
        <v>3729.3679999999995</v>
      </c>
      <c r="I34" s="502">
        <f t="shared" ref="I34:R34" si="58">I24+I32</f>
        <v>4023.6899999999996</v>
      </c>
      <c r="J34" s="502">
        <f t="shared" si="58"/>
        <v>4633.125</v>
      </c>
      <c r="K34" s="502">
        <f t="shared" si="58"/>
        <v>4638.6174118352856</v>
      </c>
      <c r="L34" s="502">
        <f t="shared" si="58"/>
        <v>4699.9260043626437</v>
      </c>
      <c r="M34" s="502">
        <f t="shared" si="58"/>
        <v>4538.9203212671391</v>
      </c>
      <c r="N34" s="502">
        <f t="shared" si="58"/>
        <v>4963.6159365396761</v>
      </c>
      <c r="O34" s="502">
        <f t="shared" si="58"/>
        <v>5609.1332420230574</v>
      </c>
      <c r="P34" s="502">
        <f t="shared" si="58"/>
        <v>6487.2840135655979</v>
      </c>
      <c r="Q34" s="502">
        <f t="shared" si="58"/>
        <v>7188.577516120029</v>
      </c>
      <c r="R34" s="502">
        <f t="shared" si="58"/>
        <v>8688.3321846731669</v>
      </c>
      <c r="S34" s="502">
        <f t="shared" ref="S34:W34" si="59">S24+S32</f>
        <v>10468.373479138681</v>
      </c>
      <c r="T34" s="502">
        <f t="shared" si="59"/>
        <v>12490.585941033674</v>
      </c>
      <c r="U34" s="502">
        <f t="shared" si="59"/>
        <v>14644.519213419602</v>
      </c>
      <c r="V34" s="502">
        <f t="shared" si="59"/>
        <v>17025.966025204056</v>
      </c>
      <c r="W34" s="503">
        <f t="shared" si="59"/>
        <v>19587.309073647903</v>
      </c>
      <c r="Z34"/>
      <c r="AA34"/>
      <c r="AB34"/>
      <c r="AC34"/>
      <c r="AD34"/>
      <c r="AE34"/>
    </row>
    <row r="35" spans="1:91" s="64" customFormat="1" ht="12.75" customHeight="1" thickTop="1">
      <c r="A35" s="61"/>
      <c r="B35" s="61"/>
      <c r="C35" s="90"/>
      <c r="D35" s="72"/>
      <c r="E35" s="72"/>
      <c r="F35" s="72"/>
      <c r="G35" s="72"/>
      <c r="H35" s="72"/>
      <c r="I35" s="72"/>
      <c r="J35" s="72"/>
      <c r="K35" s="62"/>
      <c r="L35" s="62"/>
      <c r="M35" s="62"/>
      <c r="N35" s="62"/>
      <c r="O35" s="62"/>
      <c r="P35" s="62"/>
      <c r="Q35" s="62"/>
      <c r="R35" s="62"/>
      <c r="S35" s="62"/>
      <c r="T35" s="62"/>
      <c r="U35" s="62"/>
      <c r="V35" s="62"/>
      <c r="W35" s="62"/>
      <c r="Z35"/>
      <c r="AA35"/>
      <c r="AB35"/>
      <c r="AC35"/>
      <c r="AD35"/>
      <c r="AE35"/>
    </row>
    <row r="36" spans="1:91" s="8" customFormat="1" ht="12.75" customHeight="1">
      <c r="A36" s="4"/>
      <c r="B36" s="4"/>
      <c r="C36" s="11" t="s">
        <v>31</v>
      </c>
      <c r="D36" s="12">
        <f t="shared" ref="D36:H36" si="60">D15-D34</f>
        <v>0</v>
      </c>
      <c r="E36" s="465">
        <f t="shared" si="60"/>
        <v>0</v>
      </c>
      <c r="F36" s="465">
        <f t="shared" si="60"/>
        <v>0</v>
      </c>
      <c r="G36" s="465">
        <f t="shared" si="60"/>
        <v>0</v>
      </c>
      <c r="H36" s="465">
        <f t="shared" si="60"/>
        <v>0</v>
      </c>
      <c r="I36" s="465">
        <f t="shared" ref="I36:R36" si="61">I15-I34</f>
        <v>0</v>
      </c>
      <c r="J36" s="465">
        <f t="shared" si="61"/>
        <v>0</v>
      </c>
      <c r="K36" s="465">
        <f t="shared" si="61"/>
        <v>0</v>
      </c>
      <c r="L36" s="465">
        <f t="shared" si="61"/>
        <v>0</v>
      </c>
      <c r="M36" s="465">
        <f t="shared" si="61"/>
        <v>0</v>
      </c>
      <c r="N36" s="465">
        <f t="shared" si="61"/>
        <v>0</v>
      </c>
      <c r="O36" s="465">
        <f t="shared" si="61"/>
        <v>0</v>
      </c>
      <c r="P36" s="465">
        <f t="shared" si="61"/>
        <v>0</v>
      </c>
      <c r="Q36" s="465">
        <f t="shared" si="61"/>
        <v>0</v>
      </c>
      <c r="R36" s="604">
        <f t="shared" si="61"/>
        <v>0</v>
      </c>
      <c r="S36" s="604">
        <f t="shared" ref="S36:W36" si="62">S15-S34</f>
        <v>0</v>
      </c>
      <c r="T36" s="604">
        <f t="shared" si="62"/>
        <v>0</v>
      </c>
      <c r="U36" s="604">
        <f t="shared" si="62"/>
        <v>0</v>
      </c>
      <c r="V36" s="604">
        <f t="shared" si="62"/>
        <v>0</v>
      </c>
      <c r="W36" s="604">
        <f t="shared" si="62"/>
        <v>0</v>
      </c>
      <c r="X36" s="64"/>
      <c r="Y36" s="64"/>
      <c r="Z36"/>
      <c r="AA36"/>
      <c r="AB36"/>
      <c r="AC36"/>
      <c r="AD36"/>
      <c r="AE36"/>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row>
    <row r="37" spans="1:91" s="8" customFormat="1" ht="12.75" customHeight="1">
      <c r="A37" s="4"/>
      <c r="B37" s="4"/>
      <c r="C37" s="13" t="s">
        <v>298</v>
      </c>
      <c r="D37" s="14"/>
      <c r="E37" s="14"/>
      <c r="F37" s="14"/>
      <c r="G37" s="14"/>
      <c r="H37" s="14"/>
      <c r="I37" s="14"/>
      <c r="J37" s="14"/>
      <c r="K37" s="14"/>
      <c r="L37" s="14"/>
      <c r="M37" s="14"/>
      <c r="N37" s="14"/>
      <c r="O37" s="14"/>
      <c r="P37" s="14"/>
      <c r="Q37" s="14"/>
      <c r="R37" s="14"/>
      <c r="S37" s="14"/>
      <c r="T37" s="14"/>
      <c r="U37" s="14"/>
      <c r="V37" s="14"/>
      <c r="W37" s="14"/>
      <c r="X37" s="64"/>
      <c r="Y37" s="64"/>
      <c r="Z37"/>
      <c r="AA37"/>
      <c r="AB37"/>
      <c r="AC37"/>
      <c r="AD37"/>
      <c r="AE37"/>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row>
    <row r="38" spans="1:91" s="8" customFormat="1" ht="12.75" customHeight="1">
      <c r="A38" s="4"/>
      <c r="B38" s="4"/>
      <c r="C38" s="13"/>
      <c r="D38" s="14"/>
      <c r="E38" s="14"/>
      <c r="F38" s="14"/>
      <c r="G38" s="14"/>
      <c r="H38" s="14"/>
      <c r="I38" s="14"/>
      <c r="J38" s="14"/>
      <c r="K38" s="14"/>
      <c r="L38" s="14"/>
      <c r="M38" s="14"/>
      <c r="N38" s="14"/>
      <c r="O38" s="14"/>
      <c r="P38" s="14"/>
      <c r="Q38" s="14"/>
      <c r="R38" s="14"/>
      <c r="S38" s="14"/>
      <c r="T38" s="14"/>
      <c r="U38" s="14"/>
      <c r="V38" s="14"/>
      <c r="W38" s="14"/>
      <c r="X38" s="64"/>
      <c r="Y38" s="64"/>
      <c r="Z38"/>
      <c r="AA38"/>
      <c r="AB38"/>
      <c r="AC38"/>
      <c r="AD38"/>
      <c r="AE38"/>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row>
    <row r="39" spans="1:91" ht="12.75" customHeight="1">
      <c r="D39" s="15"/>
      <c r="E39" s="15"/>
      <c r="F39" s="15"/>
      <c r="G39" s="15"/>
      <c r="H39" s="15"/>
      <c r="I39" s="15"/>
      <c r="J39" s="15"/>
      <c r="K39" s="15"/>
      <c r="L39" s="15"/>
      <c r="M39" s="15"/>
      <c r="N39" s="15"/>
      <c r="O39" s="15"/>
      <c r="P39" s="15"/>
      <c r="Q39" s="15"/>
      <c r="R39" s="605"/>
      <c r="S39" s="605"/>
      <c r="T39" s="605"/>
      <c r="U39" s="605"/>
      <c r="V39" s="605"/>
      <c r="W39" s="605"/>
      <c r="X39" s="61"/>
      <c r="Y39" s="61"/>
      <c r="AF39" s="61"/>
      <c r="AG39" s="61"/>
      <c r="AH39" s="61"/>
      <c r="AI39" s="61"/>
      <c r="AJ39" s="61"/>
      <c r="AK39" s="61"/>
      <c r="AL39" s="61"/>
      <c r="AM39" s="61"/>
      <c r="AN39" s="61"/>
      <c r="AO39" s="61"/>
      <c r="AP39" s="61"/>
      <c r="AQ39" s="61"/>
      <c r="AR39" s="61"/>
      <c r="AS39" s="61"/>
      <c r="AT39" s="61"/>
      <c r="AU39" s="61"/>
      <c r="AV39" s="61"/>
      <c r="AW39" s="61"/>
      <c r="AX39" s="61"/>
      <c r="AY39" s="61"/>
      <c r="AZ39" s="61"/>
      <c r="BA39" s="61"/>
      <c r="BB39" s="61"/>
      <c r="BC39" s="61"/>
      <c r="BD39" s="61"/>
      <c r="BE39" s="61"/>
      <c r="BF39" s="61"/>
      <c r="BG39" s="61"/>
      <c r="BH39" s="61"/>
      <c r="BI39" s="61"/>
      <c r="BJ39" s="61"/>
      <c r="BK39" s="61"/>
      <c r="BL39" s="61"/>
      <c r="BM39" s="61"/>
      <c r="BN39" s="61"/>
      <c r="BO39" s="61"/>
      <c r="BP39" s="61"/>
      <c r="BQ39" s="61"/>
      <c r="BR39" s="61"/>
      <c r="BS39" s="61"/>
      <c r="BT39" s="61"/>
      <c r="BU39" s="61"/>
      <c r="BV39" s="61"/>
      <c r="BW39" s="61"/>
      <c r="BX39" s="61"/>
      <c r="BY39" s="61"/>
      <c r="BZ39" s="61"/>
      <c r="CA39" s="61"/>
      <c r="CB39" s="61"/>
      <c r="CC39" s="61"/>
      <c r="CD39" s="61"/>
      <c r="CE39" s="61"/>
      <c r="CF39" s="61"/>
      <c r="CG39" s="61"/>
      <c r="CH39" s="61"/>
      <c r="CI39" s="61"/>
      <c r="CJ39" s="61"/>
      <c r="CK39" s="61"/>
      <c r="CL39" s="61"/>
      <c r="CM39" s="61"/>
    </row>
    <row r="40" spans="1:91" ht="12.75" customHeight="1" outlineLevel="1">
      <c r="C40" s="16" t="s">
        <v>299</v>
      </c>
      <c r="D40" s="17"/>
      <c r="E40" s="17"/>
      <c r="F40" s="17"/>
      <c r="G40" s="17"/>
      <c r="H40" s="17"/>
      <c r="I40" s="17"/>
      <c r="J40" s="17"/>
      <c r="K40" s="17"/>
      <c r="L40" s="17"/>
      <c r="M40" s="17"/>
      <c r="N40" s="17"/>
      <c r="O40" s="17"/>
      <c r="P40" s="17"/>
      <c r="Q40" s="17"/>
      <c r="R40" s="17"/>
      <c r="S40" s="17"/>
      <c r="T40" s="17"/>
      <c r="U40" s="17"/>
      <c r="V40" s="17"/>
      <c r="W40" s="17"/>
      <c r="X40" s="61"/>
      <c r="Y40" s="61"/>
      <c r="AF40" s="61"/>
      <c r="AG40" s="61"/>
      <c r="AH40" s="61"/>
      <c r="AI40" s="61"/>
      <c r="AJ40" s="61"/>
      <c r="AK40" s="61"/>
      <c r="AL40" s="61"/>
      <c r="AM40" s="61"/>
      <c r="AN40" s="61"/>
      <c r="AO40" s="61"/>
      <c r="AP40" s="61"/>
      <c r="AQ40" s="61"/>
      <c r="AR40" s="61"/>
      <c r="AS40" s="61"/>
      <c r="AT40" s="61"/>
      <c r="AU40" s="61"/>
      <c r="AV40" s="61"/>
      <c r="AW40" s="61"/>
      <c r="AX40" s="61"/>
      <c r="AY40" s="61"/>
      <c r="AZ40" s="61"/>
      <c r="BA40" s="61"/>
      <c r="BB40" s="61"/>
      <c r="BC40" s="61"/>
      <c r="BD40" s="61"/>
      <c r="BE40" s="61"/>
      <c r="BF40" s="61"/>
      <c r="BG40" s="61"/>
      <c r="BH40" s="61"/>
      <c r="BI40" s="61"/>
      <c r="BJ40" s="61"/>
      <c r="BK40" s="61"/>
      <c r="BL40" s="61"/>
      <c r="BM40" s="61"/>
      <c r="BN40" s="61"/>
      <c r="BO40" s="61"/>
      <c r="BP40" s="61"/>
      <c r="BQ40" s="61"/>
      <c r="BR40" s="61"/>
      <c r="BS40" s="61"/>
      <c r="BT40" s="61"/>
      <c r="BU40" s="61"/>
      <c r="BV40" s="61"/>
      <c r="BW40" s="61"/>
      <c r="BX40" s="61"/>
      <c r="BY40" s="61"/>
      <c r="BZ40" s="61"/>
      <c r="CA40" s="61"/>
      <c r="CB40" s="61"/>
      <c r="CC40" s="61"/>
      <c r="CD40" s="61"/>
      <c r="CE40" s="61"/>
      <c r="CF40" s="61"/>
      <c r="CG40" s="61"/>
      <c r="CH40" s="61"/>
      <c r="CI40" s="61"/>
      <c r="CJ40" s="61"/>
      <c r="CK40" s="61"/>
      <c r="CL40" s="61"/>
      <c r="CM40" s="61"/>
    </row>
    <row r="41" spans="1:91" ht="12.75" customHeight="1" outlineLevel="1">
      <c r="C41" s="18" t="s">
        <v>300</v>
      </c>
      <c r="D41" s="19">
        <f>IS!G22</f>
        <v>441.35800000000006</v>
      </c>
      <c r="E41" s="19">
        <f>IS!L22</f>
        <v>500.72300000000001</v>
      </c>
      <c r="F41" s="19">
        <f>IS!Q22</f>
        <v>548.529</v>
      </c>
      <c r="G41" s="19">
        <f>IS!V22</f>
        <v>749.95699999999999</v>
      </c>
      <c r="H41" s="19">
        <f>IS!AA22</f>
        <v>889.89499999999998</v>
      </c>
      <c r="I41" s="19">
        <f>IS!AF22</f>
        <v>1116.854</v>
      </c>
      <c r="J41" s="19">
        <f>IS!AK22</f>
        <v>1282.1669999999999</v>
      </c>
      <c r="K41" s="19">
        <f>IS!AP22</f>
        <v>1479.8694772258959</v>
      </c>
      <c r="L41" s="19">
        <f>IS!AU22</f>
        <v>1675.8345145730339</v>
      </c>
      <c r="M41" s="19">
        <f>IS!AZ22</f>
        <v>2009.8225494283015</v>
      </c>
      <c r="N41" s="19">
        <f>IS!BE22</f>
        <v>2391.795277485222</v>
      </c>
      <c r="O41" s="19">
        <f>IS!BJ22</f>
        <v>2781.6591434742204</v>
      </c>
      <c r="P41" s="19">
        <f>IS!BO22</f>
        <v>3199.0145548818527</v>
      </c>
      <c r="Q41" s="19">
        <f>IS!BT22</f>
        <v>3683.9331419503533</v>
      </c>
      <c r="R41" s="19">
        <f>IS!BY22</f>
        <v>4199.75684543651</v>
      </c>
      <c r="S41" s="19">
        <f>IS!CD22</f>
        <v>4670.1265567018136</v>
      </c>
      <c r="T41" s="19">
        <f>IS!CI22</f>
        <v>5075.7839688990825</v>
      </c>
      <c r="U41" s="19">
        <f>IS!CN22</f>
        <v>5366.9602253667254</v>
      </c>
      <c r="V41" s="19">
        <f>IS!CS22</f>
        <v>5683.8724858604055</v>
      </c>
      <c r="W41" s="20">
        <f>IS!CX22</f>
        <v>5993.8798681672597</v>
      </c>
      <c r="X41" s="61"/>
      <c r="Y41" s="61"/>
      <c r="AF41" s="61"/>
      <c r="AG41" s="61"/>
      <c r="AH41" s="61"/>
      <c r="AI41" s="61"/>
      <c r="AJ41" s="61"/>
      <c r="AK41" s="61"/>
      <c r="AL41" s="61"/>
      <c r="AM41" s="61"/>
      <c r="AN41" s="61"/>
      <c r="AO41" s="61"/>
      <c r="AP41" s="61"/>
      <c r="AQ41" s="61"/>
      <c r="AR41" s="61"/>
      <c r="AS41" s="61"/>
      <c r="AT41" s="61"/>
      <c r="AU41" s="61"/>
      <c r="AV41" s="61"/>
      <c r="AW41" s="61"/>
      <c r="AX41" s="61"/>
      <c r="AY41" s="61"/>
      <c r="AZ41" s="61"/>
      <c r="BA41" s="61"/>
      <c r="BB41" s="61"/>
      <c r="BC41" s="61"/>
      <c r="BD41" s="61"/>
      <c r="BE41" s="61"/>
      <c r="BF41" s="61"/>
      <c r="BG41" s="61"/>
      <c r="BH41" s="61"/>
      <c r="BI41" s="61"/>
      <c r="BJ41" s="61"/>
      <c r="BK41" s="61"/>
      <c r="BL41" s="61"/>
      <c r="BM41" s="61"/>
      <c r="BN41" s="61"/>
      <c r="BO41" s="61"/>
      <c r="BP41" s="61"/>
      <c r="BQ41" s="61"/>
      <c r="BR41" s="61"/>
      <c r="BS41" s="61"/>
      <c r="BT41" s="61"/>
      <c r="BU41" s="61"/>
      <c r="BV41" s="61"/>
      <c r="BW41" s="61"/>
      <c r="BX41" s="61"/>
      <c r="BY41" s="61"/>
      <c r="BZ41" s="61"/>
      <c r="CA41" s="61"/>
      <c r="CB41" s="61"/>
      <c r="CC41" s="61"/>
      <c r="CD41" s="61"/>
      <c r="CE41" s="61"/>
      <c r="CF41" s="61"/>
      <c r="CG41" s="61"/>
      <c r="CH41" s="61"/>
      <c r="CI41" s="61"/>
      <c r="CJ41" s="61"/>
      <c r="CK41" s="61"/>
      <c r="CL41" s="61"/>
      <c r="CM41" s="61"/>
    </row>
    <row r="42" spans="1:91" ht="12.75" customHeight="1" outlineLevel="1">
      <c r="C42" s="21" t="s">
        <v>33</v>
      </c>
      <c r="D42" s="22">
        <f>IS!G28</f>
        <v>78.853000000000009</v>
      </c>
      <c r="E42" s="22">
        <f>IS!L28</f>
        <v>86.94</v>
      </c>
      <c r="F42" s="22">
        <f>IS!Q28</f>
        <v>90.882000000000005</v>
      </c>
      <c r="G42" s="22">
        <f>IS!V28</f>
        <v>117.95700000000001</v>
      </c>
      <c r="H42" s="22">
        <f>IS!AA28</f>
        <v>145.07299999999998</v>
      </c>
      <c r="I42" s="22">
        <f>IS!AF28</f>
        <v>200.67700000000002</v>
      </c>
      <c r="J42" s="22">
        <f>IS!AK28</f>
        <v>231.48600000000002</v>
      </c>
      <c r="K42" s="22">
        <f>IS!AP28</f>
        <v>270.66054907556929</v>
      </c>
      <c r="L42" s="22">
        <f>IS!AU28</f>
        <v>308.27951443288799</v>
      </c>
      <c r="M42" s="22">
        <f>IS!AZ28</f>
        <v>374.94031951219227</v>
      </c>
      <c r="N42" s="22">
        <f>IS!BE28</f>
        <v>451.22313330565345</v>
      </c>
      <c r="O42" s="22">
        <f>IS!BJ28</f>
        <v>524.75923704003492</v>
      </c>
      <c r="P42" s="22">
        <f>IS!BO28</f>
        <v>598.44437581144075</v>
      </c>
      <c r="Q42" s="22">
        <f>IS!BT28</f>
        <v>680.76571558983755</v>
      </c>
      <c r="R42" s="22">
        <f>IS!BY28</f>
        <v>769.19770342951938</v>
      </c>
      <c r="S42" s="22">
        <f>IS!CD28</f>
        <v>856.98341425794058</v>
      </c>
      <c r="T42" s="22">
        <f>IS!CI28</f>
        <v>933.24834526265136</v>
      </c>
      <c r="U42" s="22">
        <f>IS!CN28</f>
        <v>987.1973720063595</v>
      </c>
      <c r="V42" s="22">
        <f>IS!CS28</f>
        <v>1045.7629359418172</v>
      </c>
      <c r="W42" s="23">
        <f>IS!CX28</f>
        <v>1103.1548219885299</v>
      </c>
      <c r="X42" s="61"/>
      <c r="Y42" s="61"/>
      <c r="AF42" s="61"/>
      <c r="AG42" s="61"/>
      <c r="AH42" s="61"/>
      <c r="AI42" s="61"/>
      <c r="AJ42" s="61"/>
      <c r="AK42" s="61"/>
      <c r="AL42" s="61"/>
      <c r="AM42" s="61"/>
      <c r="AN42" s="61"/>
      <c r="AO42" s="61"/>
      <c r="AP42" s="61"/>
      <c r="AQ42" s="61"/>
      <c r="AR42" s="61"/>
      <c r="AS42" s="61"/>
      <c r="AT42" s="61"/>
      <c r="AU42" s="61"/>
      <c r="AV42" s="61"/>
      <c r="AW42" s="61"/>
      <c r="AX42" s="61"/>
      <c r="AY42" s="61"/>
      <c r="AZ42" s="61"/>
      <c r="BA42" s="61"/>
      <c r="BB42" s="61"/>
      <c r="BC42" s="61"/>
      <c r="BD42" s="61"/>
      <c r="BE42" s="61"/>
      <c r="BF42" s="61"/>
      <c r="BG42" s="61"/>
      <c r="BH42" s="61"/>
      <c r="BI42" s="61"/>
      <c r="BJ42" s="61"/>
      <c r="BK42" s="61"/>
      <c r="BL42" s="61"/>
      <c r="BM42" s="61"/>
      <c r="BN42" s="61"/>
      <c r="BO42" s="61"/>
      <c r="BP42" s="61"/>
      <c r="BQ42" s="61"/>
      <c r="BR42" s="61"/>
      <c r="BS42" s="61"/>
      <c r="BT42" s="61"/>
      <c r="BU42" s="61"/>
      <c r="BV42" s="61"/>
      <c r="BW42" s="61"/>
      <c r="BX42" s="61"/>
      <c r="BY42" s="61"/>
      <c r="BZ42" s="61"/>
      <c r="CA42" s="61"/>
      <c r="CB42" s="61"/>
      <c r="CC42" s="61"/>
      <c r="CD42" s="61"/>
      <c r="CE42" s="61"/>
      <c r="CF42" s="61"/>
      <c r="CG42" s="61"/>
      <c r="CH42" s="61"/>
      <c r="CI42" s="61"/>
      <c r="CJ42" s="61"/>
      <c r="CK42" s="61"/>
      <c r="CL42" s="61"/>
      <c r="CM42" s="61"/>
    </row>
    <row r="43" spans="1:91" ht="12.75" customHeight="1" outlineLevel="1">
      <c r="C43" s="24" t="s">
        <v>30</v>
      </c>
      <c r="D43" s="22">
        <f>IS!G28+IS!G53+IS!G66+IS!G68</f>
        <v>406.13100000000003</v>
      </c>
      <c r="E43" s="22">
        <f>IS!L28+IS!L53+IS!L66+IS!L68</f>
        <v>509.46300000000002</v>
      </c>
      <c r="F43" s="22">
        <f>IS!Q28+IS!Q53+IS!Q66+IS!Q68</f>
        <v>588.91499999999996</v>
      </c>
      <c r="G43" s="22">
        <f>IS!V28+IS!V53+IS!V66+IS!V68</f>
        <v>774.21399999999994</v>
      </c>
      <c r="H43" s="22">
        <f>IS!AA28+IS!AA53+IS!AA66+IS!AA68</f>
        <v>1015.4029999999999</v>
      </c>
      <c r="I43" s="22">
        <f>IS!AF28+IS!AF53+IS!AF66+IS!AF68</f>
        <v>1120.8849999999998</v>
      </c>
      <c r="J43" s="22">
        <f>IS!AK28+IS!AK53+IS!AK66+IS!AK68</f>
        <v>1214.5949999999998</v>
      </c>
      <c r="K43" s="22">
        <f>IS!AP28+IS!AP53+IS!AP66+IS!AP68</f>
        <v>1378.5480990755691</v>
      </c>
      <c r="L43" s="22">
        <f>IS!AU28+IS!AU53+IS!AU66+IS!AU68</f>
        <v>1506.7456046828879</v>
      </c>
      <c r="M43" s="22">
        <f>IS!AZ28+IS!AZ53+IS!AZ66+IS!AZ68</f>
        <v>1633.3297142746924</v>
      </c>
      <c r="N43" s="22">
        <f>IS!BE28+IS!BE53+IS!BE66+IS!BE68</f>
        <v>1755.3536658422158</v>
      </c>
      <c r="O43" s="22">
        <f>IS!BJ28+IS!BJ53+IS!BJ66+IS!BJ68</f>
        <v>1861.4930328900111</v>
      </c>
      <c r="P43" s="22">
        <f>IS!BO28+IS!BO53+IS!BO66+IS!BO68</f>
        <v>1968.5965165576663</v>
      </c>
      <c r="Q43" s="22">
        <f>IS!BT28+IS!BT53+IS!BT66+IS!BT68</f>
        <v>2077.7719859966237</v>
      </c>
      <c r="R43" s="22">
        <f>IS!BY28+IS!BY53+IS!BY66+IS!BY68</f>
        <v>2193.618461630509</v>
      </c>
      <c r="S43" s="22">
        <f>IS!CD28+IS!CD53+IS!CD66+IS!CD68</f>
        <v>2309.3913624134993</v>
      </c>
      <c r="T43" s="22">
        <f>IS!CI28+IS!CI53+IS!CI66+IS!CI68</f>
        <v>2414.2288131866367</v>
      </c>
      <c r="U43" s="22">
        <f>IS!CN28+IS!CN53+IS!CN66+IS!CN68</f>
        <v>2497.34860750895</v>
      </c>
      <c r="V43" s="22">
        <f>IS!CS28+IS!CS53+IS!CS66+IS!CS68</f>
        <v>2585.6964020506857</v>
      </c>
      <c r="W43" s="23">
        <f>IS!CX28+IS!CX53+IS!CX66+IS!CX68</f>
        <v>2673.4955012146138</v>
      </c>
      <c r="X43" s="61"/>
      <c r="Y43" s="61"/>
      <c r="AF43" s="61"/>
      <c r="AG43" s="61"/>
      <c r="AH43" s="61"/>
      <c r="AI43" s="61"/>
      <c r="AJ43" s="61"/>
      <c r="AK43" s="61"/>
      <c r="AL43" s="61"/>
      <c r="AM43" s="61"/>
      <c r="AN43" s="61"/>
      <c r="AO43" s="61"/>
      <c r="AP43" s="61"/>
      <c r="AQ43" s="61"/>
      <c r="AR43" s="61"/>
      <c r="AS43" s="61"/>
      <c r="AT43" s="61"/>
      <c r="AU43" s="61"/>
      <c r="AV43" s="61"/>
      <c r="AW43" s="61"/>
      <c r="AX43" s="61"/>
      <c r="AY43" s="61"/>
      <c r="AZ43" s="61"/>
      <c r="BA43" s="61"/>
      <c r="BB43" s="61"/>
      <c r="BC43" s="61"/>
      <c r="BD43" s="61"/>
      <c r="BE43" s="61"/>
      <c r="BF43" s="61"/>
      <c r="BG43" s="61"/>
      <c r="BH43" s="61"/>
      <c r="BI43" s="61"/>
      <c r="BJ43" s="61"/>
      <c r="BK43" s="61"/>
      <c r="BL43" s="61"/>
      <c r="BM43" s="61"/>
      <c r="BN43" s="61"/>
      <c r="BO43" s="61"/>
      <c r="BP43" s="61"/>
      <c r="BQ43" s="61"/>
      <c r="BR43" s="61"/>
      <c r="BS43" s="61"/>
      <c r="BT43" s="61"/>
      <c r="BU43" s="61"/>
      <c r="BV43" s="61"/>
      <c r="BW43" s="61"/>
      <c r="BX43" s="61"/>
      <c r="BY43" s="61"/>
      <c r="BZ43" s="61"/>
      <c r="CA43" s="61"/>
      <c r="CB43" s="61"/>
      <c r="CC43" s="61"/>
      <c r="CD43" s="61"/>
      <c r="CE43" s="61"/>
      <c r="CF43" s="61"/>
      <c r="CG43" s="61"/>
      <c r="CH43" s="61"/>
      <c r="CI43" s="61"/>
      <c r="CJ43" s="61"/>
      <c r="CK43" s="61"/>
      <c r="CL43" s="61"/>
      <c r="CM43" s="61"/>
    </row>
    <row r="44" spans="1:91" ht="12.75" customHeight="1" outlineLevel="1">
      <c r="C44" s="24" t="s">
        <v>301</v>
      </c>
      <c r="D44" s="22">
        <f>IS!G75</f>
        <v>0</v>
      </c>
      <c r="E44" s="22">
        <f>IS!L75</f>
        <v>0</v>
      </c>
      <c r="F44" s="22">
        <f>IS!Q75</f>
        <v>0</v>
      </c>
      <c r="G44" s="22">
        <f>IS!V75</f>
        <v>0</v>
      </c>
      <c r="H44" s="22">
        <f>IS!AA75</f>
        <v>0</v>
      </c>
      <c r="I44" s="22">
        <f>IS!AF75</f>
        <v>0</v>
      </c>
      <c r="J44" s="22">
        <f>IS!AK75</f>
        <v>-1.2999999999999901E-2</v>
      </c>
      <c r="K44" s="22">
        <f>IS!AP75</f>
        <v>20.006075630065382</v>
      </c>
      <c r="L44" s="22">
        <f>IS!AU75</f>
        <v>33.559581978029215</v>
      </c>
      <c r="M44" s="22">
        <f>IS!AZ75</f>
        <v>75.040367030721868</v>
      </c>
      <c r="N44" s="22">
        <f>IS!BE75</f>
        <v>127.03012232860127</v>
      </c>
      <c r="O44" s="22">
        <f>IS!BJ75</f>
        <v>183.77502211684185</v>
      </c>
      <c r="P44" s="22">
        <f>IS!BO75</f>
        <v>245.82540766483731</v>
      </c>
      <c r="Q44" s="22">
        <f>IS!BT75</f>
        <v>320.97403119074579</v>
      </c>
      <c r="R44" s="22">
        <f>IS!BY75</f>
        <v>400.96947676120016</v>
      </c>
      <c r="S44" s="22">
        <f>IS!CD75</f>
        <v>471.88883885766285</v>
      </c>
      <c r="T44" s="22">
        <f>IS!CI75</f>
        <v>532.05283114248925</v>
      </c>
      <c r="U44" s="22">
        <f>IS!CN75</f>
        <v>573.66412357155502</v>
      </c>
      <c r="V44" s="22">
        <f>IS!CS75</f>
        <v>619.37701676194411</v>
      </c>
      <c r="W44" s="23">
        <f>IS!CX75</f>
        <v>663.81867339052917</v>
      </c>
      <c r="X44" s="61"/>
      <c r="Y44" s="61"/>
      <c r="AF44" s="61"/>
      <c r="AG44" s="61"/>
      <c r="AH44" s="61"/>
      <c r="AI44" s="61"/>
      <c r="AJ44" s="61"/>
      <c r="AK44" s="61"/>
      <c r="AL44" s="61"/>
      <c r="AM44" s="61"/>
      <c r="AN44" s="61"/>
      <c r="AO44" s="61"/>
      <c r="AP44" s="61"/>
      <c r="AQ44" s="61"/>
      <c r="AR44" s="61"/>
      <c r="AS44" s="61"/>
      <c r="AT44" s="61"/>
      <c r="AU44" s="61"/>
      <c r="AV44" s="61"/>
      <c r="AW44" s="61"/>
      <c r="AX44" s="61"/>
      <c r="AY44" s="61"/>
      <c r="AZ44" s="61"/>
      <c r="BA44" s="61"/>
      <c r="BB44" s="61"/>
      <c r="BC44" s="61"/>
      <c r="BD44" s="61"/>
      <c r="BE44" s="61"/>
      <c r="BF44" s="61"/>
      <c r="BG44" s="61"/>
      <c r="BH44" s="61"/>
      <c r="BI44" s="61"/>
      <c r="BJ44" s="61"/>
      <c r="BK44" s="61"/>
      <c r="BL44" s="61"/>
      <c r="BM44" s="61"/>
      <c r="BN44" s="61"/>
      <c r="BO44" s="61"/>
      <c r="BP44" s="61"/>
      <c r="BQ44" s="61"/>
      <c r="BR44" s="61"/>
      <c r="BS44" s="61"/>
      <c r="BT44" s="61"/>
      <c r="BU44" s="61"/>
      <c r="BV44" s="61"/>
      <c r="BW44" s="61"/>
      <c r="BX44" s="61"/>
      <c r="BY44" s="61"/>
      <c r="BZ44" s="61"/>
      <c r="CA44" s="61"/>
      <c r="CB44" s="61"/>
      <c r="CC44" s="61"/>
      <c r="CD44" s="61"/>
      <c r="CE44" s="61"/>
      <c r="CF44" s="61"/>
      <c r="CG44" s="61"/>
      <c r="CH44" s="61"/>
      <c r="CI44" s="61"/>
      <c r="CJ44" s="61"/>
      <c r="CK44" s="61"/>
      <c r="CL44" s="61"/>
      <c r="CM44" s="61"/>
    </row>
    <row r="45" spans="1:91" ht="12.75" customHeight="1" outlineLevel="1">
      <c r="C45" s="24" t="s">
        <v>302</v>
      </c>
      <c r="D45" s="22">
        <f>IS!G123</f>
        <v>-53.721000000000018</v>
      </c>
      <c r="E45" s="22">
        <f>IS!L123</f>
        <v>-114.459</v>
      </c>
      <c r="F45" s="22">
        <f>IS!Q123</f>
        <v>-176.32599999999994</v>
      </c>
      <c r="G45" s="22">
        <f>IS!V123</f>
        <v>-134.18699999999995</v>
      </c>
      <c r="H45" s="22">
        <f>IS!AA123</f>
        <v>-152.05100000000002</v>
      </c>
      <c r="I45" s="22">
        <f>IS!AF123</f>
        <v>-606.95100000000002</v>
      </c>
      <c r="J45" s="22">
        <f>IS!AK123</f>
        <v>-107.14300000000007</v>
      </c>
      <c r="K45" s="22">
        <f>IS!AP123</f>
        <v>-178.37538489318837</v>
      </c>
      <c r="L45" s="22">
        <f>IS!AU123</f>
        <v>-132.0550857050917</v>
      </c>
      <c r="M45" s="22">
        <f>IS!AZ123</f>
        <v>15.507533251127995</v>
      </c>
      <c r="N45" s="22">
        <f>IS!BE123</f>
        <v>219.92742857831655</v>
      </c>
      <c r="O45" s="22">
        <f>IS!BJ123</f>
        <v>427.40998228884285</v>
      </c>
      <c r="P45" s="22">
        <f>IS!BO123</f>
        <v>647.62888474462102</v>
      </c>
      <c r="Q45" s="22">
        <f>IS!BT123</f>
        <v>951.92750271350474</v>
      </c>
      <c r="R45" s="22">
        <f>IS!BY123</f>
        <v>1239.0677211837997</v>
      </c>
      <c r="S45" s="22">
        <f>IS!CD123</f>
        <v>1503.9185993039973</v>
      </c>
      <c r="T45" s="22">
        <f>IS!CI123</f>
        <v>1726.0932249835823</v>
      </c>
      <c r="U45" s="22">
        <f>IS!CN123</f>
        <v>1873.8176179026525</v>
      </c>
      <c r="V45" s="22">
        <f>IS!CS123</f>
        <v>2035.6375352478258</v>
      </c>
      <c r="W45" s="23">
        <f>IS!CX123</f>
        <v>2191.8045745033146</v>
      </c>
    </row>
    <row r="46" spans="1:91" ht="12.75" customHeight="1" outlineLevel="1">
      <c r="C46" s="24" t="s">
        <v>303</v>
      </c>
      <c r="D46" s="22">
        <f>CS!D19</f>
        <v>18.753000000000004</v>
      </c>
      <c r="E46" s="22">
        <f>CS!E19</f>
        <v>17.609000000000002</v>
      </c>
      <c r="F46" s="22">
        <f>CS!F19</f>
        <v>-59.633999999999986</v>
      </c>
      <c r="G46" s="22">
        <f>CS!G19</f>
        <v>-71.912999999999968</v>
      </c>
      <c r="H46" s="22">
        <f>CS!H19</f>
        <v>-221.68899999999985</v>
      </c>
      <c r="I46" s="22">
        <f>CS!I19</f>
        <v>-227.83699999999999</v>
      </c>
      <c r="J46" s="22">
        <f>CS!J19</f>
        <v>-8.7569999999999926</v>
      </c>
      <c r="K46" s="22">
        <f>CS!K19</f>
        <v>39.645515907692484</v>
      </c>
      <c r="L46" s="22">
        <f>CS!L19</f>
        <v>111.78647170277449</v>
      </c>
      <c r="M46" s="22">
        <f>CS!M19</f>
        <v>276.60282757487238</v>
      </c>
      <c r="N46" s="22">
        <f>CS!N19</f>
        <v>486.42948796077275</v>
      </c>
      <c r="O46" s="22">
        <f>CS!O19</f>
        <v>730.92424286839605</v>
      </c>
      <c r="P46" s="22">
        <f>CS!P19</f>
        <v>976.0351123111235</v>
      </c>
      <c r="Q46" s="22">
        <f>CS!Q19</f>
        <v>1274.5230972552536</v>
      </c>
      <c r="R46" s="22">
        <f>CS!R19</f>
        <v>1601.868038622119</v>
      </c>
      <c r="S46" s="22">
        <f>CS!S19</f>
        <v>1880.0679870625167</v>
      </c>
      <c r="T46" s="22">
        <f>CS!T19</f>
        <v>2121.2449088594362</v>
      </c>
      <c r="U46" s="22">
        <f>CS!U19</f>
        <v>2093.2702108880103</v>
      </c>
      <c r="V46" s="22">
        <f>CS!V19</f>
        <v>2440.9572063743144</v>
      </c>
      <c r="W46" s="23">
        <f>CS!W19</f>
        <v>2621.9919887725105</v>
      </c>
    </row>
    <row r="47" spans="1:91" ht="12.75" customHeight="1" outlineLevel="1">
      <c r="C47" s="25" t="s">
        <v>304</v>
      </c>
      <c r="D47" s="26">
        <f>CS!D23</f>
        <v>-73.218999999999994</v>
      </c>
      <c r="E47" s="26">
        <f>CS!E23</f>
        <v>-44.570999999999998</v>
      </c>
      <c r="F47" s="26">
        <f>CS!F23</f>
        <v>-65.123999999999995</v>
      </c>
      <c r="G47" s="26">
        <f>CS!G23</f>
        <v>-117.062</v>
      </c>
      <c r="H47" s="26">
        <f>CS!H23</f>
        <v>-227.65299999999999</v>
      </c>
      <c r="I47" s="26">
        <f>CS!I23</f>
        <v>-148.38</v>
      </c>
      <c r="J47" s="26">
        <f>CS!J23</f>
        <v>-199.21899999999999</v>
      </c>
      <c r="K47" s="26">
        <f>CS!K23</f>
        <v>-199.78237942549598</v>
      </c>
      <c r="L47" s="26">
        <f>CS!L23</f>
        <v>-184.34179660303371</v>
      </c>
      <c r="M47" s="26">
        <f>CS!M23</f>
        <v>-180.88402944854712</v>
      </c>
      <c r="N47" s="26">
        <f>CS!N23</f>
        <v>-167.42566942396556</v>
      </c>
      <c r="O47" s="26">
        <f>CS!O23</f>
        <v>-166.89954860845322</v>
      </c>
      <c r="P47" s="26">
        <f>CS!P23</f>
        <v>-175.9458005185019</v>
      </c>
      <c r="Q47" s="26">
        <f>CS!Q23</f>
        <v>-165.77699138776589</v>
      </c>
      <c r="R47" s="26">
        <f>CS!R23</f>
        <v>-167.99027381746041</v>
      </c>
      <c r="S47" s="26">
        <f>CS!S23</f>
        <v>-163.45442948456349</v>
      </c>
      <c r="T47" s="26">
        <f>CS!T23</f>
        <v>-152.27351906697248</v>
      </c>
      <c r="U47" s="26">
        <f>CS!U23</f>
        <v>-161.00880676100175</v>
      </c>
      <c r="V47" s="26">
        <f>CS!V23</f>
        <v>-170.51617457581216</v>
      </c>
      <c r="W47" s="27">
        <f>CS!W23</f>
        <v>-179.8163960450178</v>
      </c>
    </row>
    <row r="48" spans="1:91" ht="12.75" customHeight="1" outlineLevel="1">
      <c r="C48" s="28"/>
      <c r="D48" s="29"/>
      <c r="E48" s="29"/>
      <c r="F48" s="29"/>
      <c r="G48" s="29"/>
      <c r="H48" s="29"/>
      <c r="I48" s="29"/>
      <c r="J48" s="29"/>
      <c r="K48" s="29"/>
      <c r="L48" s="29"/>
      <c r="M48" s="29"/>
      <c r="N48" s="29"/>
      <c r="O48" s="29"/>
      <c r="P48" s="29"/>
      <c r="Q48" s="29"/>
      <c r="R48" s="29"/>
      <c r="S48" s="29"/>
      <c r="T48" s="29"/>
      <c r="U48" s="29"/>
      <c r="V48" s="29"/>
      <c r="W48" s="29"/>
    </row>
    <row r="49" spans="3:23" ht="12.75" customHeight="1" outlineLevel="1">
      <c r="C49" s="30" t="s">
        <v>305</v>
      </c>
      <c r="D49" s="29"/>
      <c r="E49" s="29"/>
      <c r="F49" s="29"/>
      <c r="G49" s="29"/>
      <c r="H49" s="29"/>
      <c r="I49" s="29"/>
      <c r="J49" s="29"/>
      <c r="K49" s="29"/>
      <c r="L49" s="29"/>
      <c r="M49" s="29"/>
      <c r="N49" s="29"/>
      <c r="O49" s="29"/>
      <c r="P49" s="29"/>
      <c r="Q49" s="29"/>
      <c r="R49" s="29"/>
      <c r="S49" s="29"/>
      <c r="T49" s="29"/>
      <c r="U49" s="29"/>
      <c r="V49" s="29"/>
      <c r="W49" s="29"/>
    </row>
    <row r="50" spans="3:23" ht="12.75" customHeight="1" outlineLevel="1">
      <c r="C50" s="31" t="s">
        <v>306</v>
      </c>
      <c r="D50" s="32">
        <f t="shared" ref="D50:G50" si="63">IF(ISERROR(D41/D7),"NM",D41/D7)</f>
        <v>4.2098646496055867</v>
      </c>
      <c r="E50" s="463">
        <f t="shared" si="63"/>
        <v>4.5910091137476394</v>
      </c>
      <c r="F50" s="463">
        <f t="shared" si="63"/>
        <v>4.6555736619646586</v>
      </c>
      <c r="G50" s="463">
        <f t="shared" si="63"/>
        <v>5.1910197131624116</v>
      </c>
      <c r="H50" s="463">
        <f>IF(ISERROR(H41/H7),"NM",H41/H7)</f>
        <v>5.3946435174801008</v>
      </c>
      <c r="I50" s="463">
        <f t="shared" ref="I50:R50" si="64">IF(ISERROR(I41/I7),"NM",I41/I7)</f>
        <v>5.1879134150873281</v>
      </c>
      <c r="J50" s="463">
        <f t="shared" si="64"/>
        <v>4.905656840051269</v>
      </c>
      <c r="K50" s="463">
        <f t="shared" si="64"/>
        <v>5.5555555555555562</v>
      </c>
      <c r="L50" s="463">
        <f t="shared" si="64"/>
        <v>6.25</v>
      </c>
      <c r="M50" s="463">
        <f t="shared" si="64"/>
        <v>7.4074074074074066</v>
      </c>
      <c r="N50" s="463">
        <f t="shared" si="64"/>
        <v>8.695652173913043</v>
      </c>
      <c r="O50" s="463">
        <f t="shared" si="64"/>
        <v>9.7560975609756113</v>
      </c>
      <c r="P50" s="463">
        <f t="shared" si="64"/>
        <v>11.111111111111112</v>
      </c>
      <c r="Q50" s="463">
        <f t="shared" si="64"/>
        <v>12.5</v>
      </c>
      <c r="R50" s="463">
        <f t="shared" si="64"/>
        <v>13.793103448275863</v>
      </c>
      <c r="S50" s="463">
        <f t="shared" ref="S50:W50" si="65">IF(ISERROR(S41/S7),"NM",S41/S7)</f>
        <v>14.814814814814815</v>
      </c>
      <c r="T50" s="463">
        <f t="shared" si="65"/>
        <v>16</v>
      </c>
      <c r="U50" s="463">
        <f t="shared" si="65"/>
        <v>12.5</v>
      </c>
      <c r="V50" s="463">
        <f t="shared" si="65"/>
        <v>11.627906976744187</v>
      </c>
      <c r="W50" s="464">
        <f t="shared" si="65"/>
        <v>10.869565217391303</v>
      </c>
    </row>
    <row r="51" spans="3:23" ht="12.75" customHeight="1" outlineLevel="1">
      <c r="C51" s="24" t="s">
        <v>307</v>
      </c>
      <c r="D51" s="33">
        <f>IF(ISERROR(D42/D8),"NM",D42/D8)</f>
        <v>0.60601146651500959</v>
      </c>
      <c r="E51" s="461">
        <f t="shared" ref="E51:R51" si="66">IF(ISERROR(E42/E8),"NM",E42/E8)</f>
        <v>0.6755507206962198</v>
      </c>
      <c r="F51" s="461">
        <f t="shared" si="66"/>
        <v>0.55891270256142189</v>
      </c>
      <c r="G51" s="461">
        <f t="shared" si="66"/>
        <v>0.59140545093556351</v>
      </c>
      <c r="H51" s="461">
        <f t="shared" si="66"/>
        <v>0.53397893868957569</v>
      </c>
      <c r="I51" s="461">
        <f t="shared" si="66"/>
        <v>0.56508675793943564</v>
      </c>
      <c r="J51" s="461">
        <f t="shared" si="66"/>
        <v>0.4865451106090064</v>
      </c>
      <c r="K51" s="461">
        <f t="shared" si="66"/>
        <v>0.57154649709154315</v>
      </c>
      <c r="L51" s="461">
        <f t="shared" si="66"/>
        <v>0.63433041815593982</v>
      </c>
      <c r="M51" s="461">
        <f t="shared" si="66"/>
        <v>0.77730809207269924</v>
      </c>
      <c r="N51" s="461">
        <f t="shared" si="66"/>
        <v>0.89835514243047687</v>
      </c>
      <c r="O51" s="461">
        <f t="shared" si="66"/>
        <v>1.0480540369247722</v>
      </c>
      <c r="P51" s="461">
        <f t="shared" si="66"/>
        <v>1.1691967275089943</v>
      </c>
      <c r="Q51" s="461">
        <f t="shared" si="66"/>
        <v>1.3199512767592609</v>
      </c>
      <c r="R51" s="461">
        <f t="shared" si="66"/>
        <v>1.5012533916790058</v>
      </c>
      <c r="S51" s="461">
        <f t="shared" ref="S51:W51" si="67">IF(ISERROR(S42/S8),"NM",S42/S8)</f>
        <v>1.6682113893157309</v>
      </c>
      <c r="T51" s="461">
        <f t="shared" si="67"/>
        <v>1.785076670275342</v>
      </c>
      <c r="U51" s="461">
        <f t="shared" si="67"/>
        <v>1.6721796299656659</v>
      </c>
      <c r="V51" s="461">
        <f t="shared" si="67"/>
        <v>1.7522643292484119</v>
      </c>
      <c r="W51" s="462">
        <f t="shared" si="67"/>
        <v>1.84046868848214</v>
      </c>
    </row>
    <row r="52" spans="3:23" ht="12.75" customHeight="1" outlineLevel="1">
      <c r="C52" s="24" t="s">
        <v>308</v>
      </c>
      <c r="D52" s="33">
        <f>IF(ISERROR(D42/(D18)),"NM",D42/(D18))</f>
        <v>0.83774767596281552</v>
      </c>
      <c r="E52" s="461">
        <f>IF(ISERROR(E42/(E18)),"NM",E42/(E18))</f>
        <v>0.59115511192101611</v>
      </c>
      <c r="F52" s="461">
        <f t="shared" ref="F52:R52" si="68">IF(ISERROR(F42/(F18)),"NM",F42/(F18))</f>
        <v>0.49588860212472247</v>
      </c>
      <c r="G52" s="461">
        <f t="shared" si="68"/>
        <v>0.50877745380514483</v>
      </c>
      <c r="H52" s="461">
        <f t="shared" si="68"/>
        <v>0.36960238057022599</v>
      </c>
      <c r="I52" s="461">
        <f t="shared" si="68"/>
        <v>0.54163101712527506</v>
      </c>
      <c r="J52" s="461">
        <f t="shared" si="68"/>
        <v>0.57594900490394885</v>
      </c>
      <c r="K52" s="461">
        <f t="shared" si="68"/>
        <v>0.67702551606105121</v>
      </c>
      <c r="L52" s="461">
        <f t="shared" si="68"/>
        <v>0.75777621373673532</v>
      </c>
      <c r="M52" s="461">
        <f t="shared" si="68"/>
        <v>0.91822322519538768</v>
      </c>
      <c r="N52" s="461">
        <f t="shared" si="68"/>
        <v>1.0938527528452595</v>
      </c>
      <c r="O52" s="461">
        <f t="shared" si="68"/>
        <v>1.2528992773680145</v>
      </c>
      <c r="P52" s="461">
        <f t="shared" si="68"/>
        <v>1.4139323064249325</v>
      </c>
      <c r="Q52" s="461">
        <f t="shared" si="68"/>
        <v>1.5982544721518406</v>
      </c>
      <c r="R52" s="461">
        <f t="shared" si="68"/>
        <v>1.7982177285282592</v>
      </c>
      <c r="S52" s="461">
        <f t="shared" ref="S52:W52" si="69">IF(ISERROR(S42/(S18)),"NM",S42/(S18))</f>
        <v>2.0058717007287505</v>
      </c>
      <c r="T52" s="461">
        <f t="shared" si="69"/>
        <v>2.208923884135122</v>
      </c>
      <c r="U52" s="461">
        <f t="shared" si="69"/>
        <v>2.32528344151988</v>
      </c>
      <c r="V52" s="461">
        <f t="shared" si="69"/>
        <v>2.4511606167296378</v>
      </c>
      <c r="W52" s="462">
        <f t="shared" si="69"/>
        <v>2.5789149951050696</v>
      </c>
    </row>
    <row r="53" spans="3:23" ht="12.75" customHeight="1" outlineLevel="1">
      <c r="C53" s="35" t="s">
        <v>309</v>
      </c>
      <c r="D53" s="33">
        <f t="shared" ref="D53:R55" si="70">IF(ISERROR(366/D50), "NM", (366/D50))</f>
        <v>86.93866203852653</v>
      </c>
      <c r="E53" s="461">
        <f t="shared" si="70"/>
        <v>79.721035382836405</v>
      </c>
      <c r="F53" s="461">
        <f t="shared" si="70"/>
        <v>78.615446038404528</v>
      </c>
      <c r="G53" s="461">
        <f t="shared" si="70"/>
        <v>70.506378365692967</v>
      </c>
      <c r="H53" s="461">
        <f t="shared" si="70"/>
        <v>67.845076104484235</v>
      </c>
      <c r="I53" s="461">
        <f t="shared" si="70"/>
        <v>70.548594534290075</v>
      </c>
      <c r="J53" s="461">
        <f t="shared" si="70"/>
        <v>74.607746104836579</v>
      </c>
      <c r="K53" s="461">
        <f t="shared" si="70"/>
        <v>65.88</v>
      </c>
      <c r="L53" s="461">
        <f t="shared" si="70"/>
        <v>58.56</v>
      </c>
      <c r="M53" s="461">
        <f t="shared" si="70"/>
        <v>49.410000000000004</v>
      </c>
      <c r="N53" s="461">
        <f t="shared" si="70"/>
        <v>42.09</v>
      </c>
      <c r="O53" s="461">
        <f t="shared" si="70"/>
        <v>37.514999999999993</v>
      </c>
      <c r="P53" s="461">
        <f t="shared" si="70"/>
        <v>32.94</v>
      </c>
      <c r="Q53" s="461">
        <f t="shared" si="70"/>
        <v>29.28</v>
      </c>
      <c r="R53" s="461">
        <f t="shared" si="70"/>
        <v>26.534999999999997</v>
      </c>
      <c r="S53" s="461">
        <f t="shared" ref="S53:W53" si="71">IF(ISERROR(366/S50), "NM", (366/S50))</f>
        <v>24.704999999999998</v>
      </c>
      <c r="T53" s="461">
        <f t="shared" si="71"/>
        <v>22.875</v>
      </c>
      <c r="U53" s="461">
        <f t="shared" si="71"/>
        <v>29.28</v>
      </c>
      <c r="V53" s="461">
        <f t="shared" si="71"/>
        <v>31.475999999999996</v>
      </c>
      <c r="W53" s="462">
        <f t="shared" si="71"/>
        <v>33.672000000000004</v>
      </c>
    </row>
    <row r="54" spans="3:23" ht="12.75" customHeight="1" outlineLevel="1">
      <c r="C54" s="36" t="s">
        <v>310</v>
      </c>
      <c r="D54" s="33">
        <f t="shared" si="70"/>
        <v>603.94896833348116</v>
      </c>
      <c r="E54" s="461">
        <f t="shared" si="70"/>
        <v>541.78019323671492</v>
      </c>
      <c r="F54" s="461">
        <f t="shared" si="70"/>
        <v>654.84287317620647</v>
      </c>
      <c r="G54" s="461">
        <f t="shared" si="70"/>
        <v>618.86477275617381</v>
      </c>
      <c r="H54" s="461">
        <f t="shared" si="70"/>
        <v>685.42029185306717</v>
      </c>
      <c r="I54" s="461">
        <f t="shared" si="70"/>
        <v>647.68815559331654</v>
      </c>
      <c r="J54" s="461">
        <f t="shared" si="70"/>
        <v>752.24268422280386</v>
      </c>
      <c r="K54" s="461">
        <f t="shared" si="70"/>
        <v>640.3678473448482</v>
      </c>
      <c r="L54" s="461">
        <f t="shared" si="70"/>
        <v>576.98636156216116</v>
      </c>
      <c r="M54" s="461">
        <f t="shared" si="70"/>
        <v>470.85576971681536</v>
      </c>
      <c r="N54" s="461">
        <f t="shared" si="70"/>
        <v>407.4112594377724</v>
      </c>
      <c r="O54" s="461">
        <f t="shared" si="70"/>
        <v>349.21863482719544</v>
      </c>
      <c r="P54" s="461">
        <f t="shared" si="70"/>
        <v>313.03542970033197</v>
      </c>
      <c r="Q54" s="461">
        <f t="shared" si="70"/>
        <v>277.28296221554609</v>
      </c>
      <c r="R54" s="461">
        <f t="shared" si="70"/>
        <v>243.7962851765248</v>
      </c>
      <c r="S54" s="461">
        <f t="shared" ref="S54:W54" si="72">IF(ISERROR(366/S51), "NM", (366/S51))</f>
        <v>219.39665580998482</v>
      </c>
      <c r="T54" s="461">
        <f t="shared" si="72"/>
        <v>205.03321011054709</v>
      </c>
      <c r="U54" s="461">
        <f t="shared" si="72"/>
        <v>218.87600676460514</v>
      </c>
      <c r="V54" s="461">
        <f t="shared" si="72"/>
        <v>208.87259638332429</v>
      </c>
      <c r="W54" s="462">
        <f t="shared" si="72"/>
        <v>198.86238885261628</v>
      </c>
    </row>
    <row r="55" spans="3:23" ht="12.75" customHeight="1" outlineLevel="1">
      <c r="C55" s="35" t="s">
        <v>311</v>
      </c>
      <c r="D55" s="33">
        <f t="shared" si="70"/>
        <v>436.88572406883691</v>
      </c>
      <c r="E55" s="461">
        <f t="shared" si="70"/>
        <v>619.12684610075917</v>
      </c>
      <c r="F55" s="461">
        <f t="shared" si="70"/>
        <v>738.06899055918655</v>
      </c>
      <c r="G55" s="461">
        <f t="shared" si="70"/>
        <v>719.37149978381956</v>
      </c>
      <c r="H55" s="461">
        <f t="shared" si="70"/>
        <v>990.25336210045998</v>
      </c>
      <c r="I55" s="461">
        <f t="shared" si="70"/>
        <v>675.7367809963273</v>
      </c>
      <c r="J55" s="461">
        <f t="shared" si="70"/>
        <v>635.47292708846317</v>
      </c>
      <c r="K55" s="461">
        <f t="shared" si="70"/>
        <v>540.60000888798959</v>
      </c>
      <c r="L55" s="461">
        <f t="shared" si="70"/>
        <v>482.99219923410629</v>
      </c>
      <c r="M55" s="461">
        <f t="shared" si="70"/>
        <v>398.59588600813191</v>
      </c>
      <c r="N55" s="461">
        <f t="shared" si="70"/>
        <v>334.59713754706411</v>
      </c>
      <c r="O55" s="461">
        <f t="shared" si="70"/>
        <v>292.12244480566869</v>
      </c>
      <c r="P55" s="461">
        <f t="shared" si="70"/>
        <v>258.85256199104424</v>
      </c>
      <c r="Q55" s="461">
        <f t="shared" si="70"/>
        <v>228.99982848615394</v>
      </c>
      <c r="R55" s="461">
        <f t="shared" si="70"/>
        <v>203.53486354488928</v>
      </c>
      <c r="S55" s="461">
        <f t="shared" ref="S55:W55" si="73">IF(ISERROR(366/S52), "NM", (366/S52))</f>
        <v>182.46431208288598</v>
      </c>
      <c r="T55" s="461">
        <f t="shared" si="73"/>
        <v>165.69153995240671</v>
      </c>
      <c r="U55" s="461">
        <f t="shared" si="73"/>
        <v>157.40016613233638</v>
      </c>
      <c r="V55" s="461">
        <f t="shared" si="73"/>
        <v>149.31702047674082</v>
      </c>
      <c r="W55" s="462">
        <f t="shared" si="73"/>
        <v>141.92014885899275</v>
      </c>
    </row>
    <row r="56" spans="3:23" ht="12.75" customHeight="1" outlineLevel="1">
      <c r="C56" s="24" t="s">
        <v>312</v>
      </c>
      <c r="D56" s="33">
        <f t="shared" ref="D56:I56" si="74">D7</f>
        <v>104.839</v>
      </c>
      <c r="E56" s="461">
        <f t="shared" si="74"/>
        <v>109.066</v>
      </c>
      <c r="F56" s="461">
        <f t="shared" si="74"/>
        <v>117.822</v>
      </c>
      <c r="G56" s="461">
        <f t="shared" si="74"/>
        <v>144.47200000000001</v>
      </c>
      <c r="H56" s="461">
        <f t="shared" si="74"/>
        <v>164.959</v>
      </c>
      <c r="I56" s="461">
        <f t="shared" si="74"/>
        <v>215.28</v>
      </c>
      <c r="J56" s="461">
        <f t="shared" ref="J56" si="75">J7</f>
        <v>261.36500000000001</v>
      </c>
      <c r="K56" s="461">
        <f t="shared" ref="K56:R56" si="76">K57*K41</f>
        <v>266.37650590066124</v>
      </c>
      <c r="L56" s="461">
        <f t="shared" si="76"/>
        <v>268.13352233168541</v>
      </c>
      <c r="M56" s="461">
        <f t="shared" si="76"/>
        <v>271.32604417282073</v>
      </c>
      <c r="N56" s="461">
        <f t="shared" si="76"/>
        <v>275.05645691080053</v>
      </c>
      <c r="O56" s="461">
        <f t="shared" si="76"/>
        <v>285.12006220610755</v>
      </c>
      <c r="P56" s="461">
        <f t="shared" si="76"/>
        <v>287.91130993936673</v>
      </c>
      <c r="Q56" s="461">
        <f t="shared" si="76"/>
        <v>294.71465135602824</v>
      </c>
      <c r="R56" s="461">
        <f t="shared" si="76"/>
        <v>304.48237129414696</v>
      </c>
      <c r="S56" s="461">
        <f t="shared" ref="S56:W56" si="77">S57*S41</f>
        <v>315.23354257737242</v>
      </c>
      <c r="T56" s="461">
        <f t="shared" si="77"/>
        <v>317.23649805619266</v>
      </c>
      <c r="U56" s="461">
        <f t="shared" si="77"/>
        <v>429.35681802933806</v>
      </c>
      <c r="V56" s="461">
        <f t="shared" si="77"/>
        <v>488.81303378399485</v>
      </c>
      <c r="W56" s="462">
        <f t="shared" si="77"/>
        <v>551.43694787138793</v>
      </c>
    </row>
    <row r="57" spans="3:23" ht="12.75" customHeight="1" outlineLevel="1">
      <c r="C57" s="37" t="s">
        <v>579</v>
      </c>
      <c r="D57" s="38">
        <f t="shared" ref="D57:I57" si="78">D56/D41</f>
        <v>0.23753732797411622</v>
      </c>
      <c r="E57" s="38">
        <f t="shared" si="78"/>
        <v>0.21781703656512683</v>
      </c>
      <c r="F57" s="38">
        <f t="shared" si="78"/>
        <v>0.2147963006513785</v>
      </c>
      <c r="G57" s="38">
        <f t="shared" si="78"/>
        <v>0.19264037804834144</v>
      </c>
      <c r="H57" s="38">
        <f t="shared" si="78"/>
        <v>0.18536906039476569</v>
      </c>
      <c r="I57" s="38">
        <f t="shared" si="78"/>
        <v>0.19275572277128433</v>
      </c>
      <c r="J57" s="38">
        <f t="shared" ref="J57" si="79">J56/J41</f>
        <v>0.20384630083288685</v>
      </c>
      <c r="K57" s="39">
        <v>0.18</v>
      </c>
      <c r="L57" s="39">
        <v>0.16</v>
      </c>
      <c r="M57" s="39">
        <v>0.13500000000000001</v>
      </c>
      <c r="N57" s="39">
        <v>0.115</v>
      </c>
      <c r="O57" s="39">
        <v>0.10249999999999999</v>
      </c>
      <c r="P57" s="39">
        <v>0.09</v>
      </c>
      <c r="Q57" s="39">
        <v>0.08</v>
      </c>
      <c r="R57" s="39">
        <v>7.2499999999999995E-2</v>
      </c>
      <c r="S57" s="39">
        <v>6.7500000000000004E-2</v>
      </c>
      <c r="T57" s="39">
        <v>6.25E-2</v>
      </c>
      <c r="U57" s="39">
        <v>0.08</v>
      </c>
      <c r="V57" s="39">
        <v>8.5999999999999993E-2</v>
      </c>
      <c r="W57" s="40">
        <v>9.1999999999999998E-2</v>
      </c>
    </row>
    <row r="58" spans="3:23" ht="12.75" customHeight="1" outlineLevel="1">
      <c r="C58" s="24" t="s">
        <v>399</v>
      </c>
      <c r="D58" s="33">
        <f>D9</f>
        <v>39.753</v>
      </c>
      <c r="E58" s="461">
        <f>E9</f>
        <v>57.865000000000002</v>
      </c>
      <c r="F58" s="461">
        <f t="shared" ref="F58:H58" si="80">F9</f>
        <v>72.268000000000001</v>
      </c>
      <c r="G58" s="461">
        <f t="shared" si="80"/>
        <v>108.524</v>
      </c>
      <c r="H58" s="461">
        <f t="shared" si="80"/>
        <v>60.378</v>
      </c>
      <c r="I58" s="461">
        <f t="shared" ref="I58:J58" si="81">I9</f>
        <v>61.707999999999998</v>
      </c>
      <c r="J58" s="461">
        <f t="shared" si="81"/>
        <v>74.036000000000001</v>
      </c>
      <c r="K58" s="461">
        <f t="shared" ref="K58:R58" si="82">K59*K41</f>
        <v>73.993473861294802</v>
      </c>
      <c r="L58" s="461">
        <f t="shared" si="82"/>
        <v>75.412553155786526</v>
      </c>
      <c r="M58" s="461">
        <f t="shared" si="82"/>
        <v>78.383079427703763</v>
      </c>
      <c r="N58" s="461">
        <f t="shared" si="82"/>
        <v>83.712834711982779</v>
      </c>
      <c r="O58" s="461">
        <f t="shared" si="82"/>
        <v>83.449774304226608</v>
      </c>
      <c r="P58" s="461">
        <f t="shared" si="82"/>
        <v>89.572407536691884</v>
      </c>
      <c r="Q58" s="461">
        <f t="shared" si="82"/>
        <v>92.098328548758843</v>
      </c>
      <c r="R58" s="461">
        <f t="shared" si="82"/>
        <v>109.19367798134925</v>
      </c>
      <c r="S58" s="461">
        <f t="shared" ref="S58:W58" si="83">S59*S41</f>
        <v>135.43367014435259</v>
      </c>
      <c r="T58" s="461">
        <f t="shared" si="83"/>
        <v>162.42508700477063</v>
      </c>
      <c r="U58" s="461">
        <f t="shared" si="83"/>
        <v>187.84360788783542</v>
      </c>
      <c r="V58" s="461">
        <f t="shared" si="83"/>
        <v>215.9871544626954</v>
      </c>
      <c r="W58" s="462">
        <f t="shared" si="83"/>
        <v>245.74907459485766</v>
      </c>
    </row>
    <row r="59" spans="3:23" ht="12.75" customHeight="1" outlineLevel="1">
      <c r="C59" s="37" t="s">
        <v>580</v>
      </c>
      <c r="D59" s="38">
        <f>D58/D41</f>
        <v>9.0069739304600785E-2</v>
      </c>
      <c r="E59" s="38">
        <f>E58/E41</f>
        <v>0.11556289605230836</v>
      </c>
      <c r="F59" s="38">
        <f t="shared" ref="F59:H59" si="84">F58/F41</f>
        <v>0.13174873160762696</v>
      </c>
      <c r="G59" s="38">
        <f t="shared" si="84"/>
        <v>0.14470696319922344</v>
      </c>
      <c r="H59" s="38">
        <f t="shared" si="84"/>
        <v>6.7848454031093561E-2</v>
      </c>
      <c r="I59" s="38">
        <f t="shared" ref="I59:J59" si="85">I58/I41</f>
        <v>5.5251626443563795E-2</v>
      </c>
      <c r="J59" s="38">
        <f t="shared" si="85"/>
        <v>5.7742868128722709E-2</v>
      </c>
      <c r="K59" s="39">
        <v>0.05</v>
      </c>
      <c r="L59" s="39">
        <v>4.4999999999999998E-2</v>
      </c>
      <c r="M59" s="39">
        <v>3.9E-2</v>
      </c>
      <c r="N59" s="39">
        <v>3.5000000000000003E-2</v>
      </c>
      <c r="O59" s="39">
        <v>0.03</v>
      </c>
      <c r="P59" s="39">
        <v>2.8000000000000001E-2</v>
      </c>
      <c r="Q59" s="39">
        <v>2.5000000000000001E-2</v>
      </c>
      <c r="R59" s="39">
        <v>2.5999999999999999E-2</v>
      </c>
      <c r="S59" s="39">
        <v>2.9000000000000001E-2</v>
      </c>
      <c r="T59" s="39">
        <v>3.2000000000000001E-2</v>
      </c>
      <c r="U59" s="39">
        <v>3.5000000000000003E-2</v>
      </c>
      <c r="V59" s="39">
        <v>3.7999999999999999E-2</v>
      </c>
      <c r="W59" s="40">
        <v>4.1000000000000002E-2</v>
      </c>
    </row>
    <row r="60" spans="3:23" ht="12.75" customHeight="1" outlineLevel="1">
      <c r="C60" s="24" t="s">
        <v>286</v>
      </c>
      <c r="D60" s="33">
        <f t="shared" ref="D60:I60" si="86">D8</f>
        <v>130.11799999999999</v>
      </c>
      <c r="E60" s="461">
        <f t="shared" si="86"/>
        <v>128.69499999999999</v>
      </c>
      <c r="F60" s="461">
        <f t="shared" si="86"/>
        <v>162.60499999999999</v>
      </c>
      <c r="G60" s="461">
        <f t="shared" si="86"/>
        <v>199.452</v>
      </c>
      <c r="H60" s="461">
        <f t="shared" si="86"/>
        <v>271.68299999999999</v>
      </c>
      <c r="I60" s="461">
        <f t="shared" si="86"/>
        <v>355.12599999999998</v>
      </c>
      <c r="J60" s="461">
        <f t="shared" ref="J60" si="87">J8</f>
        <v>475.77499999999998</v>
      </c>
      <c r="K60" s="461">
        <f t="shared" ref="K60:R60" si="88">K61*K41</f>
        <v>473.55823271228672</v>
      </c>
      <c r="L60" s="461">
        <f t="shared" si="88"/>
        <v>485.99200922617979</v>
      </c>
      <c r="M60" s="461">
        <f t="shared" si="88"/>
        <v>482.35741186279233</v>
      </c>
      <c r="N60" s="461">
        <f t="shared" si="88"/>
        <v>502.27700827189659</v>
      </c>
      <c r="O60" s="461">
        <f t="shared" si="88"/>
        <v>500.69864582535968</v>
      </c>
      <c r="P60" s="461">
        <f t="shared" si="88"/>
        <v>511.84232878109646</v>
      </c>
      <c r="Q60" s="461">
        <f t="shared" si="88"/>
        <v>515.75063987304952</v>
      </c>
      <c r="R60" s="461">
        <f t="shared" si="88"/>
        <v>512.37033514325424</v>
      </c>
      <c r="S60" s="461">
        <f t="shared" ref="S60:W60" si="89">S61*S41</f>
        <v>513.71392123719954</v>
      </c>
      <c r="T60" s="461">
        <f t="shared" si="89"/>
        <v>522.80574879660549</v>
      </c>
      <c r="U60" s="461">
        <f t="shared" si="89"/>
        <v>590.36562479033978</v>
      </c>
      <c r="V60" s="461">
        <f t="shared" si="89"/>
        <v>596.80661101534258</v>
      </c>
      <c r="W60" s="462">
        <f t="shared" si="89"/>
        <v>599.38798681672597</v>
      </c>
    </row>
    <row r="61" spans="3:23" ht="12.75" customHeight="1" outlineLevel="1">
      <c r="C61" s="37" t="s">
        <v>580</v>
      </c>
      <c r="D61" s="38">
        <f t="shared" ref="D61:I61" si="90">D60/D41</f>
        <v>0.29481282768183648</v>
      </c>
      <c r="E61" s="38">
        <f t="shared" si="90"/>
        <v>0.25701835146378332</v>
      </c>
      <c r="F61" s="38">
        <f t="shared" si="90"/>
        <v>0.29643829223249818</v>
      </c>
      <c r="G61" s="38">
        <f t="shared" si="90"/>
        <v>0.26595124787154462</v>
      </c>
      <c r="H61" s="38">
        <f t="shared" si="90"/>
        <v>0.30529781603447598</v>
      </c>
      <c r="I61" s="38">
        <f t="shared" si="90"/>
        <v>0.31796994056519468</v>
      </c>
      <c r="J61" s="38">
        <f t="shared" ref="J61" si="91">J60/J41</f>
        <v>0.37107100713089636</v>
      </c>
      <c r="K61" s="39">
        <v>0.32</v>
      </c>
      <c r="L61" s="39">
        <v>0.28999999999999998</v>
      </c>
      <c r="M61" s="39">
        <v>0.24</v>
      </c>
      <c r="N61" s="39">
        <v>0.21</v>
      </c>
      <c r="O61" s="39">
        <v>0.18</v>
      </c>
      <c r="P61" s="39">
        <v>0.16</v>
      </c>
      <c r="Q61" s="39">
        <v>0.14000000000000001</v>
      </c>
      <c r="R61" s="39">
        <v>0.122</v>
      </c>
      <c r="S61" s="39">
        <v>0.11</v>
      </c>
      <c r="T61" s="39">
        <v>0.10299999999999999</v>
      </c>
      <c r="U61" s="39">
        <v>0.11</v>
      </c>
      <c r="V61" s="39">
        <v>0.105</v>
      </c>
      <c r="W61" s="40">
        <v>0.1</v>
      </c>
    </row>
    <row r="62" spans="3:23" ht="12.75" customHeight="1" outlineLevel="1">
      <c r="C62" s="24" t="s">
        <v>313</v>
      </c>
      <c r="D62" s="33">
        <f t="shared" ref="D62:I62" si="92">D14</f>
        <v>471.99199999999996</v>
      </c>
      <c r="E62" s="461">
        <f t="shared" si="92"/>
        <v>423.37</v>
      </c>
      <c r="F62" s="461">
        <f t="shared" si="92"/>
        <v>518.80999999999995</v>
      </c>
      <c r="G62" s="461">
        <f t="shared" si="92"/>
        <v>456.36700000000002</v>
      </c>
      <c r="H62" s="461">
        <f t="shared" si="92"/>
        <v>1509.87</v>
      </c>
      <c r="I62" s="461">
        <f t="shared" si="92"/>
        <v>1230.42</v>
      </c>
      <c r="J62" s="461">
        <f t="shared" ref="J62" si="93">J14</f>
        <v>1143.4960000000001</v>
      </c>
      <c r="K62" s="461">
        <f t="shared" ref="K62:R62" si="94">K63*K41</f>
        <v>1154.2981922361989</v>
      </c>
      <c r="L62" s="461">
        <f t="shared" si="94"/>
        <v>1156.3258150553934</v>
      </c>
      <c r="M62" s="461">
        <f t="shared" si="94"/>
        <v>1165.6970786684149</v>
      </c>
      <c r="N62" s="461">
        <f t="shared" si="94"/>
        <v>1171.9796859677588</v>
      </c>
      <c r="O62" s="461">
        <f t="shared" si="94"/>
        <v>1182.2051359765437</v>
      </c>
      <c r="P62" s="461">
        <f t="shared" si="94"/>
        <v>1183.6353853062856</v>
      </c>
      <c r="Q62" s="461">
        <f t="shared" si="94"/>
        <v>1197.2782711338648</v>
      </c>
      <c r="R62" s="461">
        <f t="shared" si="94"/>
        <v>1196.9307009494053</v>
      </c>
      <c r="S62" s="461">
        <f t="shared" ref="S62:W62" si="95">S63*S41</f>
        <v>1190.8822719589625</v>
      </c>
      <c r="T62" s="461">
        <f t="shared" si="95"/>
        <v>1192.8092326912843</v>
      </c>
      <c r="U62" s="461">
        <f t="shared" si="95"/>
        <v>1194.1486501440963</v>
      </c>
      <c r="V62" s="461">
        <f t="shared" si="95"/>
        <v>1193.6132220306852</v>
      </c>
      <c r="W62" s="462">
        <f t="shared" si="95"/>
        <v>1198.7759736334519</v>
      </c>
    </row>
    <row r="63" spans="3:23" ht="12.75" customHeight="1" outlineLevel="1">
      <c r="C63" s="37" t="s">
        <v>580</v>
      </c>
      <c r="D63" s="38">
        <f t="shared" ref="D63:I63" si="96">D62/D41</f>
        <v>1.0694085073794968</v>
      </c>
      <c r="E63" s="38">
        <f t="shared" si="96"/>
        <v>0.84551738186582204</v>
      </c>
      <c r="F63" s="38">
        <f t="shared" si="96"/>
        <v>0.94582054914143088</v>
      </c>
      <c r="G63" s="38">
        <f t="shared" si="96"/>
        <v>0.60852422205539791</v>
      </c>
      <c r="H63" s="38">
        <f t="shared" si="96"/>
        <v>1.696683316571056</v>
      </c>
      <c r="I63" s="38">
        <f t="shared" si="96"/>
        <v>1.1016838369204929</v>
      </c>
      <c r="J63" s="38">
        <f t="shared" ref="J63" si="97">J62/J41</f>
        <v>0.89184638194556576</v>
      </c>
      <c r="K63" s="39">
        <v>0.78</v>
      </c>
      <c r="L63" s="39">
        <v>0.69</v>
      </c>
      <c r="M63" s="39">
        <v>0.57999999999999996</v>
      </c>
      <c r="N63" s="39">
        <v>0.49</v>
      </c>
      <c r="O63" s="39">
        <v>0.42499999999999999</v>
      </c>
      <c r="P63" s="39">
        <v>0.37</v>
      </c>
      <c r="Q63" s="39">
        <v>0.32500000000000001</v>
      </c>
      <c r="R63" s="39">
        <v>0.28499999999999998</v>
      </c>
      <c r="S63" s="39">
        <v>0.255</v>
      </c>
      <c r="T63" s="39">
        <v>0.23499999999999999</v>
      </c>
      <c r="U63" s="39">
        <v>0.2225</v>
      </c>
      <c r="V63" s="39">
        <v>0.21</v>
      </c>
      <c r="W63" s="40">
        <v>0.2</v>
      </c>
    </row>
    <row r="64" spans="3:23" ht="12.75" customHeight="1" outlineLevel="1">
      <c r="C64" s="24" t="s">
        <v>314</v>
      </c>
      <c r="D64" s="33">
        <f t="shared" ref="D64:I64" si="98">D18</f>
        <v>94.125</v>
      </c>
      <c r="E64" s="461">
        <f t="shared" si="98"/>
        <v>147.06800000000001</v>
      </c>
      <c r="F64" s="461">
        <f t="shared" si="98"/>
        <v>183.27099999999999</v>
      </c>
      <c r="G64" s="461">
        <f t="shared" si="98"/>
        <v>231.84399999999999</v>
      </c>
      <c r="H64" s="461">
        <f t="shared" si="98"/>
        <v>392.51100000000002</v>
      </c>
      <c r="I64" s="461">
        <f t="shared" si="98"/>
        <v>370.505</v>
      </c>
      <c r="J64" s="461">
        <f t="shared" ref="J64" si="99">J18</f>
        <v>401.92099999999999</v>
      </c>
      <c r="K64" s="461">
        <f t="shared" ref="K64:R64" si="100">K43*K65</f>
        <v>399.77894873191502</v>
      </c>
      <c r="L64" s="461">
        <f t="shared" si="100"/>
        <v>406.82131326437974</v>
      </c>
      <c r="M64" s="461">
        <f t="shared" si="100"/>
        <v>408.33242856867309</v>
      </c>
      <c r="N64" s="461">
        <f t="shared" si="100"/>
        <v>412.50811147292069</v>
      </c>
      <c r="O64" s="461">
        <f t="shared" si="100"/>
        <v>418.83593240025249</v>
      </c>
      <c r="P64" s="461">
        <f t="shared" si="100"/>
        <v>423.24825105989822</v>
      </c>
      <c r="Q64" s="461">
        <f t="shared" si="100"/>
        <v>425.94325712930782</v>
      </c>
      <c r="R64" s="461">
        <f t="shared" si="100"/>
        <v>427.75560001794929</v>
      </c>
      <c r="S64" s="461">
        <f t="shared" ref="S64:W64" si="101">S43*S65</f>
        <v>427.23740204649738</v>
      </c>
      <c r="T64" s="461">
        <f t="shared" si="101"/>
        <v>422.49004230766138</v>
      </c>
      <c r="U64" s="461">
        <f t="shared" si="101"/>
        <v>424.54926327652151</v>
      </c>
      <c r="V64" s="461">
        <f t="shared" si="101"/>
        <v>426.63990633836318</v>
      </c>
      <c r="W64" s="462">
        <f t="shared" si="101"/>
        <v>427.7592801943382</v>
      </c>
    </row>
    <row r="65" spans="3:23" ht="12.75" customHeight="1" outlineLevel="1">
      <c r="C65" s="37" t="s">
        <v>581</v>
      </c>
      <c r="D65" s="38">
        <f t="shared" ref="D65:I65" si="102">D64/D43</f>
        <v>0.23176019560191169</v>
      </c>
      <c r="E65" s="38">
        <f t="shared" si="102"/>
        <v>0.28867258269982315</v>
      </c>
      <c r="F65" s="38">
        <f t="shared" si="102"/>
        <v>0.31120110712072202</v>
      </c>
      <c r="G65" s="38">
        <f t="shared" si="102"/>
        <v>0.2994572560041539</v>
      </c>
      <c r="H65" s="38">
        <f t="shared" si="102"/>
        <v>0.3865568646143453</v>
      </c>
      <c r="I65" s="38">
        <f t="shared" si="102"/>
        <v>0.33054684468076573</v>
      </c>
      <c r="J65" s="38">
        <f t="shared" ref="J65" si="103">J64/J43</f>
        <v>0.33090948011477084</v>
      </c>
      <c r="K65" s="39">
        <v>0.28999999999999998</v>
      </c>
      <c r="L65" s="39">
        <v>0.27</v>
      </c>
      <c r="M65" s="39">
        <v>0.25</v>
      </c>
      <c r="N65" s="39">
        <v>0.23499999999999999</v>
      </c>
      <c r="O65" s="39">
        <v>0.22500000000000001</v>
      </c>
      <c r="P65" s="39">
        <v>0.215</v>
      </c>
      <c r="Q65" s="39">
        <v>0.20499999999999999</v>
      </c>
      <c r="R65" s="39">
        <v>0.19500000000000001</v>
      </c>
      <c r="S65" s="39">
        <v>0.185</v>
      </c>
      <c r="T65" s="39">
        <v>0.17499999999999999</v>
      </c>
      <c r="U65" s="39">
        <v>0.17</v>
      </c>
      <c r="V65" s="39">
        <v>0.16500000000000001</v>
      </c>
      <c r="W65" s="40">
        <v>0.16</v>
      </c>
    </row>
    <row r="66" spans="3:23" ht="12.75" customHeight="1" outlineLevel="1">
      <c r="C66" s="24" t="s">
        <v>92</v>
      </c>
      <c r="D66" s="33">
        <f t="shared" ref="D66:I66" si="104">D23</f>
        <v>90.206999999999994</v>
      </c>
      <c r="E66" s="461">
        <f t="shared" si="104"/>
        <v>57.292000000000002</v>
      </c>
      <c r="F66" s="461">
        <f t="shared" si="104"/>
        <v>64.182000000000002</v>
      </c>
      <c r="G66" s="461">
        <f t="shared" si="104"/>
        <v>68.844000000000008</v>
      </c>
      <c r="H66" s="461">
        <f t="shared" si="104"/>
        <v>220.77799999999999</v>
      </c>
      <c r="I66" s="461">
        <f t="shared" si="104"/>
        <v>157.34399999999999</v>
      </c>
      <c r="J66" s="461">
        <f t="shared" ref="J66" si="105">J23</f>
        <v>194.423</v>
      </c>
      <c r="K66" s="461">
        <f t="shared" ref="K66:R66" si="106">K67*K43</f>
        <v>199.88947436595751</v>
      </c>
      <c r="L66" s="461">
        <f t="shared" si="106"/>
        <v>203.41065663218987</v>
      </c>
      <c r="M66" s="461">
        <f t="shared" si="106"/>
        <v>204.16621428433655</v>
      </c>
      <c r="N66" s="461">
        <f t="shared" si="106"/>
        <v>210.6424399010659</v>
      </c>
      <c r="O66" s="461">
        <f t="shared" si="106"/>
        <v>214.07169878235129</v>
      </c>
      <c r="P66" s="461">
        <f t="shared" si="106"/>
        <v>216.54561682134329</v>
      </c>
      <c r="Q66" s="461">
        <f t="shared" si="106"/>
        <v>218.16605852964548</v>
      </c>
      <c r="R66" s="461">
        <f t="shared" si="106"/>
        <v>219.36184616305093</v>
      </c>
      <c r="S66" s="461">
        <f t="shared" ref="S66:W66" si="107">S67*S43</f>
        <v>219.39217942928244</v>
      </c>
      <c r="T66" s="461">
        <f t="shared" si="107"/>
        <v>223.31616521976389</v>
      </c>
      <c r="U66" s="461">
        <f t="shared" si="107"/>
        <v>224.76137467580548</v>
      </c>
      <c r="V66" s="461">
        <f t="shared" si="107"/>
        <v>226.24843517943498</v>
      </c>
      <c r="W66" s="462">
        <f t="shared" si="107"/>
        <v>227.2471176032422</v>
      </c>
    </row>
    <row r="67" spans="3:23" ht="12.75" customHeight="1" outlineLevel="1">
      <c r="C67" s="42" t="s">
        <v>581</v>
      </c>
      <c r="D67" s="43">
        <f t="shared" ref="D67:I67" si="108">D66/D43</f>
        <v>0.22211306204155798</v>
      </c>
      <c r="E67" s="43">
        <f t="shared" si="108"/>
        <v>0.11245566410122031</v>
      </c>
      <c r="F67" s="43">
        <f t="shared" si="108"/>
        <v>0.1089834696008762</v>
      </c>
      <c r="G67" s="43">
        <f t="shared" si="108"/>
        <v>8.8921150999594439E-2</v>
      </c>
      <c r="H67" s="43">
        <f t="shared" si="108"/>
        <v>0.21742894200627733</v>
      </c>
      <c r="I67" s="43">
        <f t="shared" si="108"/>
        <v>0.14037479313221252</v>
      </c>
      <c r="J67" s="43">
        <f t="shared" ref="J67" si="109">J66/J43</f>
        <v>0.16007228747030905</v>
      </c>
      <c r="K67" s="44">
        <v>0.14499999999999999</v>
      </c>
      <c r="L67" s="44">
        <v>0.13500000000000001</v>
      </c>
      <c r="M67" s="44">
        <v>0.125</v>
      </c>
      <c r="N67" s="44">
        <v>0.12</v>
      </c>
      <c r="O67" s="44">
        <v>0.115</v>
      </c>
      <c r="P67" s="44">
        <v>0.11</v>
      </c>
      <c r="Q67" s="44">
        <v>0.105</v>
      </c>
      <c r="R67" s="44">
        <v>0.1</v>
      </c>
      <c r="S67" s="44">
        <v>9.5000000000000001E-2</v>
      </c>
      <c r="T67" s="44">
        <v>9.2499999999999999E-2</v>
      </c>
      <c r="U67" s="44">
        <v>0.09</v>
      </c>
      <c r="V67" s="44">
        <v>8.7499999999999994E-2</v>
      </c>
      <c r="W67" s="45">
        <v>8.5000000000000006E-2</v>
      </c>
    </row>
    <row r="68" spans="3:23" ht="12.75" customHeight="1" outlineLevel="1">
      <c r="C68" s="28"/>
      <c r="D68" s="29"/>
      <c r="E68" s="29"/>
      <c r="F68" s="29"/>
      <c r="G68" s="29"/>
      <c r="H68" s="29"/>
      <c r="I68" s="29"/>
      <c r="J68" s="29"/>
      <c r="K68" s="29"/>
      <c r="L68" s="29"/>
      <c r="M68" s="29"/>
      <c r="N68" s="29"/>
      <c r="O68" s="29"/>
      <c r="P68" s="29"/>
      <c r="Q68" s="29"/>
      <c r="R68" s="29"/>
      <c r="S68" s="29"/>
      <c r="T68" s="29"/>
      <c r="U68" s="29"/>
      <c r="V68" s="29"/>
      <c r="W68" s="29"/>
    </row>
    <row r="69" spans="3:23" ht="12.75" customHeight="1" outlineLevel="1">
      <c r="C69" s="30" t="s">
        <v>287</v>
      </c>
      <c r="D69" s="29"/>
      <c r="E69" s="29"/>
      <c r="F69" s="29"/>
      <c r="G69" s="29"/>
      <c r="H69" s="29"/>
      <c r="I69" s="29"/>
      <c r="J69" s="29"/>
      <c r="K69" s="29"/>
      <c r="L69" s="29"/>
      <c r="M69" s="29"/>
      <c r="N69" s="29"/>
      <c r="O69" s="29"/>
      <c r="P69" s="29"/>
      <c r="Q69" s="29"/>
      <c r="R69" s="29"/>
      <c r="S69" s="29"/>
      <c r="T69" s="29"/>
      <c r="U69" s="29"/>
      <c r="V69" s="29"/>
      <c r="W69" s="29"/>
    </row>
    <row r="70" spans="3:23" ht="12.75" customHeight="1" outlineLevel="1">
      <c r="C70" s="46" t="s">
        <v>315</v>
      </c>
      <c r="D70" s="47"/>
      <c r="E70" s="48">
        <f t="shared" ref="E70:R70" si="110">D75</f>
        <v>268.971</v>
      </c>
      <c r="F70" s="48">
        <f t="shared" si="110"/>
        <v>284.47300000000001</v>
      </c>
      <c r="G70" s="48">
        <f t="shared" si="110"/>
        <v>319.31599999999997</v>
      </c>
      <c r="H70" s="48">
        <f t="shared" si="110"/>
        <v>523.51599999999996</v>
      </c>
      <c r="I70" s="714">
        <f t="shared" si="110"/>
        <v>704.20699999999999</v>
      </c>
      <c r="J70" s="48">
        <f t="shared" si="110"/>
        <v>798.76800000000003</v>
      </c>
      <c r="K70" s="48">
        <f t="shared" si="110"/>
        <v>896.7</v>
      </c>
      <c r="L70" s="48">
        <f t="shared" si="110"/>
        <v>1021.8935970120461</v>
      </c>
      <c r="M70" s="48">
        <f t="shared" si="110"/>
        <v>1123.7924329473074</v>
      </c>
      <c r="N70" s="48">
        <f t="shared" si="110"/>
        <v>1214.7643359158635</v>
      </c>
      <c r="O70" s="48">
        <f t="shared" si="110"/>
        <v>1285.1485422351427</v>
      </c>
      <c r="P70" s="48">
        <f t="shared" si="110"/>
        <v>1348.147982842861</v>
      </c>
      <c r="Q70" s="48">
        <f t="shared" si="110"/>
        <v>1404.6757694382793</v>
      </c>
      <c r="R70" s="48">
        <f t="shared" si="110"/>
        <v>1465.2965228631392</v>
      </c>
      <c r="S70" s="48">
        <f t="shared" ref="S70" si="111">R75</f>
        <v>1507.9917219416132</v>
      </c>
      <c r="T70" s="48">
        <f t="shared" ref="T70" si="112">S75</f>
        <v>1539.0862994607776</v>
      </c>
      <c r="U70" s="48">
        <f t="shared" ref="U70" si="113">T75</f>
        <v>1552.2670411868939</v>
      </c>
      <c r="V70" s="48">
        <f t="shared" ref="V70" si="114">U75</f>
        <v>1567.4532721327548</v>
      </c>
      <c r="W70" s="49">
        <f t="shared" ref="W70" si="115">V75</f>
        <v>1584.9058930478495</v>
      </c>
    </row>
    <row r="71" spans="3:23" ht="12.75" customHeight="1" outlineLevel="1">
      <c r="C71" s="24" t="s">
        <v>582</v>
      </c>
      <c r="D71" s="29"/>
      <c r="E71" s="33">
        <f t="shared" ref="E71:J71" si="116">-E47</f>
        <v>44.570999999999998</v>
      </c>
      <c r="F71" s="33">
        <f t="shared" si="116"/>
        <v>65.123999999999995</v>
      </c>
      <c r="G71" s="33">
        <f t="shared" si="116"/>
        <v>117.062</v>
      </c>
      <c r="H71" s="33">
        <f t="shared" si="116"/>
        <v>227.65299999999999</v>
      </c>
      <c r="I71" s="33">
        <f t="shared" si="116"/>
        <v>148.38</v>
      </c>
      <c r="J71" s="33">
        <f t="shared" si="116"/>
        <v>199.21899999999999</v>
      </c>
      <c r="K71" s="33">
        <f t="shared" ref="K71:R71" si="117">K41*K72</f>
        <v>199.78237942549598</v>
      </c>
      <c r="L71" s="33">
        <f t="shared" si="117"/>
        <v>184.34179660303371</v>
      </c>
      <c r="M71" s="33">
        <f t="shared" si="117"/>
        <v>180.88402944854712</v>
      </c>
      <c r="N71" s="33">
        <f t="shared" si="117"/>
        <v>167.42566942396556</v>
      </c>
      <c r="O71" s="33">
        <f t="shared" si="117"/>
        <v>166.89954860845322</v>
      </c>
      <c r="P71" s="33">
        <f t="shared" si="117"/>
        <v>175.9458005185019</v>
      </c>
      <c r="Q71" s="33">
        <f t="shared" si="117"/>
        <v>165.77699138776589</v>
      </c>
      <c r="R71" s="33">
        <f t="shared" si="117"/>
        <v>167.99027381746041</v>
      </c>
      <c r="S71" s="33">
        <f t="shared" ref="S71:W71" si="118">S41*S72</f>
        <v>163.45442948456349</v>
      </c>
      <c r="T71" s="33">
        <f t="shared" si="118"/>
        <v>152.27351906697248</v>
      </c>
      <c r="U71" s="33">
        <f t="shared" si="118"/>
        <v>161.00880676100175</v>
      </c>
      <c r="V71" s="33">
        <f t="shared" si="118"/>
        <v>170.51617457581216</v>
      </c>
      <c r="W71" s="34">
        <f t="shared" si="118"/>
        <v>179.8163960450178</v>
      </c>
    </row>
    <row r="72" spans="3:23" ht="12.75" customHeight="1" outlineLevel="1">
      <c r="C72" s="37" t="s">
        <v>579</v>
      </c>
      <c r="D72" s="29"/>
      <c r="E72" s="38">
        <f t="shared" ref="E72:J72" si="119">E71/E41</f>
        <v>8.9013286787305551E-2</v>
      </c>
      <c r="F72" s="38">
        <f t="shared" si="119"/>
        <v>0.1187248076218395</v>
      </c>
      <c r="G72" s="38">
        <f t="shared" si="119"/>
        <v>0.1560916159193127</v>
      </c>
      <c r="H72" s="38">
        <f t="shared" si="119"/>
        <v>0.25582006865978568</v>
      </c>
      <c r="I72" s="38">
        <f t="shared" si="119"/>
        <v>0.13285532397251565</v>
      </c>
      <c r="J72" s="38">
        <f t="shared" si="119"/>
        <v>0.15537679569042098</v>
      </c>
      <c r="K72" s="39">
        <v>0.13500000000000001</v>
      </c>
      <c r="L72" s="39">
        <v>0.11</v>
      </c>
      <c r="M72" s="39">
        <v>0.09</v>
      </c>
      <c r="N72" s="39">
        <v>7.0000000000000007E-2</v>
      </c>
      <c r="O72" s="39">
        <v>0.06</v>
      </c>
      <c r="P72" s="39">
        <v>5.5E-2</v>
      </c>
      <c r="Q72" s="39">
        <v>4.4999999999999998E-2</v>
      </c>
      <c r="R72" s="39">
        <v>0.04</v>
      </c>
      <c r="S72" s="39">
        <v>3.5000000000000003E-2</v>
      </c>
      <c r="T72" s="39">
        <v>0.03</v>
      </c>
      <c r="U72" s="39">
        <v>0.03</v>
      </c>
      <c r="V72" s="39">
        <v>0.03</v>
      </c>
      <c r="W72" s="40">
        <v>0.03</v>
      </c>
    </row>
    <row r="73" spans="3:23" ht="12.75" customHeight="1" outlineLevel="1">
      <c r="C73" s="24" t="s">
        <v>45</v>
      </c>
      <c r="D73" s="33"/>
      <c r="E73" s="33">
        <f>-CS!E8</f>
        <v>-44.335000000000001</v>
      </c>
      <c r="F73" s="33">
        <f>-CS!F8</f>
        <v>-47.264000000000003</v>
      </c>
      <c r="G73" s="33">
        <f>-CS!G8</f>
        <v>-45.871000000000002</v>
      </c>
      <c r="H73" s="33">
        <f>-CS!H8</f>
        <v>-47.186999999999998</v>
      </c>
      <c r="I73" s="33">
        <f>-CS!I8</f>
        <v>-96.912000000000006</v>
      </c>
      <c r="J73" s="33">
        <f>-CS!J8</f>
        <v>-87.861000000000004</v>
      </c>
      <c r="K73" s="33">
        <f t="shared" ref="K73:R73" si="120">-K97</f>
        <v>-74.588782413449891</v>
      </c>
      <c r="L73" s="33">
        <f t="shared" si="120"/>
        <v>-82.442960667772496</v>
      </c>
      <c r="M73" s="33">
        <f t="shared" si="120"/>
        <v>-89.912126479990917</v>
      </c>
      <c r="N73" s="33">
        <f t="shared" si="120"/>
        <v>-97.041463104686216</v>
      </c>
      <c r="O73" s="33">
        <f t="shared" si="120"/>
        <v>-103.90010800073503</v>
      </c>
      <c r="P73" s="33">
        <f t="shared" si="120"/>
        <v>-119.41801392308359</v>
      </c>
      <c r="Q73" s="33">
        <f t="shared" si="120"/>
        <v>-105.15623796290605</v>
      </c>
      <c r="R73" s="33">
        <f t="shared" si="120"/>
        <v>-125.29507473898647</v>
      </c>
      <c r="S73" s="33">
        <f t="shared" ref="S73:W73" si="121">-S97</f>
        <v>-132.35985196539897</v>
      </c>
      <c r="T73" s="33">
        <f t="shared" si="121"/>
        <v>-139.0927773408562</v>
      </c>
      <c r="U73" s="33">
        <f t="shared" si="121"/>
        <v>-145.82257581514094</v>
      </c>
      <c r="V73" s="33">
        <f t="shared" si="121"/>
        <v>-153.06355366071739</v>
      </c>
      <c r="W73" s="34">
        <f t="shared" si="121"/>
        <v>-160.82707857278646</v>
      </c>
    </row>
    <row r="74" spans="3:23" ht="12.75" customHeight="1" outlineLevel="1">
      <c r="C74" s="24" t="s">
        <v>351</v>
      </c>
      <c r="D74" s="29"/>
      <c r="E74" s="33">
        <f t="shared" ref="E74:J74" si="122">+E75-E70-E71-E73</f>
        <v>15.266000000000012</v>
      </c>
      <c r="F74" s="33">
        <f t="shared" si="122"/>
        <v>16.982999999999969</v>
      </c>
      <c r="G74" s="33">
        <f t="shared" si="122"/>
        <v>133.00899999999999</v>
      </c>
      <c r="H74" s="33">
        <f t="shared" si="122"/>
        <v>0.22500000000003695</v>
      </c>
      <c r="I74" s="33">
        <f t="shared" si="122"/>
        <v>43.093000000000046</v>
      </c>
      <c r="J74" s="33">
        <f t="shared" si="122"/>
        <v>-13.425999999999974</v>
      </c>
      <c r="K74" s="50">
        <v>0</v>
      </c>
      <c r="L74" s="50">
        <v>0</v>
      </c>
      <c r="M74" s="50">
        <v>0</v>
      </c>
      <c r="N74" s="50">
        <v>0</v>
      </c>
      <c r="O74" s="50">
        <v>0</v>
      </c>
      <c r="P74" s="50">
        <v>0</v>
      </c>
      <c r="Q74" s="50">
        <v>0</v>
      </c>
      <c r="R74" s="50">
        <v>0</v>
      </c>
      <c r="S74" s="50">
        <v>0</v>
      </c>
      <c r="T74" s="50">
        <v>0</v>
      </c>
      <c r="U74" s="50">
        <v>0</v>
      </c>
      <c r="V74" s="50">
        <v>0</v>
      </c>
      <c r="W74" s="51">
        <v>0</v>
      </c>
    </row>
    <row r="75" spans="3:23" ht="12.75" customHeight="1" outlineLevel="1">
      <c r="C75" s="52" t="s">
        <v>316</v>
      </c>
      <c r="D75" s="54">
        <f>BS!D13</f>
        <v>268.971</v>
      </c>
      <c r="E75" s="54">
        <f>BS!E13</f>
        <v>284.47300000000001</v>
      </c>
      <c r="F75" s="54">
        <f>BS!F13</f>
        <v>319.31599999999997</v>
      </c>
      <c r="G75" s="54">
        <f>BS!G13</f>
        <v>523.51599999999996</v>
      </c>
      <c r="H75" s="54">
        <f>BS!H13</f>
        <v>704.20699999999999</v>
      </c>
      <c r="I75" s="54">
        <f>BS!I13</f>
        <v>798.76800000000003</v>
      </c>
      <c r="J75" s="54">
        <f>BS!J13</f>
        <v>896.7</v>
      </c>
      <c r="K75" s="55">
        <f t="shared" ref="K75:R75" si="123">K70+K71+K73+K74</f>
        <v>1021.8935970120461</v>
      </c>
      <c r="L75" s="55">
        <f t="shared" si="123"/>
        <v>1123.7924329473074</v>
      </c>
      <c r="M75" s="55">
        <f t="shared" si="123"/>
        <v>1214.7643359158635</v>
      </c>
      <c r="N75" s="55">
        <f t="shared" si="123"/>
        <v>1285.1485422351427</v>
      </c>
      <c r="O75" s="55">
        <f t="shared" si="123"/>
        <v>1348.147982842861</v>
      </c>
      <c r="P75" s="55">
        <f t="shared" si="123"/>
        <v>1404.6757694382793</v>
      </c>
      <c r="Q75" s="55">
        <f t="shared" si="123"/>
        <v>1465.2965228631392</v>
      </c>
      <c r="R75" s="55">
        <f t="shared" si="123"/>
        <v>1507.9917219416132</v>
      </c>
      <c r="S75" s="55">
        <f t="shared" ref="S75:W75" si="124">S70+S71+S73+S74</f>
        <v>1539.0862994607776</v>
      </c>
      <c r="T75" s="55">
        <f t="shared" si="124"/>
        <v>1552.2670411868939</v>
      </c>
      <c r="U75" s="55">
        <f t="shared" si="124"/>
        <v>1567.4532721327548</v>
      </c>
      <c r="V75" s="55">
        <f t="shared" si="124"/>
        <v>1584.9058930478495</v>
      </c>
      <c r="W75" s="56">
        <f t="shared" si="124"/>
        <v>1603.895210520081</v>
      </c>
    </row>
    <row r="76" spans="3:23" ht="12.75" customHeight="1" outlineLevel="1">
      <c r="C76" s="218"/>
      <c r="D76" s="29"/>
      <c r="E76" s="29"/>
      <c r="F76" s="29"/>
      <c r="G76" s="29"/>
      <c r="H76" s="29"/>
      <c r="I76" s="29"/>
      <c r="J76" s="29"/>
      <c r="K76" s="29"/>
      <c r="L76" s="29"/>
      <c r="M76" s="29"/>
      <c r="N76" s="29"/>
      <c r="O76" s="29"/>
      <c r="P76" s="29"/>
      <c r="Q76" s="29"/>
      <c r="R76" s="29"/>
      <c r="S76" s="29"/>
      <c r="T76" s="29"/>
      <c r="U76" s="29"/>
      <c r="V76" s="29"/>
      <c r="W76" s="29"/>
    </row>
    <row r="77" spans="3:23" ht="12.75" customHeight="1" outlineLevel="1">
      <c r="C77" s="30" t="s">
        <v>317</v>
      </c>
      <c r="D77" s="29"/>
      <c r="E77" s="29"/>
      <c r="F77" s="29"/>
      <c r="G77" s="57">
        <v>20</v>
      </c>
      <c r="H77" s="29"/>
      <c r="I77" s="29"/>
      <c r="J77" s="29"/>
      <c r="K77" s="29"/>
      <c r="L77" s="29"/>
      <c r="M77" s="29"/>
      <c r="N77" s="29"/>
      <c r="O77" s="29"/>
      <c r="P77" s="29"/>
      <c r="Q77" s="29"/>
      <c r="R77" s="29"/>
      <c r="S77" s="29"/>
      <c r="T77" s="29"/>
      <c r="U77" s="29"/>
      <c r="V77" s="29"/>
      <c r="W77" s="29"/>
    </row>
    <row r="78" spans="3:23" ht="12.75" customHeight="1" outlineLevel="1">
      <c r="C78" s="58"/>
      <c r="D78" s="47"/>
      <c r="E78" s="47"/>
      <c r="F78" s="47"/>
      <c r="G78" s="47"/>
      <c r="H78" s="47"/>
      <c r="I78" s="47"/>
      <c r="J78" s="47"/>
      <c r="K78" s="47"/>
      <c r="L78" s="47"/>
      <c r="M78" s="47"/>
      <c r="N78" s="47"/>
      <c r="O78" s="47"/>
      <c r="P78" s="47"/>
      <c r="Q78" s="47"/>
      <c r="R78" s="47"/>
      <c r="S78" s="47"/>
      <c r="T78" s="47"/>
      <c r="U78" s="47"/>
      <c r="V78" s="47"/>
      <c r="W78" s="47"/>
    </row>
    <row r="79" spans="3:23" ht="12.75" customHeight="1" outlineLevel="1">
      <c r="C79" s="24" t="s">
        <v>318</v>
      </c>
      <c r="D79" s="29"/>
      <c r="E79" s="29"/>
      <c r="F79" s="29"/>
      <c r="G79" s="59">
        <f>G97-SUM(G80:G91)</f>
        <v>42.944450000000003</v>
      </c>
      <c r="H79" s="59">
        <f t="shared" ref="H79:R79" si="125">G79-G79*(1/$G$77)</f>
        <v>40.797227500000005</v>
      </c>
      <c r="I79" s="59">
        <f t="shared" si="125"/>
        <v>38.757366125000004</v>
      </c>
      <c r="J79" s="59">
        <f t="shared" si="125"/>
        <v>36.819497818750001</v>
      </c>
      <c r="K79" s="59">
        <f t="shared" si="125"/>
        <v>34.978522927812499</v>
      </c>
      <c r="L79" s="59">
        <f t="shared" si="125"/>
        <v>33.229596781421876</v>
      </c>
      <c r="M79" s="59">
        <f t="shared" si="125"/>
        <v>31.56811694235078</v>
      </c>
      <c r="N79" s="59">
        <f t="shared" si="125"/>
        <v>29.98971109523324</v>
      </c>
      <c r="O79" s="59">
        <f t="shared" si="125"/>
        <v>28.490225540471577</v>
      </c>
      <c r="P79" s="59">
        <f t="shared" si="125"/>
        <v>27.065714263447997</v>
      </c>
      <c r="Q79" s="59">
        <f t="shared" si="125"/>
        <v>25.712428550275597</v>
      </c>
      <c r="R79" s="59">
        <f t="shared" si="125"/>
        <v>24.426807122761815</v>
      </c>
      <c r="S79" s="59">
        <f t="shared" ref="S79" si="126">R79-R79*(1/$G$77)</f>
        <v>23.205466766623726</v>
      </c>
      <c r="T79" s="59">
        <f t="shared" ref="T79" si="127">S79-S79*(1/$G$77)</f>
        <v>22.045193428292539</v>
      </c>
      <c r="U79" s="59">
        <f t="shared" ref="U79" si="128">T79-T79*(1/$G$77)</f>
        <v>20.942933756877913</v>
      </c>
      <c r="V79" s="59">
        <f t="shared" ref="V79" si="129">U79-U79*(1/$G$77)</f>
        <v>19.895787069034018</v>
      </c>
      <c r="W79" s="59">
        <f t="shared" ref="W79" si="130">V79-V79*(1/$G$77)</f>
        <v>18.900997715582317</v>
      </c>
    </row>
    <row r="80" spans="3:23" ht="12.75" customHeight="1" outlineLevel="1">
      <c r="C80" s="24" t="s">
        <v>583</v>
      </c>
      <c r="D80" s="29"/>
      <c r="E80" s="29"/>
      <c r="F80" s="29"/>
      <c r="G80" s="33">
        <f>G$71/$G$77/2</f>
        <v>2.9265499999999998</v>
      </c>
      <c r="H80" s="33">
        <f>MAX(0,MIN($G$80*2,H$71-SUM($G80:G80)))</f>
        <v>5.8530999999999995</v>
      </c>
      <c r="I80" s="33">
        <f>MAX(0,MIN($G$80*2,I$71-SUM($G80:H80)))</f>
        <v>5.8530999999999995</v>
      </c>
      <c r="J80" s="33">
        <f>MAX(0,MIN($G$80*2,J$71-SUM($G80:I80)))</f>
        <v>5.8530999999999995</v>
      </c>
      <c r="K80" s="33">
        <f>MAX(0,MIN($G$80*2,K$71-SUM($G80:J80)))</f>
        <v>5.8530999999999995</v>
      </c>
      <c r="L80" s="33">
        <f>MAX(0,MIN($G$80*2,L$71-SUM($G80:K80)))</f>
        <v>5.8530999999999995</v>
      </c>
      <c r="M80" s="33">
        <f>MAX(0,MIN($G$80*2,M$71-SUM($G80:L80)))</f>
        <v>5.8530999999999995</v>
      </c>
      <c r="N80" s="33">
        <f>MAX(0,MIN($G$80*2,N$71-SUM($G80:M80)))</f>
        <v>5.8530999999999995</v>
      </c>
      <c r="O80" s="33">
        <f>MAX(0,MIN($G$80*2,O$71-SUM($G80:N80)))</f>
        <v>5.8530999999999995</v>
      </c>
      <c r="P80" s="33">
        <f>MAX(0,MIN($G$80*2,P$71-SUM($G80:O80)))</f>
        <v>5.8530999999999995</v>
      </c>
      <c r="Q80" s="33">
        <f>MAX(0,MIN($G$80*2,Q$71-SUM($G80:P80)))</f>
        <v>5.8530999999999995</v>
      </c>
      <c r="R80" s="33">
        <f>MAX(0,MIN($G$80*2,R$71-SUM($G80:Q80)))</f>
        <v>5.8530999999999995</v>
      </c>
      <c r="S80" s="33">
        <f>MAX(0,MIN($G$80*2,S$71-SUM($G80:R80)))</f>
        <v>5.8530999999999995</v>
      </c>
      <c r="T80" s="33">
        <f>MAX(0,MIN($G$80*2,T$71-SUM($G80:S80)))</f>
        <v>5.8530999999999995</v>
      </c>
      <c r="U80" s="33">
        <f>MAX(0,MIN($G$80*2,U$71-SUM($G80:T80)))</f>
        <v>5.8530999999999995</v>
      </c>
      <c r="V80" s="33">
        <f>MAX(0,MIN($G$80*2,V$71-SUM($G80:U80)))</f>
        <v>5.8530999999999995</v>
      </c>
      <c r="W80" s="33">
        <f>MAX(0,MIN($G$80*2,W$71-SUM($G80:V80)))</f>
        <v>5.8530999999999995</v>
      </c>
    </row>
    <row r="81" spans="3:23" ht="12.75" customHeight="1" outlineLevel="1">
      <c r="C81" s="24" t="s">
        <v>584</v>
      </c>
      <c r="D81" s="29"/>
      <c r="E81" s="29"/>
      <c r="F81" s="29"/>
      <c r="G81" s="29"/>
      <c r="H81" s="33">
        <f>H$71/$G$77/2</f>
        <v>5.691325</v>
      </c>
      <c r="I81" s="33">
        <f>MAX(0,MIN($H$81*2,I$71-SUM($H81:H81)))</f>
        <v>11.38265</v>
      </c>
      <c r="J81" s="33">
        <f>MAX(0,MIN($H$81*2,J$71-SUM($H81:I81)))</f>
        <v>11.38265</v>
      </c>
      <c r="K81" s="33">
        <f>MAX(0,MIN($H$81*2,K$71-SUM($H81:J81)))</f>
        <v>11.38265</v>
      </c>
      <c r="L81" s="33">
        <f>MAX(0,MIN($H$81*2,L$71-SUM($H81:K81)))</f>
        <v>11.38265</v>
      </c>
      <c r="M81" s="33">
        <f>MAX(0,MIN($H$81*2,M$71-SUM($H81:L81)))</f>
        <v>11.38265</v>
      </c>
      <c r="N81" s="33">
        <f>MAX(0,MIN($H$81*2,N$71-SUM($H81:M81)))</f>
        <v>11.38265</v>
      </c>
      <c r="O81" s="33">
        <f>MAX(0,MIN($H$81*2,O$71-SUM($H81:N81)))</f>
        <v>11.38265</v>
      </c>
      <c r="P81" s="33">
        <f>MAX(0,MIN($H$81*2,P$71-SUM($H81:O81)))</f>
        <v>11.38265</v>
      </c>
      <c r="Q81" s="33">
        <f>MAX(0,MIN($H$81*2,Q$71-SUM($H81:P81)))</f>
        <v>11.38265</v>
      </c>
      <c r="R81" s="33">
        <f>MAX(0,MIN($H$81*2,R$71-SUM($H81:Q81)))</f>
        <v>11.38265</v>
      </c>
      <c r="S81" s="33">
        <f>MAX(0,MIN($H$81*2,S$71-SUM($H81:R81)))</f>
        <v>11.38265</v>
      </c>
      <c r="T81" s="33">
        <f>MAX(0,MIN($H$81*2,T$71-SUM($H81:S81)))</f>
        <v>11.38265</v>
      </c>
      <c r="U81" s="33">
        <f>MAX(0,MIN($H$81*2,U$71-SUM($H81:T81)))</f>
        <v>11.38265</v>
      </c>
      <c r="V81" s="33">
        <f>MAX(0,MIN($H$81*2,V$71-SUM($H81:U81)))</f>
        <v>11.38265</v>
      </c>
      <c r="W81" s="33">
        <f>MAX(0,MIN($H$81*2,W$71-SUM($H81:V81)))</f>
        <v>11.38265</v>
      </c>
    </row>
    <row r="82" spans="3:23" ht="12.75" customHeight="1" outlineLevel="1">
      <c r="C82" s="24" t="s">
        <v>585</v>
      </c>
      <c r="D82" s="29"/>
      <c r="E82" s="29"/>
      <c r="F82" s="29"/>
      <c r="G82" s="29"/>
      <c r="H82" s="29"/>
      <c r="I82" s="33">
        <f>I$71/$G$77/2</f>
        <v>3.7094999999999998</v>
      </c>
      <c r="J82" s="33">
        <f>MAX(0,MIN($I$82*2,J$71-SUM($I82:I82)))</f>
        <v>7.4189999999999996</v>
      </c>
      <c r="K82" s="33">
        <f>MAX(0,MIN($I$82*2,K$71-SUM($I82:J82)))</f>
        <v>7.4189999999999996</v>
      </c>
      <c r="L82" s="33">
        <f>MAX(0,MIN($I$82*2,L$71-SUM($I82:K82)))</f>
        <v>7.4189999999999996</v>
      </c>
      <c r="M82" s="33">
        <f>MAX(0,MIN($I$82*2,M$71-SUM($I82:L82)))</f>
        <v>7.4189999999999996</v>
      </c>
      <c r="N82" s="33">
        <f>MAX(0,MIN($I$82*2,N$71-SUM($I82:M82)))</f>
        <v>7.4189999999999996</v>
      </c>
      <c r="O82" s="33">
        <f>MAX(0,MIN($I$82*2,O$71-SUM($I82:N82)))</f>
        <v>7.4189999999999996</v>
      </c>
      <c r="P82" s="33">
        <f>MAX(0,MIN($I$82*2,P$71-SUM($I82:O82)))</f>
        <v>7.4189999999999996</v>
      </c>
      <c r="Q82" s="33">
        <f>MAX(0,MIN($I$82*2,Q$71-SUM($I82:P82)))</f>
        <v>7.4189999999999996</v>
      </c>
      <c r="R82" s="33">
        <f>MAX(0,MIN($I$82*2,R$71-SUM($I82:Q82)))</f>
        <v>7.4189999999999996</v>
      </c>
      <c r="S82" s="33">
        <f>MAX(0,MIN($I$82*2,S$71-SUM($I82:R82)))</f>
        <v>7.4189999999999996</v>
      </c>
      <c r="T82" s="33">
        <f>MAX(0,MIN($I$82*2,T$71-SUM($I82:S82)))</f>
        <v>7.4189999999999996</v>
      </c>
      <c r="U82" s="33">
        <f>MAX(0,MIN($I$82*2,U$71-SUM($I82:T82)))</f>
        <v>7.4189999999999996</v>
      </c>
      <c r="V82" s="33">
        <f>MAX(0,MIN($I$82*2,V$71-SUM($I82:U82)))</f>
        <v>7.4189999999999996</v>
      </c>
      <c r="W82" s="33">
        <f>MAX(0,MIN($I$82*2,W$71-SUM($I82:V82)))</f>
        <v>7.4189999999999996</v>
      </c>
    </row>
    <row r="83" spans="3:23" ht="12.75" customHeight="1" outlineLevel="1">
      <c r="C83" s="24" t="s">
        <v>586</v>
      </c>
      <c r="D83" s="29"/>
      <c r="E83" s="29"/>
      <c r="F83" s="29"/>
      <c r="G83" s="29"/>
      <c r="H83" s="29"/>
      <c r="I83" s="29"/>
      <c r="J83" s="33">
        <f>J$71/$G$77/2</f>
        <v>4.9804750000000002</v>
      </c>
      <c r="K83" s="33">
        <f>MAX(0,MIN($J$83*2,K$71-SUM($J83:J83)))</f>
        <v>9.9609500000000004</v>
      </c>
      <c r="L83" s="33">
        <f>MAX(0,MIN($J$83*2,L$71-SUM($J83:K83)))</f>
        <v>9.9609500000000004</v>
      </c>
      <c r="M83" s="33">
        <f>MAX(0,MIN($J$83*2,M$71-SUM($J83:L83)))</f>
        <v>9.9609500000000004</v>
      </c>
      <c r="N83" s="33">
        <f>MAX(0,MIN($J$83*2,N$71-SUM($J83:M83)))</f>
        <v>9.9609500000000004</v>
      </c>
      <c r="O83" s="33">
        <f>MAX(0,MIN($J$83*2,O$71-SUM($J83:N83)))</f>
        <v>9.9609500000000004</v>
      </c>
      <c r="P83" s="33">
        <f>MAX(0,MIN($J$83*2,P$71-SUM($J83:O83)))</f>
        <v>9.9609500000000004</v>
      </c>
      <c r="Q83" s="33">
        <f>MAX(0,MIN($J$83*2,Q$71-SUM($J83:P83)))</f>
        <v>9.9609500000000004</v>
      </c>
      <c r="R83" s="33">
        <f>MAX(0,MIN($J$83*2,R$71-SUM($J83:Q83)))</f>
        <v>9.9609500000000004</v>
      </c>
      <c r="S83" s="33">
        <f>MAX(0,MIN($J$83*2,S$71-SUM($J83:R83)))</f>
        <v>9.9609500000000004</v>
      </c>
      <c r="T83" s="33">
        <f>MAX(0,MIN($J$83*2,T$71-SUM($J83:S83)))</f>
        <v>9.9609500000000004</v>
      </c>
      <c r="U83" s="33">
        <f>MAX(0,MIN($J$83*2,U$71-SUM($J83:T83)))</f>
        <v>9.9609500000000004</v>
      </c>
      <c r="V83" s="33">
        <f>MAX(0,MIN($J$83*2,V$71-SUM($J83:U83)))</f>
        <v>9.9609500000000004</v>
      </c>
      <c r="W83" s="33">
        <f>MAX(0,MIN($J$83*2,W$71-SUM($J83:V83)))</f>
        <v>9.9609500000000004</v>
      </c>
    </row>
    <row r="84" spans="3:23" ht="12.75" customHeight="1" outlineLevel="1">
      <c r="C84" s="24" t="s">
        <v>587</v>
      </c>
      <c r="D84" s="29"/>
      <c r="E84" s="29"/>
      <c r="F84" s="29"/>
      <c r="G84" s="29"/>
      <c r="H84" s="29"/>
      <c r="I84" s="29"/>
      <c r="J84" s="29"/>
      <c r="K84" s="33">
        <f>K$71/$G$77/2</f>
        <v>4.9945594856373994</v>
      </c>
      <c r="L84" s="33">
        <f>MAX(0,MIN($K$84*2,L$71-SUM($K84:K84)))</f>
        <v>9.9891189712747988</v>
      </c>
      <c r="M84" s="33">
        <f>MAX(0,MIN($K$84*2,M$71-SUM($K84:L84)))</f>
        <v>9.9891189712747988</v>
      </c>
      <c r="N84" s="33">
        <f>MAX(0,MIN($K$84*2,N$71-SUM($K84:M84)))</f>
        <v>9.9891189712747988</v>
      </c>
      <c r="O84" s="33">
        <f>MAX(0,MIN($K$84*2,O$71-SUM($K84:N84)))</f>
        <v>9.9891189712747988</v>
      </c>
      <c r="P84" s="33">
        <f>MAX(0,MIN($K$84*2,P$71-SUM($K84:O84)))</f>
        <v>9.9891189712747988</v>
      </c>
      <c r="Q84" s="33">
        <f>MAX(0,MIN($K$84*2,Q$71-SUM($K84:P84)))</f>
        <v>9.9891189712747988</v>
      </c>
      <c r="R84" s="33">
        <f>MAX(0,MIN($K$84*2,R$71-SUM($K84:Q84)))</f>
        <v>9.9891189712747988</v>
      </c>
      <c r="S84" s="33">
        <f>MAX(0,MIN($K$84*2,S$71-SUM($K84:R84)))</f>
        <v>9.9891189712747988</v>
      </c>
      <c r="T84" s="33">
        <f>MAX(0,MIN($K$84*2,T$71-SUM($K84:S84)))</f>
        <v>9.9891189712747988</v>
      </c>
      <c r="U84" s="33">
        <f>MAX(0,MIN($K$84*2,U$71-SUM($K84:T84)))</f>
        <v>9.9891189712747988</v>
      </c>
      <c r="V84" s="33">
        <f>MAX(0,MIN($K$84*2,V$71-SUM($K84:U84)))</f>
        <v>9.9891189712747988</v>
      </c>
      <c r="W84" s="33">
        <f>MAX(0,MIN($K$84*2,W$71-SUM($K84:V84)))</f>
        <v>9.9891189712747988</v>
      </c>
    </row>
    <row r="85" spans="3:23" ht="12.75" customHeight="1" outlineLevel="1">
      <c r="C85" s="24" t="s">
        <v>588</v>
      </c>
      <c r="D85" s="29"/>
      <c r="E85" s="29"/>
      <c r="F85" s="29"/>
      <c r="G85" s="29"/>
      <c r="H85" s="29"/>
      <c r="I85" s="29"/>
      <c r="J85" s="29"/>
      <c r="K85" s="29"/>
      <c r="L85" s="33">
        <f>L$71/$G$77/2</f>
        <v>4.6085449150758429</v>
      </c>
      <c r="M85" s="33">
        <f>MAX(0,MIN($L$85*2,M$71-SUM($L85:L85)))</f>
        <v>9.2170898301516857</v>
      </c>
      <c r="N85" s="33">
        <f>MAX(0,MIN($L$85*2,N$71-SUM($L85:M85)))</f>
        <v>9.2170898301516857</v>
      </c>
      <c r="O85" s="33">
        <f>MAX(0,MIN($L$85*2,O$71-SUM($L85:N85)))</f>
        <v>9.2170898301516857</v>
      </c>
      <c r="P85" s="33">
        <f>MAX(0,MIN($L$85*2,P$71-SUM($L85:O85)))</f>
        <v>9.2170898301516857</v>
      </c>
      <c r="Q85" s="33">
        <f>MAX(0,MIN($L$85*2,Q$71-SUM($L85:P85)))</f>
        <v>9.2170898301516857</v>
      </c>
      <c r="R85" s="33">
        <f>MAX(0,MIN($L$85*2,R$71-SUM($L85:Q85)))</f>
        <v>9.2170898301516857</v>
      </c>
      <c r="S85" s="33">
        <f>MAX(0,MIN($L$85*2,S$71-SUM($L85:R85)))</f>
        <v>9.2170898301516857</v>
      </c>
      <c r="T85" s="33">
        <f>MAX(0,MIN($L$85*2,T$71-SUM($L85:S85)))</f>
        <v>9.2170898301516857</v>
      </c>
      <c r="U85" s="33">
        <f>MAX(0,MIN($L$85*2,U$71-SUM($L85:T85)))</f>
        <v>9.2170898301516857</v>
      </c>
      <c r="V85" s="33">
        <f>MAX(0,MIN($L$85*2,V$71-SUM($L85:U85)))</f>
        <v>9.2170898301516857</v>
      </c>
      <c r="W85" s="33">
        <f>MAX(0,MIN($L$85*2,W$71-SUM($L85:V85)))</f>
        <v>9.2170898301516857</v>
      </c>
    </row>
    <row r="86" spans="3:23" ht="12.75" customHeight="1" outlineLevel="1">
      <c r="C86" s="24" t="s">
        <v>589</v>
      </c>
      <c r="D86" s="29"/>
      <c r="E86" s="29"/>
      <c r="F86" s="29"/>
      <c r="G86" s="29"/>
      <c r="H86" s="29"/>
      <c r="I86" s="29"/>
      <c r="J86" s="29"/>
      <c r="K86" s="29"/>
      <c r="L86" s="29"/>
      <c r="M86" s="33">
        <f>M$71/$G$77/2</f>
        <v>4.5221007362136785</v>
      </c>
      <c r="N86" s="33">
        <f>MAX(0,MIN(M86*2,N$71-SUM($M86:M86)))</f>
        <v>9.0442014724273569</v>
      </c>
      <c r="O86" s="33">
        <f>MAX(0,MIN($M$86*2,O$71-SUM($M86:N86)))</f>
        <v>9.0442014724273569</v>
      </c>
      <c r="P86" s="33">
        <f>MAX(0,MIN($M$86*2,P$71-SUM($M86:O86)))</f>
        <v>9.0442014724273569</v>
      </c>
      <c r="Q86" s="33">
        <f>MAX(0,MIN($M$86*2,Q$71-SUM($M86:P86)))</f>
        <v>9.0442014724273569</v>
      </c>
      <c r="R86" s="33">
        <f>MAX(0,MIN(M86*2,R$71-SUM($M86:Q86)))</f>
        <v>9.0442014724273569</v>
      </c>
      <c r="S86" s="33">
        <f>MAX(0,MIN($M$86*2,S$71-SUM($M86:R86)))</f>
        <v>9.0442014724273569</v>
      </c>
      <c r="T86" s="33">
        <f>MAX(0,MIN($M$86*2,T$71-SUM($M86:S86)))</f>
        <v>9.0442014724273569</v>
      </c>
      <c r="U86" s="33">
        <f>MAX(0,MIN($M$86*2,U$71-SUM($M86:T86)))</f>
        <v>9.0442014724273569</v>
      </c>
      <c r="V86" s="33">
        <f>MAX(0,MIN($M$86*2,V$71-SUM($M86:U86)))</f>
        <v>9.0442014724273569</v>
      </c>
      <c r="W86" s="33">
        <f>MAX(0,MIN($M$86*2,W$71-SUM($M86:V86)))</f>
        <v>9.0442014724273569</v>
      </c>
    </row>
    <row r="87" spans="3:23" ht="12.75" customHeight="1" outlineLevel="1">
      <c r="C87" s="24" t="s">
        <v>590</v>
      </c>
      <c r="D87" s="29"/>
      <c r="E87" s="29"/>
      <c r="F87" s="29"/>
      <c r="G87" s="29"/>
      <c r="H87" s="29"/>
      <c r="I87" s="29"/>
      <c r="J87" s="29"/>
      <c r="K87" s="29"/>
      <c r="L87" s="29"/>
      <c r="M87" s="29"/>
      <c r="N87" s="33">
        <f>N$71/$G$77/2</f>
        <v>4.1856417355991393</v>
      </c>
      <c r="O87" s="33">
        <f>MAX(0,MIN(N87*2,O$71-SUM($N87:N87)))</f>
        <v>8.3712834711982786</v>
      </c>
      <c r="P87" s="33">
        <f>MAX(0,MIN(O87*2,P$71-SUM($N87:O87)))</f>
        <v>16.742566942396557</v>
      </c>
      <c r="Q87" s="33">
        <f>Q$71/$G$77/2</f>
        <v>4.1444247846941469</v>
      </c>
      <c r="R87" s="33">
        <f>MAX(0,MIN(N87*2,R$71-SUM($N87:Q87)))</f>
        <v>8.3712834711982786</v>
      </c>
      <c r="S87" s="33">
        <f>MAX(0,MIN(N87*2,S$71-SUM($N87:R87)))</f>
        <v>8.3712834711982786</v>
      </c>
      <c r="T87" s="33">
        <f>MAX(0,MIN(N87*2,T$71-SUM($N87:S87)))</f>
        <v>8.3712834711982786</v>
      </c>
      <c r="U87" s="33">
        <f>MAX(0,MIN(N87*2,U$71-SUM($N87:T87)))</f>
        <v>8.3712834711982786</v>
      </c>
      <c r="V87" s="33">
        <f>MAX(0,MIN(N87*2,V$71-SUM($N87:U87)))</f>
        <v>8.3712834711982786</v>
      </c>
      <c r="W87" s="33">
        <f>MAX(0,MIN(N87*2,W$71-SUM($N87:V87)))</f>
        <v>8.3712834711982786</v>
      </c>
    </row>
    <row r="88" spans="3:23" ht="12.75" customHeight="1" outlineLevel="1">
      <c r="C88" s="24" t="s">
        <v>591</v>
      </c>
      <c r="D88" s="29"/>
      <c r="E88" s="29"/>
      <c r="F88" s="29"/>
      <c r="G88" s="29"/>
      <c r="H88" s="29"/>
      <c r="I88" s="29"/>
      <c r="J88" s="29"/>
      <c r="K88" s="29"/>
      <c r="L88" s="29"/>
      <c r="M88" s="29"/>
      <c r="N88" s="33"/>
      <c r="O88" s="33">
        <f>O$71/$G$77/2</f>
        <v>4.1724887152113306</v>
      </c>
      <c r="P88" s="33">
        <f>MAX(0,MIN(O88*2,P$71-SUM($O88:O88)))</f>
        <v>8.3449774304226612</v>
      </c>
      <c r="Q88" s="33">
        <f>Q$71/$G$77/2</f>
        <v>4.1444247846941469</v>
      </c>
      <c r="R88" s="33">
        <f>MAX(0,MIN(O88*2,R$71-SUM($O88:Q88)))</f>
        <v>8.3449774304226612</v>
      </c>
      <c r="S88" s="33">
        <f>MAX(0,MIN(O88*2,S$71-SUM($O88:R88)))</f>
        <v>8.3449774304226612</v>
      </c>
      <c r="T88" s="33">
        <f>MAX(0,MIN(O88*2,T$71-SUM($O88:S88)))</f>
        <v>8.3449774304226612</v>
      </c>
      <c r="U88" s="33">
        <f>MAX(0,MIN(O88*2,U$71-SUM($O88:T88)))</f>
        <v>8.3449774304226612</v>
      </c>
      <c r="V88" s="33">
        <f>MAX(0,MIN(O88*2,V$71-SUM($O88:U88)))</f>
        <v>8.3449774304226612</v>
      </c>
      <c r="W88" s="33">
        <f>MAX(0,MIN(O88*2,W$71-SUM($O88:V88)))</f>
        <v>8.3449774304226612</v>
      </c>
    </row>
    <row r="89" spans="3:23" ht="12.75" customHeight="1" outlineLevel="1">
      <c r="C89" s="24" t="s">
        <v>592</v>
      </c>
      <c r="D89" s="29"/>
      <c r="E89" s="29"/>
      <c r="F89" s="29"/>
      <c r="G89" s="29"/>
      <c r="H89" s="29"/>
      <c r="I89" s="29"/>
      <c r="J89" s="29"/>
      <c r="K89" s="29"/>
      <c r="L89" s="29"/>
      <c r="M89" s="29"/>
      <c r="N89" s="33"/>
      <c r="O89" s="33"/>
      <c r="P89" s="33">
        <f>P$71/$G$77/2</f>
        <v>4.3986450129625476</v>
      </c>
      <c r="Q89" s="33">
        <f>Q$71/$G$77/2</f>
        <v>4.1444247846941469</v>
      </c>
      <c r="R89" s="33">
        <f>MAX(0,MIN(P89*2,R$71-SUM($P89:Q89)))</f>
        <v>8.7972900259250952</v>
      </c>
      <c r="S89" s="33">
        <f>MAX(0,MIN(P89*2,S$71-SUM($P89:R89)))</f>
        <v>8.7972900259250952</v>
      </c>
      <c r="T89" s="33">
        <f>MAX(0,MIN(P89*2,T$71-SUM($P89:S89)))</f>
        <v>8.7972900259250952</v>
      </c>
      <c r="U89" s="33">
        <f>MAX(0,MIN(P89*2,U$71-SUM($P89:T89)))</f>
        <v>8.7972900259250952</v>
      </c>
      <c r="V89" s="33">
        <f>MAX(0,MIN(P89*2,V$71-SUM($P89:U89)))</f>
        <v>8.7972900259250952</v>
      </c>
      <c r="W89" s="33">
        <f>MAX(0,MIN(P89*2,W$71-SUM($P89:V89)))</f>
        <v>8.7972900259250952</v>
      </c>
    </row>
    <row r="90" spans="3:23" ht="12.75" customHeight="1" outlineLevel="1">
      <c r="C90" s="24" t="s">
        <v>593</v>
      </c>
      <c r="D90" s="29"/>
      <c r="E90" s="29"/>
      <c r="F90" s="29"/>
      <c r="G90" s="29"/>
      <c r="H90" s="29"/>
      <c r="I90" s="29"/>
      <c r="J90" s="29"/>
      <c r="K90" s="29"/>
      <c r="L90" s="29"/>
      <c r="M90" s="29"/>
      <c r="N90" s="33"/>
      <c r="O90" s="33"/>
      <c r="P90" s="33"/>
      <c r="Q90" s="33">
        <f>Q$71/$G$77/2</f>
        <v>4.1444247846941469</v>
      </c>
      <c r="R90" s="33">
        <f>MAX(0,MIN(Q90*2,R$71-SUM($Q90:Q90)))</f>
        <v>8.2888495693882938</v>
      </c>
      <c r="S90" s="33">
        <f>MAX(0,MIN(Q90*2,S$71-SUM($Q90:R90)))</f>
        <v>8.2888495693882938</v>
      </c>
      <c r="T90" s="33">
        <f>MAX(0,MIN(Q90*2,T$71-SUM($Q90:S90)))</f>
        <v>8.2888495693882938</v>
      </c>
      <c r="U90" s="33">
        <f>MAX(0,MIN(Q90*2,U$71-SUM($Q90:T90)))</f>
        <v>8.2888495693882938</v>
      </c>
      <c r="V90" s="33">
        <f>MAX(0,MIN(Q90*2,V$71-SUM($Q90:U90)))</f>
        <v>8.2888495693882938</v>
      </c>
      <c r="W90" s="33">
        <f>MAX(0,MIN(Q90*2,W$71-SUM($Q90:V90)))</f>
        <v>8.2888495693882938</v>
      </c>
    </row>
    <row r="91" spans="3:23" ht="12.75" customHeight="1" outlineLevel="1">
      <c r="C91" s="24" t="s">
        <v>594</v>
      </c>
      <c r="D91" s="29"/>
      <c r="E91" s="29"/>
      <c r="F91" s="29"/>
      <c r="G91" s="29"/>
      <c r="H91" s="29"/>
      <c r="I91" s="29"/>
      <c r="J91" s="29"/>
      <c r="K91" s="29"/>
      <c r="L91" s="29"/>
      <c r="M91" s="29"/>
      <c r="N91" s="33"/>
      <c r="O91" s="33"/>
      <c r="P91" s="33"/>
      <c r="Q91" s="33"/>
      <c r="R91" s="33">
        <f>R$71/$G$77/2</f>
        <v>4.19975684543651</v>
      </c>
      <c r="S91" s="33">
        <f>MAX(0,MIN(R91*2,S$71-SUM($R91:R91)))</f>
        <v>8.3995136908730199</v>
      </c>
      <c r="T91" s="33">
        <f>MAX(0,MIN(R91*2,T$71-SUM($R91:S91)))</f>
        <v>8.3995136908730199</v>
      </c>
      <c r="U91" s="33">
        <f>MAX(0,MIN(R91*2,U$71-SUM($R91:T91)))</f>
        <v>8.3995136908730199</v>
      </c>
      <c r="V91" s="33">
        <f>MAX(0,MIN(R91*2,V$71-SUM($R91:U91)))</f>
        <v>8.3995136908730199</v>
      </c>
      <c r="W91" s="33">
        <f>MAX(0,MIN(R91*2,W$71-SUM($R91:V91)))</f>
        <v>8.3995136908730199</v>
      </c>
    </row>
    <row r="92" spans="3:23" ht="12.75" customHeight="1" outlineLevel="1">
      <c r="C92" s="24" t="s">
        <v>595</v>
      </c>
      <c r="D92" s="29"/>
      <c r="E92" s="29"/>
      <c r="F92" s="29"/>
      <c r="G92" s="29"/>
      <c r="H92" s="29"/>
      <c r="I92" s="29"/>
      <c r="J92" s="29"/>
      <c r="K92" s="29"/>
      <c r="L92" s="29"/>
      <c r="M92" s="29"/>
      <c r="N92" s="33"/>
      <c r="O92" s="33"/>
      <c r="P92" s="33"/>
      <c r="Q92" s="33"/>
      <c r="R92" s="33"/>
      <c r="S92" s="33">
        <f>S$71/$G$77/2</f>
        <v>4.0863607371140871</v>
      </c>
      <c r="T92" s="33">
        <f>MAX(0,MIN(S92*2,T$71-SUM($S92:S92)))</f>
        <v>8.1727214742281742</v>
      </c>
      <c r="U92" s="33">
        <f>MAX(0,MIN(S92*2,U$71-SUM($S92:T92)))</f>
        <v>8.1727214742281742</v>
      </c>
      <c r="V92" s="33">
        <f>MAX(0,MIN(S92*2,V$71-SUM($S92:U92)))</f>
        <v>8.1727214742281742</v>
      </c>
      <c r="W92" s="33">
        <f>MAX(0,MIN(S92*2,W$71-SUM($S92:V92)))</f>
        <v>8.1727214742281742</v>
      </c>
    </row>
    <row r="93" spans="3:23" ht="12.75" customHeight="1" outlineLevel="1">
      <c r="C93" s="24" t="s">
        <v>596</v>
      </c>
      <c r="D93" s="29"/>
      <c r="E93" s="29"/>
      <c r="F93" s="29"/>
      <c r="G93" s="29"/>
      <c r="H93" s="29"/>
      <c r="I93" s="29"/>
      <c r="J93" s="29"/>
      <c r="K93" s="29"/>
      <c r="L93" s="29"/>
      <c r="M93" s="29"/>
      <c r="N93" s="33"/>
      <c r="O93" s="33"/>
      <c r="P93" s="33"/>
      <c r="Q93" s="33"/>
      <c r="R93" s="33"/>
      <c r="S93" s="33"/>
      <c r="T93" s="33">
        <f>T$71/$G$77/2</f>
        <v>3.8068379766743119</v>
      </c>
      <c r="U93" s="33">
        <f>MAX(0,MIN(T93*2,U$71-SUM($T93:T93)))</f>
        <v>7.6136759533486238</v>
      </c>
      <c r="V93" s="33">
        <f>MAX(0,MIN(T93*2,V$71-SUM($T93:U93)))</f>
        <v>7.6136759533486238</v>
      </c>
      <c r="W93" s="33">
        <f>MAX(0,MIN(T93*2,W$71-SUM($T93:V93)))</f>
        <v>7.6136759533486238</v>
      </c>
    </row>
    <row r="94" spans="3:23" ht="12.75" customHeight="1" outlineLevel="1">
      <c r="C94" s="24" t="s">
        <v>597</v>
      </c>
      <c r="D94" s="29"/>
      <c r="E94" s="29"/>
      <c r="F94" s="29"/>
      <c r="G94" s="29"/>
      <c r="H94" s="29"/>
      <c r="I94" s="29"/>
      <c r="J94" s="29"/>
      <c r="K94" s="29"/>
      <c r="L94" s="29"/>
      <c r="M94" s="29"/>
      <c r="N94" s="33"/>
      <c r="O94" s="33"/>
      <c r="P94" s="33"/>
      <c r="Q94" s="33"/>
      <c r="R94" s="33"/>
      <c r="S94" s="33"/>
      <c r="T94" s="33"/>
      <c r="U94" s="33">
        <f>U$71/$G$77/2</f>
        <v>4.0252201690250438</v>
      </c>
      <c r="V94" s="33">
        <f>MAX(0,MIN(U94*2,V$71-SUM($U94:U94)))</f>
        <v>8.0504403380500875</v>
      </c>
      <c r="W94" s="33">
        <f>MAX(0,MIN(U94*2,W$71-SUM($U94:V94)))</f>
        <v>8.0504403380500875</v>
      </c>
    </row>
    <row r="95" spans="3:23" ht="12.75" customHeight="1" outlineLevel="1">
      <c r="C95" s="24" t="s">
        <v>598</v>
      </c>
      <c r="D95" s="29"/>
      <c r="E95" s="29"/>
      <c r="F95" s="29"/>
      <c r="G95" s="29"/>
      <c r="H95" s="29"/>
      <c r="I95" s="29"/>
      <c r="J95" s="29"/>
      <c r="K95" s="29"/>
      <c r="L95" s="29"/>
      <c r="M95" s="29"/>
      <c r="N95" s="33"/>
      <c r="O95" s="33"/>
      <c r="P95" s="33"/>
      <c r="Q95" s="33"/>
      <c r="R95" s="33"/>
      <c r="S95" s="33"/>
      <c r="T95" s="33"/>
      <c r="U95" s="33"/>
      <c r="V95" s="33">
        <f>V$71/$G$77/2</f>
        <v>4.262904364395304</v>
      </c>
      <c r="W95" s="33">
        <f>MAX(0,MIN(V95*2,W$71-SUM($V95:V95)))</f>
        <v>8.5258087287906079</v>
      </c>
    </row>
    <row r="96" spans="3:23" ht="12.75" customHeight="1" outlineLevel="1">
      <c r="C96" s="24" t="s">
        <v>599</v>
      </c>
      <c r="D96" s="29"/>
      <c r="E96" s="29"/>
      <c r="F96" s="29"/>
      <c r="G96" s="29"/>
      <c r="H96" s="29"/>
      <c r="I96" s="29"/>
      <c r="J96" s="29"/>
      <c r="K96" s="29"/>
      <c r="L96" s="29"/>
      <c r="M96" s="29"/>
      <c r="N96" s="33"/>
      <c r="O96" s="33"/>
      <c r="P96" s="33"/>
      <c r="Q96" s="33"/>
      <c r="R96" s="33"/>
      <c r="S96" s="33"/>
      <c r="T96" s="33"/>
      <c r="U96" s="33"/>
      <c r="V96" s="33"/>
      <c r="W96" s="33">
        <f>W$71/$G$77/2</f>
        <v>4.4954099011254449</v>
      </c>
    </row>
    <row r="97" spans="3:23" ht="12.75" customHeight="1" outlineLevel="1">
      <c r="C97" s="60" t="s">
        <v>319</v>
      </c>
      <c r="D97" s="53"/>
      <c r="E97" s="53"/>
      <c r="F97" s="53"/>
      <c r="G97" s="54">
        <f>-G73</f>
        <v>45.871000000000002</v>
      </c>
      <c r="H97" s="54">
        <f>-H73</f>
        <v>47.186999999999998</v>
      </c>
      <c r="I97" s="54">
        <f t="shared" ref="I97:K97" si="131">SUM(I79:I91)</f>
        <v>59.702616124999999</v>
      </c>
      <c r="J97" s="54">
        <f t="shared" si="131"/>
        <v>66.45472281875</v>
      </c>
      <c r="K97" s="54">
        <f t="shared" si="131"/>
        <v>74.588782413449891</v>
      </c>
      <c r="L97" s="54">
        <f t="shared" ref="L97:W97" si="132">SUM(L79:L96)</f>
        <v>82.442960667772496</v>
      </c>
      <c r="M97" s="54">
        <f t="shared" si="132"/>
        <v>89.912126479990917</v>
      </c>
      <c r="N97" s="54">
        <f t="shared" si="132"/>
        <v>97.041463104686216</v>
      </c>
      <c r="O97" s="54">
        <f t="shared" si="132"/>
        <v>103.90010800073503</v>
      </c>
      <c r="P97" s="54">
        <f t="shared" si="132"/>
        <v>119.41801392308359</v>
      </c>
      <c r="Q97" s="54">
        <f t="shared" si="132"/>
        <v>105.15623796290605</v>
      </c>
      <c r="R97" s="54">
        <f t="shared" si="132"/>
        <v>125.29507473898647</v>
      </c>
      <c r="S97" s="54">
        <f t="shared" si="132"/>
        <v>132.35985196539897</v>
      </c>
      <c r="T97" s="54">
        <f t="shared" si="132"/>
        <v>139.0927773408562</v>
      </c>
      <c r="U97" s="54">
        <f t="shared" si="132"/>
        <v>145.82257581514094</v>
      </c>
      <c r="V97" s="54">
        <f t="shared" si="132"/>
        <v>153.06355366071739</v>
      </c>
      <c r="W97" s="54">
        <f t="shared" si="132"/>
        <v>160.82707857278646</v>
      </c>
    </row>
    <row r="98" spans="3:23" ht="12.75" customHeight="1" outlineLevel="1">
      <c r="C98" s="28"/>
      <c r="D98" s="29"/>
      <c r="E98" s="29"/>
      <c r="F98" s="29"/>
      <c r="G98" s="29"/>
      <c r="H98" s="29"/>
      <c r="I98" s="29"/>
      <c r="J98" s="29"/>
      <c r="K98" s="29"/>
      <c r="L98" s="29"/>
      <c r="M98" s="29"/>
      <c r="N98" s="29"/>
      <c r="O98" s="29"/>
      <c r="P98" s="29"/>
      <c r="Q98" s="29"/>
    </row>
    <row r="100" spans="3:23">
      <c r="C100" s="30" t="s">
        <v>529</v>
      </c>
    </row>
    <row r="101" spans="3:23">
      <c r="C101" s="18" t="s">
        <v>530</v>
      </c>
      <c r="D101" s="715">
        <v>0</v>
      </c>
      <c r="E101" s="715">
        <v>0</v>
      </c>
      <c r="F101" s="715">
        <v>0</v>
      </c>
      <c r="G101" s="715">
        <v>0</v>
      </c>
      <c r="H101" s="715">
        <v>0</v>
      </c>
      <c r="I101" s="715">
        <f t="shared" ref="I101" si="133">H101</f>
        <v>0</v>
      </c>
      <c r="J101" s="715">
        <f t="shared" ref="J101" si="134">I101</f>
        <v>0</v>
      </c>
      <c r="K101" s="715">
        <f t="shared" ref="K101" si="135">J101</f>
        <v>0</v>
      </c>
      <c r="L101" s="715">
        <f t="shared" ref="L101" si="136">K101</f>
        <v>0</v>
      </c>
      <c r="M101" s="715">
        <f t="shared" ref="M101" si="137">L101</f>
        <v>0</v>
      </c>
      <c r="N101" s="715">
        <f t="shared" ref="N101" si="138">M101</f>
        <v>0</v>
      </c>
      <c r="O101" s="715">
        <f t="shared" ref="O101" si="139">N101</f>
        <v>0</v>
      </c>
      <c r="P101" s="715">
        <f t="shared" ref="P101" si="140">O101</f>
        <v>0</v>
      </c>
      <c r="Q101" s="715">
        <f t="shared" ref="Q101" si="141">P101</f>
        <v>0</v>
      </c>
      <c r="R101" s="715">
        <f t="shared" ref="R101" si="142">Q101</f>
        <v>0</v>
      </c>
      <c r="S101" s="715">
        <f t="shared" ref="S101" si="143">R101</f>
        <v>0</v>
      </c>
      <c r="T101" s="715">
        <f t="shared" ref="T101" si="144">S101</f>
        <v>0</v>
      </c>
      <c r="U101" s="715">
        <f t="shared" ref="U101" si="145">T101</f>
        <v>0</v>
      </c>
      <c r="V101" s="715">
        <f t="shared" ref="V101" si="146">U101</f>
        <v>0</v>
      </c>
      <c r="W101" s="716">
        <f t="shared" ref="W101" si="147">V101</f>
        <v>0</v>
      </c>
    </row>
    <row r="102" spans="3:23">
      <c r="C102" s="622" t="s">
        <v>534</v>
      </c>
      <c r="D102" s="717">
        <f>+CS!D32+CS!D31</f>
        <v>33.591999999999999</v>
      </c>
      <c r="E102" s="718">
        <f>+CS!E32+CS!E31</f>
        <v>316.90100000000001</v>
      </c>
      <c r="F102" s="717">
        <f>+CS!F32+CS!F31</f>
        <v>72.578999999999994</v>
      </c>
      <c r="G102" s="717">
        <f>+CS!G32+CS!G31</f>
        <v>197.36799999999999</v>
      </c>
      <c r="H102" s="717">
        <f>+CS!H32+CS!H31</f>
        <v>951.30199999999991</v>
      </c>
      <c r="I102" s="717">
        <f>+CS!I32+CS!I31</f>
        <v>787.16499999999996</v>
      </c>
      <c r="J102" s="717">
        <f>+CS!J32+CS!J31</f>
        <v>60.859000000000002</v>
      </c>
      <c r="K102" s="717">
        <f>+CS!K32+CS!K31</f>
        <v>4.4273630602148888E-2</v>
      </c>
      <c r="L102" s="717">
        <f>+CS!L32+CS!L31</f>
        <v>4.4586433753087761E-2</v>
      </c>
      <c r="M102" s="717">
        <f>+CS!M32+CS!M31</f>
        <v>4.4901446928592215E-2</v>
      </c>
      <c r="N102" s="717">
        <f>+CS!N32+CS!N31</f>
        <v>4.521868574298249E-2</v>
      </c>
      <c r="O102" s="717">
        <f>+CS!O32+CS!O31</f>
        <v>4.5538165920897551E-2</v>
      </c>
      <c r="P102" s="717">
        <f>+CS!P32+CS!P31</f>
        <v>4.5859903298074441E-2</v>
      </c>
      <c r="Q102" s="717">
        <f>+CS!Q32+CS!Q31</f>
        <v>4.6183913822133292E-2</v>
      </c>
      <c r="R102" s="717">
        <f>+CS!R32+CS!R31</f>
        <v>4.6510213553367714E-2</v>
      </c>
      <c r="S102" s="717">
        <f>+CS!S32+CS!S31</f>
        <v>4.6838818665540911E-2</v>
      </c>
      <c r="T102" s="717">
        <f>+CS!T32+CS!T31</f>
        <v>4.716974544668736E-2</v>
      </c>
      <c r="U102" s="717">
        <f>+CS!U32+CS!U31</f>
        <v>4.7503010299920177E-2</v>
      </c>
      <c r="V102" s="717">
        <f>+CS!V32+CS!V31</f>
        <v>4.7838629744244125E-2</v>
      </c>
      <c r="W102" s="27">
        <f>+CS!W32+CS!W31</f>
        <v>4.8176620415374495E-2</v>
      </c>
    </row>
    <row r="104" spans="3:23" customFormat="1"/>
  </sheetData>
  <pageMargins left="0" right="0" top="0" bottom="0" header="0" footer="0"/>
  <pageSetup paperSize="5" scale="20"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J145"/>
  <sheetViews>
    <sheetView zoomScale="85" zoomScaleNormal="85" workbookViewId="0">
      <selection activeCell="C29" sqref="C29"/>
    </sheetView>
  </sheetViews>
  <sheetFormatPr defaultRowHeight="13.5"/>
  <cols>
    <col min="1" max="1" width="2.125" style="94" customWidth="1"/>
    <col min="2" max="2" width="2" style="92" customWidth="1"/>
    <col min="3" max="3" width="62.875" style="92" bestFit="1" customWidth="1"/>
    <col min="4" max="8" width="8.5" style="137" hidden="1" customWidth="1"/>
    <col min="9" max="23" width="8.5" style="137" customWidth="1"/>
    <col min="24" max="24" width="9" style="92" customWidth="1"/>
    <col min="25" max="25" width="9" style="92"/>
    <col min="26" max="26" width="38.125" customWidth="1"/>
    <col min="32" max="62" width="9" style="92"/>
    <col min="63" max="16384" width="9" style="94"/>
  </cols>
  <sheetData>
    <row r="1" spans="2:62" s="140" customFormat="1">
      <c r="B1" s="138"/>
      <c r="C1" s="138"/>
      <c r="D1" s="732"/>
      <c r="E1" s="139"/>
      <c r="F1" s="139"/>
      <c r="G1" s="139"/>
      <c r="H1" s="139"/>
      <c r="I1" s="139"/>
      <c r="J1" s="139"/>
      <c r="K1" s="139"/>
      <c r="L1" s="139"/>
      <c r="M1" s="139"/>
      <c r="N1" s="139"/>
      <c r="O1" s="139"/>
      <c r="P1" s="139"/>
      <c r="Q1" s="139"/>
      <c r="R1" s="139"/>
      <c r="S1" s="139"/>
      <c r="T1" s="139"/>
      <c r="U1" s="139"/>
      <c r="V1" s="139"/>
      <c r="W1" s="139"/>
      <c r="X1" s="138"/>
      <c r="Y1" s="138"/>
      <c r="Z1"/>
      <c r="AA1"/>
      <c r="AB1"/>
      <c r="AC1"/>
      <c r="AD1"/>
      <c r="AE1"/>
      <c r="AF1" s="138"/>
      <c r="AG1" s="138" t="s">
        <v>575</v>
      </c>
      <c r="AH1" s="142" t="str">
        <f>IS!DH1</f>
        <v>BMRN.O</v>
      </c>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2:62" s="67" customFormat="1" ht="12.75" customHeight="1">
      <c r="B2" s="65"/>
      <c r="C2" s="66" t="s">
        <v>357</v>
      </c>
      <c r="D2" s="408">
        <v>2011</v>
      </c>
      <c r="E2" s="408">
        <v>2012</v>
      </c>
      <c r="F2" s="408">
        <v>2013</v>
      </c>
      <c r="G2" s="408">
        <v>2014</v>
      </c>
      <c r="H2" s="408">
        <v>2015</v>
      </c>
      <c r="I2" s="408">
        <v>2016</v>
      </c>
      <c r="J2" s="408">
        <v>2017</v>
      </c>
      <c r="K2" s="408" t="s">
        <v>57</v>
      </c>
      <c r="L2" s="408" t="s">
        <v>62</v>
      </c>
      <c r="M2" s="408" t="s">
        <v>67</v>
      </c>
      <c r="N2" s="408" t="s">
        <v>8</v>
      </c>
      <c r="O2" s="408" t="s">
        <v>3</v>
      </c>
      <c r="P2" s="408" t="s">
        <v>4</v>
      </c>
      <c r="Q2" s="408" t="s">
        <v>5</v>
      </c>
      <c r="R2" s="408" t="s">
        <v>6</v>
      </c>
      <c r="S2" s="408" t="s">
        <v>487</v>
      </c>
      <c r="T2" s="408" t="s">
        <v>492</v>
      </c>
      <c r="U2" s="408" t="s">
        <v>497</v>
      </c>
      <c r="V2" s="408" t="s">
        <v>502</v>
      </c>
      <c r="W2" s="408" t="s">
        <v>507</v>
      </c>
      <c r="Z2"/>
      <c r="AA2"/>
      <c r="AB2"/>
      <c r="AC2"/>
      <c r="AD2"/>
      <c r="AE2"/>
      <c r="AG2" s="67" t="s">
        <v>531</v>
      </c>
      <c r="AH2" s="734" t="str">
        <f>IS!DH2</f>
        <v>USD</v>
      </c>
    </row>
    <row r="3" spans="2:62" s="70" customFormat="1" ht="12.75" customHeight="1">
      <c r="B3" s="68"/>
      <c r="C3" s="69" t="s">
        <v>284</v>
      </c>
      <c r="D3" s="91"/>
      <c r="E3" s="91"/>
      <c r="F3" s="91"/>
      <c r="G3" s="91"/>
      <c r="H3" s="91"/>
      <c r="I3" s="91"/>
      <c r="J3" s="91"/>
      <c r="K3" s="91"/>
      <c r="L3" s="91"/>
      <c r="M3" s="91"/>
      <c r="N3" s="91"/>
      <c r="O3" s="91"/>
      <c r="P3" s="91"/>
      <c r="Q3" s="91"/>
      <c r="R3" s="91"/>
      <c r="S3" s="91"/>
      <c r="T3" s="91"/>
      <c r="U3" s="91"/>
      <c r="V3" s="91"/>
      <c r="W3" s="91"/>
      <c r="Z3"/>
      <c r="AA3"/>
      <c r="AB3"/>
      <c r="AC3"/>
      <c r="AD3"/>
      <c r="AE3"/>
      <c r="AH3" s="142"/>
    </row>
    <row r="4" spans="2:62" s="140" customFormat="1">
      <c r="B4" s="138"/>
      <c r="C4" s="93" t="s">
        <v>320</v>
      </c>
      <c r="D4" s="141"/>
      <c r="E4" s="141"/>
      <c r="F4" s="141"/>
      <c r="G4" s="141"/>
      <c r="H4" s="152"/>
      <c r="I4" s="152"/>
      <c r="J4" s="152"/>
      <c r="K4" s="152"/>
      <c r="L4" s="152"/>
      <c r="M4" s="152"/>
      <c r="N4" s="152"/>
      <c r="O4" s="152"/>
      <c r="P4" s="152"/>
      <c r="Q4" s="601"/>
      <c r="R4" s="601"/>
      <c r="S4" s="601"/>
      <c r="T4" s="601"/>
      <c r="U4" s="601"/>
      <c r="V4" s="601"/>
      <c r="W4" s="601"/>
      <c r="X4" s="138"/>
      <c r="Y4" s="138"/>
      <c r="Z4"/>
      <c r="AA4"/>
      <c r="AB4"/>
      <c r="AC4"/>
      <c r="AD4"/>
      <c r="AE4"/>
      <c r="AF4" s="138"/>
      <c r="AG4" s="142"/>
      <c r="AH4" s="142"/>
      <c r="AI4" s="138"/>
      <c r="AJ4" s="138"/>
      <c r="AK4" s="138"/>
      <c r="AL4" s="138"/>
      <c r="AM4" s="138"/>
      <c r="AN4" s="138"/>
      <c r="AO4" s="138"/>
      <c r="AP4" s="138"/>
      <c r="AQ4" s="138"/>
      <c r="AR4" s="138"/>
      <c r="AS4" s="138"/>
      <c r="AT4" s="138"/>
      <c r="AU4" s="138"/>
      <c r="AV4" s="138"/>
      <c r="AW4" s="138"/>
      <c r="AX4" s="138"/>
      <c r="AY4" s="138"/>
      <c r="AZ4" s="138"/>
      <c r="BA4" s="138"/>
      <c r="BB4" s="138"/>
      <c r="BC4" s="138"/>
      <c r="BD4" s="138"/>
      <c r="BE4" s="138"/>
      <c r="BF4" s="138"/>
      <c r="BG4" s="138"/>
      <c r="BH4" s="138"/>
      <c r="BI4" s="138"/>
      <c r="BJ4" s="138"/>
    </row>
    <row r="5" spans="2:62" s="140" customFormat="1">
      <c r="B5" s="138"/>
      <c r="C5" s="93"/>
      <c r="D5" s="141"/>
      <c r="E5" s="141"/>
      <c r="F5" s="141"/>
      <c r="G5" s="141"/>
      <c r="H5" s="152"/>
      <c r="I5" s="152"/>
      <c r="J5" s="152"/>
      <c r="K5" s="152"/>
      <c r="L5" s="152"/>
      <c r="M5" s="152"/>
      <c r="N5" s="152"/>
      <c r="O5" s="152"/>
      <c r="P5" s="152"/>
      <c r="Q5" s="601"/>
      <c r="R5" s="601"/>
      <c r="S5" s="601"/>
      <c r="T5" s="601"/>
      <c r="U5" s="601"/>
      <c r="V5" s="601"/>
      <c r="W5" s="601"/>
      <c r="X5" s="138"/>
      <c r="Y5" s="138"/>
      <c r="Z5"/>
      <c r="AA5"/>
      <c r="AB5"/>
      <c r="AC5"/>
      <c r="AD5"/>
      <c r="AE5"/>
      <c r="AF5" s="138"/>
      <c r="AG5" s="142"/>
      <c r="AH5" s="142"/>
      <c r="AI5" s="138"/>
      <c r="AJ5" s="138"/>
      <c r="AK5" s="138"/>
      <c r="AL5" s="138"/>
      <c r="AM5" s="138"/>
      <c r="AN5" s="138"/>
      <c r="AO5" s="138"/>
      <c r="AP5" s="138"/>
      <c r="AQ5" s="138"/>
      <c r="AR5" s="138"/>
      <c r="AS5" s="138"/>
      <c r="AT5" s="138"/>
      <c r="AU5" s="138"/>
      <c r="AV5" s="138"/>
      <c r="AW5" s="138"/>
      <c r="AX5" s="138"/>
      <c r="AY5" s="138"/>
      <c r="AZ5" s="138"/>
      <c r="BA5" s="138"/>
      <c r="BB5" s="138"/>
      <c r="BC5" s="138"/>
      <c r="BD5" s="138"/>
      <c r="BE5" s="138"/>
      <c r="BF5" s="138"/>
      <c r="BG5" s="138"/>
      <c r="BH5" s="138"/>
      <c r="BI5" s="138"/>
      <c r="BJ5" s="138"/>
    </row>
    <row r="6" spans="2:62" s="143" customFormat="1">
      <c r="B6" s="142"/>
      <c r="C6" s="95" t="s">
        <v>321</v>
      </c>
      <c r="D6" s="97">
        <v>-53.835999999999999</v>
      </c>
      <c r="E6" s="97">
        <v>-114.34699999999999</v>
      </c>
      <c r="F6" s="97">
        <v>-176.35300000000001</v>
      </c>
      <c r="G6" s="97">
        <v>-133.96899999999999</v>
      </c>
      <c r="H6" s="97">
        <v>-171.79900000000001</v>
      </c>
      <c r="I6" s="97">
        <v>-630.21</v>
      </c>
      <c r="J6" s="97">
        <v>-117.042</v>
      </c>
      <c r="K6" s="97">
        <f>BS!K45</f>
        <v>-178.37538489318837</v>
      </c>
      <c r="L6" s="97">
        <f>BS!L45</f>
        <v>-132.0550857050917</v>
      </c>
      <c r="M6" s="97">
        <f>BS!M45</f>
        <v>15.507533251127995</v>
      </c>
      <c r="N6" s="97">
        <f>BS!N45</f>
        <v>219.92742857831655</v>
      </c>
      <c r="O6" s="97">
        <f>BS!O45</f>
        <v>427.40998228884285</v>
      </c>
      <c r="P6" s="97">
        <f>BS!P45</f>
        <v>647.62888474462102</v>
      </c>
      <c r="Q6" s="151">
        <f>BS!Q45</f>
        <v>951.92750271350474</v>
      </c>
      <c r="R6" s="151">
        <f>BS!R45</f>
        <v>1239.0677211837997</v>
      </c>
      <c r="S6" s="151">
        <f>BS!S45</f>
        <v>1503.9185993039973</v>
      </c>
      <c r="T6" s="151">
        <f>BS!T45</f>
        <v>1726.0932249835823</v>
      </c>
      <c r="U6" s="151">
        <f>BS!U45</f>
        <v>1873.8176179026525</v>
      </c>
      <c r="V6" s="151">
        <f>BS!V45</f>
        <v>2035.6375352478258</v>
      </c>
      <c r="W6" s="151">
        <f>BS!W45</f>
        <v>2191.8045745033146</v>
      </c>
      <c r="X6" s="142"/>
      <c r="Y6" s="142"/>
      <c r="Z6"/>
      <c r="AA6"/>
      <c r="AB6"/>
      <c r="AC6"/>
      <c r="AD6"/>
      <c r="AE6"/>
      <c r="AF6" s="142"/>
      <c r="AG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row>
    <row r="7" spans="2:62" s="143" customFormat="1">
      <c r="B7" s="142"/>
      <c r="C7" s="95" t="s">
        <v>322</v>
      </c>
      <c r="D7" s="144"/>
      <c r="E7" s="144"/>
      <c r="F7" s="144"/>
      <c r="G7" s="144"/>
      <c r="H7" s="144"/>
      <c r="I7" s="144"/>
      <c r="J7" s="144"/>
      <c r="K7" s="144"/>
      <c r="L7" s="144"/>
      <c r="M7" s="144"/>
      <c r="N7" s="144"/>
      <c r="O7" s="144"/>
      <c r="P7" s="144"/>
      <c r="Q7" s="602"/>
      <c r="R7" s="602"/>
      <c r="S7" s="602"/>
      <c r="T7" s="602"/>
      <c r="U7" s="602"/>
      <c r="V7" s="602"/>
      <c r="W7" s="602"/>
      <c r="X7" s="142"/>
      <c r="Y7" s="142"/>
      <c r="Z7"/>
      <c r="AA7"/>
      <c r="AB7"/>
      <c r="AC7"/>
      <c r="AD7"/>
      <c r="AE7"/>
      <c r="AF7" s="142"/>
      <c r="AG7" s="142"/>
      <c r="AH7" s="142"/>
      <c r="AI7" s="142"/>
      <c r="AJ7" s="142"/>
      <c r="AK7" s="142"/>
      <c r="AL7" s="142"/>
      <c r="AM7" s="142"/>
      <c r="AN7" s="142"/>
      <c r="AO7" s="142"/>
      <c r="AP7" s="142"/>
      <c r="AQ7" s="142"/>
      <c r="AR7" s="142"/>
      <c r="AS7" s="142"/>
      <c r="AT7" s="142"/>
      <c r="AU7" s="142"/>
      <c r="AV7" s="142"/>
      <c r="AW7" s="142"/>
      <c r="AX7" s="142"/>
      <c r="AY7" s="142"/>
      <c r="AZ7" s="142"/>
      <c r="BA7" s="142"/>
      <c r="BB7" s="142"/>
      <c r="BC7" s="142"/>
      <c r="BD7" s="142"/>
      <c r="BE7" s="142"/>
      <c r="BF7" s="142"/>
      <c r="BG7" s="142"/>
      <c r="BH7" s="142"/>
      <c r="BI7" s="142"/>
      <c r="BJ7" s="142"/>
    </row>
    <row r="8" spans="2:62" s="143" customFormat="1">
      <c r="B8" s="142"/>
      <c r="C8" s="96" t="s">
        <v>366</v>
      </c>
      <c r="D8" s="97">
        <v>36.094000000000001</v>
      </c>
      <c r="E8" s="97">
        <v>44.335000000000001</v>
      </c>
      <c r="F8" s="97">
        <v>47.264000000000003</v>
      </c>
      <c r="G8" s="97">
        <v>45.871000000000002</v>
      </c>
      <c r="H8" s="97">
        <v>47.186999999999998</v>
      </c>
      <c r="I8" s="97">
        <v>96.912000000000006</v>
      </c>
      <c r="J8" s="97">
        <v>87.861000000000004</v>
      </c>
      <c r="K8" s="97">
        <f>-BS!K73</f>
        <v>74.588782413449891</v>
      </c>
      <c r="L8" s="97">
        <f>-BS!L73</f>
        <v>82.442960667772496</v>
      </c>
      <c r="M8" s="97">
        <f>-BS!M73</f>
        <v>89.912126479990917</v>
      </c>
      <c r="N8" s="97">
        <f>-BS!N73</f>
        <v>97.041463104686216</v>
      </c>
      <c r="O8" s="97">
        <f>-BS!O73</f>
        <v>103.90010800073503</v>
      </c>
      <c r="P8" s="97">
        <f>-BS!P73</f>
        <v>119.41801392308359</v>
      </c>
      <c r="Q8" s="151">
        <f>-BS!Q73</f>
        <v>105.15623796290605</v>
      </c>
      <c r="R8" s="151">
        <f>-BS!R73</f>
        <v>125.29507473898647</v>
      </c>
      <c r="S8" s="151">
        <f>-BS!S73</f>
        <v>132.35985196539897</v>
      </c>
      <c r="T8" s="151">
        <f>-BS!T73</f>
        <v>139.0927773408562</v>
      </c>
      <c r="U8" s="151">
        <f>-BS!U73</f>
        <v>145.82257581514094</v>
      </c>
      <c r="V8" s="151">
        <f>-BS!V73</f>
        <v>153.06355366071739</v>
      </c>
      <c r="W8" s="151">
        <f>-BS!W73</f>
        <v>160.82707857278646</v>
      </c>
      <c r="X8" s="142"/>
      <c r="Y8" s="142"/>
      <c r="Z8"/>
      <c r="AA8"/>
      <c r="AB8"/>
      <c r="AC8"/>
      <c r="AD8"/>
      <c r="AE8"/>
      <c r="AF8" s="142"/>
      <c r="AG8" s="142"/>
      <c r="AH8" s="142"/>
      <c r="AI8" s="142"/>
      <c r="AJ8" s="142"/>
      <c r="AK8" s="142"/>
      <c r="AL8" s="142"/>
      <c r="AM8" s="142"/>
      <c r="AN8" s="142"/>
      <c r="AO8" s="142"/>
      <c r="AP8" s="142"/>
      <c r="AQ8" s="142"/>
      <c r="AR8" s="142"/>
      <c r="AS8" s="142"/>
      <c r="AT8" s="142"/>
      <c r="AU8" s="142"/>
      <c r="AV8" s="142"/>
      <c r="AW8" s="142"/>
      <c r="AX8" s="142"/>
      <c r="AY8" s="142"/>
      <c r="AZ8" s="142"/>
      <c r="BA8" s="142"/>
      <c r="BB8" s="142"/>
      <c r="BC8" s="142"/>
      <c r="BD8" s="142"/>
      <c r="BE8" s="142"/>
      <c r="BF8" s="142"/>
      <c r="BG8" s="142"/>
      <c r="BH8" s="142"/>
      <c r="BI8" s="142"/>
      <c r="BJ8" s="142"/>
    </row>
    <row r="9" spans="2:62" s="143" customFormat="1">
      <c r="B9" s="142"/>
      <c r="C9" s="96" t="s">
        <v>367</v>
      </c>
      <c r="D9" s="97">
        <v>43.908999999999999</v>
      </c>
      <c r="E9" s="97">
        <v>47.34</v>
      </c>
      <c r="F9" s="97">
        <v>66.180999999999997</v>
      </c>
      <c r="G9" s="97">
        <v>86.41</v>
      </c>
      <c r="H9" s="97">
        <v>111.52500000000001</v>
      </c>
      <c r="I9" s="97">
        <v>134.64099999999999</v>
      </c>
      <c r="J9" s="97">
        <v>140.26300000000001</v>
      </c>
      <c r="K9" s="97">
        <f>K73</f>
        <v>153.66210000000001</v>
      </c>
      <c r="L9" s="97">
        <f t="shared" ref="L9:W9" si="0">L73</f>
        <v>168.47254500000003</v>
      </c>
      <c r="M9" s="97">
        <f t="shared" si="0"/>
        <v>180.81620925000004</v>
      </c>
      <c r="N9" s="97">
        <f t="shared" si="0"/>
        <v>194.07105948750001</v>
      </c>
      <c r="O9" s="97">
        <f t="shared" si="0"/>
        <v>208.30470522000002</v>
      </c>
      <c r="P9" s="97">
        <f t="shared" si="0"/>
        <v>223.58979019598439</v>
      </c>
      <c r="Q9" s="97">
        <f t="shared" si="0"/>
        <v>240.00436814939178</v>
      </c>
      <c r="R9" s="97">
        <f t="shared" si="0"/>
        <v>257.6323066337402</v>
      </c>
      <c r="S9" s="97">
        <f t="shared" si="0"/>
        <v>276.5637210480719</v>
      </c>
      <c r="T9" s="97">
        <f t="shared" si="0"/>
        <v>296.8954411143186</v>
      </c>
      <c r="U9" s="97">
        <f t="shared" si="0"/>
        <v>276.5637210480719</v>
      </c>
      <c r="V9" s="97">
        <f t="shared" si="0"/>
        <v>342.18373434140904</v>
      </c>
      <c r="W9" s="97">
        <f t="shared" si="0"/>
        <v>367.37224104033294</v>
      </c>
      <c r="X9" s="142"/>
      <c r="Y9" s="142"/>
      <c r="Z9"/>
      <c r="AA9"/>
      <c r="AB9"/>
      <c r="AC9"/>
      <c r="AD9"/>
      <c r="AE9"/>
      <c r="AF9" s="142"/>
      <c r="AG9" s="142"/>
      <c r="AH9" s="142"/>
      <c r="AI9" s="142"/>
      <c r="AJ9" s="142"/>
      <c r="AK9" s="142"/>
      <c r="AL9" s="142"/>
      <c r="AM9" s="142"/>
      <c r="AN9" s="142"/>
      <c r="AO9" s="142"/>
      <c r="AP9" s="142"/>
      <c r="AQ9" s="142"/>
      <c r="AR9" s="142"/>
      <c r="AS9" s="142"/>
      <c r="AT9" s="142"/>
      <c r="AU9" s="142"/>
      <c r="AV9" s="142"/>
      <c r="AW9" s="142"/>
      <c r="AX9" s="142"/>
      <c r="AY9" s="142"/>
      <c r="AZ9" s="142"/>
      <c r="BA9" s="142"/>
      <c r="BB9" s="142"/>
      <c r="BC9" s="142"/>
      <c r="BD9" s="142"/>
      <c r="BE9" s="142"/>
      <c r="BF9" s="142"/>
      <c r="BG9" s="142"/>
      <c r="BH9" s="142"/>
      <c r="BI9" s="142"/>
      <c r="BJ9" s="142"/>
    </row>
    <row r="10" spans="2:62" s="143" customFormat="1">
      <c r="B10" s="142"/>
      <c r="C10" s="96" t="s">
        <v>368</v>
      </c>
      <c r="D10" s="97">
        <f>4.036+2.426+4.363-0.415+7.174-1.795+1.896</f>
        <v>17.684999999999999</v>
      </c>
      <c r="E10" s="97">
        <f>0.96+4.469+1.221+6.707+2-9.921-0.473-6.529+8.788</f>
        <v>7.2220000000000004</v>
      </c>
      <c r="F10" s="97">
        <f>5.875+5.78+1.149+0.939-9.156-0.733-0.658+10.197+12.965</f>
        <v>26.358000000000001</v>
      </c>
      <c r="G10" s="97">
        <f>27.225+7.211-67.5-10.092-25.617-1.491-0.832+11.567+0.674+4.514</f>
        <v>-54.340999999999987</v>
      </c>
      <c r="H10" s="97">
        <f>28.493+2.177-369.498-3.022+211.502-76.827-2.19-19.575-28.457+0.163+2.3</f>
        <v>-254.93399999999991</v>
      </c>
      <c r="I10" s="97">
        <f>29.93+1.3+0.108+599.118-228.054-14.481-57.161+0.336</f>
        <v>331.09600000000006</v>
      </c>
      <c r="J10" s="97">
        <f>32.3+3.077-125-3.252+44.464+6.258+10.342+5.935</f>
        <v>-25.876000000000001</v>
      </c>
      <c r="K10" s="97">
        <v>0</v>
      </c>
      <c r="L10" s="97">
        <v>0</v>
      </c>
      <c r="M10" s="97">
        <v>0</v>
      </c>
      <c r="N10" s="97">
        <v>0</v>
      </c>
      <c r="O10" s="97">
        <v>0</v>
      </c>
      <c r="P10" s="97">
        <v>0</v>
      </c>
      <c r="Q10" s="151">
        <v>0</v>
      </c>
      <c r="R10" s="151">
        <v>0</v>
      </c>
      <c r="S10" s="151">
        <v>0</v>
      </c>
      <c r="T10" s="151">
        <v>0</v>
      </c>
      <c r="U10" s="151">
        <v>0</v>
      </c>
      <c r="V10" s="151">
        <v>0</v>
      </c>
      <c r="W10" s="151">
        <v>0</v>
      </c>
      <c r="X10" s="142"/>
      <c r="Y10" s="142"/>
      <c r="Z10"/>
      <c r="AA10"/>
      <c r="AB10"/>
      <c r="AC10"/>
      <c r="AD10"/>
      <c r="AE10"/>
      <c r="AF10" s="142"/>
      <c r="AG10" s="142"/>
      <c r="AH10" s="142"/>
      <c r="AI10" s="142"/>
      <c r="AJ10" s="142"/>
      <c r="AK10" s="142"/>
      <c r="AL10" s="142"/>
      <c r="AM10" s="142"/>
      <c r="AN10" s="142"/>
      <c r="AO10" s="142"/>
      <c r="AP10" s="142"/>
      <c r="AQ10" s="142"/>
      <c r="AR10" s="142"/>
      <c r="AS10" s="142"/>
      <c r="AT10" s="142"/>
      <c r="AU10" s="142"/>
      <c r="AV10" s="142"/>
      <c r="AW10" s="142"/>
      <c r="AX10" s="142"/>
      <c r="AY10" s="142"/>
      <c r="AZ10" s="142"/>
      <c r="BA10" s="142"/>
      <c r="BB10" s="142"/>
      <c r="BC10" s="142"/>
      <c r="BD10" s="142"/>
      <c r="BE10" s="142"/>
      <c r="BF10" s="142"/>
      <c r="BG10" s="142"/>
      <c r="BH10" s="142"/>
      <c r="BI10" s="142"/>
      <c r="BJ10" s="142"/>
    </row>
    <row r="11" spans="2:62" s="143" customFormat="1">
      <c r="B11" s="142"/>
      <c r="C11" s="145"/>
      <c r="D11" s="97"/>
      <c r="E11" s="97"/>
      <c r="F11" s="97"/>
      <c r="G11" s="97"/>
      <c r="H11" s="97"/>
      <c r="I11" s="97"/>
      <c r="J11" s="97"/>
      <c r="K11" s="97"/>
      <c r="L11" s="97"/>
      <c r="M11" s="97"/>
      <c r="N11" s="97"/>
      <c r="O11" s="97"/>
      <c r="P11" s="97"/>
      <c r="Q11" s="151"/>
      <c r="R11" s="151"/>
      <c r="S11" s="151"/>
      <c r="T11" s="151"/>
      <c r="U11" s="151"/>
      <c r="V11" s="151"/>
      <c r="W11" s="151"/>
      <c r="X11" s="142"/>
      <c r="Y11" s="142"/>
      <c r="Z11"/>
      <c r="AA11"/>
      <c r="AB11"/>
      <c r="AC11"/>
      <c r="AD11"/>
      <c r="AE11"/>
      <c r="AF11" s="142"/>
      <c r="AG11" s="142"/>
      <c r="AH11" s="142"/>
      <c r="AI11" s="142"/>
      <c r="AJ11" s="142"/>
      <c r="AK11" s="142"/>
      <c r="AL11" s="142"/>
      <c r="AM11" s="142"/>
      <c r="AN11" s="142"/>
      <c r="AO11" s="142"/>
      <c r="AP11" s="142"/>
      <c r="AQ11" s="142"/>
      <c r="AR11" s="142"/>
      <c r="AS11" s="142"/>
      <c r="AT11" s="142"/>
      <c r="AU11" s="142"/>
      <c r="AV11" s="142"/>
      <c r="AW11" s="142"/>
      <c r="AX11" s="142"/>
      <c r="AY11" s="142"/>
      <c r="AZ11" s="142"/>
      <c r="BA11" s="142"/>
      <c r="BB11" s="142"/>
      <c r="BC11" s="142"/>
      <c r="BD11" s="142"/>
      <c r="BE11" s="142"/>
      <c r="BF11" s="142"/>
      <c r="BG11" s="142"/>
      <c r="BH11" s="142"/>
      <c r="BI11" s="142"/>
      <c r="BJ11" s="142"/>
    </row>
    <row r="12" spans="2:62" s="143" customFormat="1">
      <c r="B12" s="142"/>
      <c r="C12" s="95" t="s">
        <v>323</v>
      </c>
      <c r="D12" s="97"/>
      <c r="E12" s="97"/>
      <c r="F12" s="97"/>
      <c r="G12" s="97"/>
      <c r="H12" s="97"/>
      <c r="I12" s="97"/>
      <c r="J12" s="97"/>
      <c r="K12" s="97"/>
      <c r="L12" s="97"/>
      <c r="M12" s="97"/>
      <c r="N12" s="97"/>
      <c r="O12" s="97"/>
      <c r="P12" s="97"/>
      <c r="Q12" s="151"/>
      <c r="R12" s="151"/>
      <c r="S12" s="151"/>
      <c r="T12" s="151"/>
      <c r="U12" s="151"/>
      <c r="V12" s="151"/>
      <c r="W12" s="151"/>
      <c r="X12" s="142"/>
      <c r="Y12" s="142"/>
      <c r="Z12"/>
      <c r="AA12"/>
      <c r="AB12"/>
      <c r="AC12"/>
      <c r="AD12"/>
      <c r="AE12"/>
      <c r="AF12" s="142"/>
      <c r="AG12" s="142"/>
      <c r="AH12" s="142"/>
      <c r="AI12" s="142"/>
      <c r="AJ12" s="142"/>
      <c r="AK12" s="142"/>
      <c r="AL12" s="142"/>
      <c r="AM12" s="142"/>
      <c r="AN12" s="142"/>
      <c r="AO12" s="142"/>
      <c r="AP12" s="142"/>
      <c r="AQ12" s="142"/>
      <c r="AR12" s="142"/>
      <c r="AS12" s="142"/>
      <c r="AT12" s="142"/>
      <c r="AU12" s="142"/>
      <c r="AV12" s="142"/>
      <c r="AW12" s="142"/>
      <c r="AX12" s="142"/>
      <c r="AY12" s="142"/>
      <c r="AZ12" s="142"/>
      <c r="BA12" s="142"/>
      <c r="BB12" s="142"/>
      <c r="BC12" s="142"/>
      <c r="BD12" s="142"/>
      <c r="BE12" s="142"/>
      <c r="BF12" s="142"/>
      <c r="BG12" s="142"/>
      <c r="BH12" s="142"/>
      <c r="BI12" s="142"/>
      <c r="BJ12" s="142"/>
    </row>
    <row r="13" spans="2:62" s="143" customFormat="1">
      <c r="B13" s="142"/>
      <c r="C13" s="96" t="s">
        <v>359</v>
      </c>
      <c r="D13" s="97">
        <v>-18.456</v>
      </c>
      <c r="E13" s="97">
        <v>-4.2270000000000003</v>
      </c>
      <c r="F13" s="97">
        <v>-8.7560000000000002</v>
      </c>
      <c r="G13" s="97">
        <v>-25.951000000000001</v>
      </c>
      <c r="H13" s="97">
        <v>-16.367000000000001</v>
      </c>
      <c r="I13" s="97">
        <v>-51.482999999999997</v>
      </c>
      <c r="J13" s="97">
        <v>-25.256</v>
      </c>
      <c r="K13" s="97">
        <f>BS!J7-BS!K7</f>
        <v>-5.0115059006612341</v>
      </c>
      <c r="L13" s="97">
        <f>BS!K7-BS!L7</f>
        <v>-1.7570164310241694</v>
      </c>
      <c r="M13" s="97">
        <f>BS!L7-BS!M7</f>
        <v>-3.1925218411353171</v>
      </c>
      <c r="N13" s="97">
        <f>BS!M7-BS!N7</f>
        <v>-3.7304127379798047</v>
      </c>
      <c r="O13" s="97">
        <f>BS!N7-BS!O7</f>
        <v>-10.063605295307013</v>
      </c>
      <c r="P13" s="97">
        <f>BS!O7-BS!P7</f>
        <v>-2.7912477332591834</v>
      </c>
      <c r="Q13" s="151">
        <f>BS!P7-BS!Q7</f>
        <v>-6.8033414166615103</v>
      </c>
      <c r="R13" s="151">
        <f>BS!Q7-BS!R7</f>
        <v>-9.7677199381187165</v>
      </c>
      <c r="S13" s="151">
        <f>BS!R7-BS!S7</f>
        <v>-10.75117128322546</v>
      </c>
      <c r="T13" s="151">
        <f>BS!S7-BS!T7</f>
        <v>-2.0029554788202404</v>
      </c>
      <c r="U13" s="151">
        <f>BS!T7-BS!U7</f>
        <v>-112.1203199731454</v>
      </c>
      <c r="V13" s="151">
        <f>BS!U7-BS!V7</f>
        <v>-59.456215754656796</v>
      </c>
      <c r="W13" s="151">
        <f>BS!V7-BS!W7</f>
        <v>-62.623914087393075</v>
      </c>
      <c r="X13" s="142"/>
      <c r="Y13" s="142"/>
      <c r="Z13"/>
      <c r="AA13"/>
      <c r="AB13"/>
      <c r="AC13"/>
      <c r="AD13"/>
      <c r="AE13"/>
      <c r="AF13" s="142"/>
      <c r="AG13" s="142"/>
      <c r="AH13" s="142"/>
      <c r="AI13" s="142"/>
      <c r="AJ13" s="142"/>
      <c r="AK13" s="142"/>
      <c r="AL13" s="142"/>
      <c r="AM13" s="142"/>
      <c r="AN13" s="142"/>
      <c r="AO13" s="142"/>
      <c r="AP13" s="142"/>
      <c r="AQ13" s="142"/>
      <c r="AR13" s="142"/>
      <c r="AS13" s="142"/>
      <c r="AT13" s="142"/>
      <c r="AU13" s="142"/>
      <c r="AV13" s="142"/>
      <c r="AW13" s="142"/>
      <c r="AX13" s="142"/>
      <c r="AY13" s="142"/>
      <c r="AZ13" s="142"/>
      <c r="BA13" s="142"/>
      <c r="BB13" s="142"/>
      <c r="BC13" s="142"/>
      <c r="BD13" s="142"/>
      <c r="BE13" s="142"/>
      <c r="BF13" s="142"/>
      <c r="BG13" s="142"/>
      <c r="BH13" s="142"/>
      <c r="BI13" s="142"/>
      <c r="BJ13" s="142"/>
    </row>
    <row r="14" spans="2:62" s="143" customFormat="1">
      <c r="B14" s="142"/>
      <c r="C14" s="96" t="s">
        <v>86</v>
      </c>
      <c r="D14" s="97">
        <v>-20.420000000000002</v>
      </c>
      <c r="E14" s="97">
        <v>1.423</v>
      </c>
      <c r="F14" s="97">
        <v>-33.909999999999997</v>
      </c>
      <c r="G14" s="97">
        <v>-22.338999999999999</v>
      </c>
      <c r="H14" s="97">
        <v>-50.988999999999997</v>
      </c>
      <c r="I14" s="97">
        <v>-64.512</v>
      </c>
      <c r="J14" s="97">
        <v>-96.89</v>
      </c>
      <c r="K14" s="97">
        <f>BS!J8-BS!K8</f>
        <v>2.2167672877132532</v>
      </c>
      <c r="L14" s="97">
        <f>BS!K8-BS!L8</f>
        <v>-12.433776513893065</v>
      </c>
      <c r="M14" s="97">
        <f>BS!L8-BS!M8</f>
        <v>3.6345973633874564</v>
      </c>
      <c r="N14" s="97">
        <f>BS!M8-BS!N8</f>
        <v>-19.919596409104258</v>
      </c>
      <c r="O14" s="97">
        <f>BS!N8-BS!O8</f>
        <v>1.5783624465369144</v>
      </c>
      <c r="P14" s="97">
        <f>BS!O8-BS!P8</f>
        <v>-11.143682955736779</v>
      </c>
      <c r="Q14" s="151">
        <f>BS!P8-BS!Q8</f>
        <v>-3.9083110919530668</v>
      </c>
      <c r="R14" s="151">
        <f>BS!Q8-BS!R8</f>
        <v>3.3803047297952844</v>
      </c>
      <c r="S14" s="151">
        <f>BS!R8-BS!S8</f>
        <v>-1.343586093945305</v>
      </c>
      <c r="T14" s="151">
        <f>BS!S8-BS!T8</f>
        <v>-9.0918275594059423</v>
      </c>
      <c r="U14" s="151">
        <f>BS!T8-BS!U8</f>
        <v>-67.559875993734295</v>
      </c>
      <c r="V14" s="151">
        <f>BS!U8-BS!V8</f>
        <v>-6.4409862250028027</v>
      </c>
      <c r="W14" s="151">
        <f>BS!V8-BS!W8</f>
        <v>-2.5813758013833876</v>
      </c>
      <c r="X14" s="142"/>
      <c r="Y14" s="142"/>
      <c r="Z14"/>
      <c r="AA14"/>
      <c r="AB14"/>
      <c r="AC14"/>
      <c r="AD14"/>
      <c r="AE14"/>
      <c r="AF14" s="142"/>
      <c r="AG14" s="142"/>
      <c r="AH14" s="142"/>
      <c r="AI14" s="142"/>
      <c r="AJ14" s="142"/>
      <c r="AK14" s="142"/>
      <c r="AL14" s="142"/>
      <c r="AM14" s="142"/>
      <c r="AN14" s="142"/>
      <c r="AO14" s="142"/>
      <c r="AP14" s="142"/>
      <c r="AQ14" s="142"/>
      <c r="AR14" s="142"/>
      <c r="AS14" s="142"/>
      <c r="AT14" s="142"/>
      <c r="AU14" s="142"/>
      <c r="AV14" s="142"/>
      <c r="AW14" s="142"/>
      <c r="AX14" s="142"/>
      <c r="AY14" s="142"/>
      <c r="AZ14" s="142"/>
      <c r="BA14" s="142"/>
      <c r="BB14" s="142"/>
      <c r="BC14" s="142"/>
      <c r="BD14" s="142"/>
      <c r="BE14" s="142"/>
      <c r="BF14" s="142"/>
      <c r="BG14" s="142"/>
      <c r="BH14" s="142"/>
      <c r="BI14" s="142"/>
      <c r="BJ14" s="142"/>
    </row>
    <row r="15" spans="2:62" s="143" customFormat="1">
      <c r="B15" s="142"/>
      <c r="C15" s="96" t="s">
        <v>360</v>
      </c>
      <c r="D15" s="97">
        <v>2.5430000000000001</v>
      </c>
      <c r="E15" s="97">
        <v>-3.5059999999999998</v>
      </c>
      <c r="F15" s="97">
        <v>-12.073</v>
      </c>
      <c r="G15" s="97">
        <v>-2.2109999999999999</v>
      </c>
      <c r="H15" s="97">
        <v>25.8</v>
      </c>
      <c r="I15" s="97">
        <v>19.315999999999999</v>
      </c>
      <c r="J15" s="97">
        <v>-20.687000000000001</v>
      </c>
      <c r="K15" s="97">
        <f>BS!J9-BS!K9</f>
        <v>4.2526138705198946E-2</v>
      </c>
      <c r="L15" s="97">
        <f>BS!K9-BS!L9</f>
        <v>-1.4190792944917234</v>
      </c>
      <c r="M15" s="97">
        <f>BS!L9-BS!M9</f>
        <v>-2.9705262719172367</v>
      </c>
      <c r="N15" s="97">
        <f>BS!M9-BS!N9</f>
        <v>-5.3297552842790168</v>
      </c>
      <c r="O15" s="97">
        <f>BS!N9-BS!O9</f>
        <v>0.26306040775617134</v>
      </c>
      <c r="P15" s="97">
        <f>BS!O9-BS!P9</f>
        <v>-6.1226332324652759</v>
      </c>
      <c r="Q15" s="151">
        <f>BS!P9-BS!Q9</f>
        <v>-2.5259210120669593</v>
      </c>
      <c r="R15" s="151">
        <f>BS!Q9-BS!R9</f>
        <v>-17.09534943259041</v>
      </c>
      <c r="S15" s="151">
        <f>BS!R9-BS!S9</f>
        <v>-26.239992163003336</v>
      </c>
      <c r="T15" s="151">
        <f>BS!S9-BS!T9</f>
        <v>-26.991416860418042</v>
      </c>
      <c r="U15" s="151">
        <f>BS!T9-BS!U9</f>
        <v>-25.418520883064787</v>
      </c>
      <c r="V15" s="151">
        <f>BS!U9-BS!V9</f>
        <v>-28.143546574859982</v>
      </c>
      <c r="W15" s="151">
        <f>BS!V9-BS!W9</f>
        <v>-29.76192013216226</v>
      </c>
      <c r="X15" s="142"/>
      <c r="Y15" s="142"/>
      <c r="Z15"/>
      <c r="AA15"/>
      <c r="AB15"/>
      <c r="AC15"/>
      <c r="AD15"/>
      <c r="AE15"/>
      <c r="AF15" s="142"/>
      <c r="AG15" s="142"/>
      <c r="AH15" s="142"/>
      <c r="AI15" s="142"/>
      <c r="AJ15" s="142"/>
      <c r="AK15" s="142"/>
      <c r="AL15" s="142"/>
      <c r="AM15" s="142"/>
      <c r="AN15" s="142"/>
      <c r="AO15" s="142"/>
      <c r="AP15" s="142"/>
      <c r="AQ15" s="142"/>
      <c r="AR15" s="142"/>
      <c r="AS15" s="142"/>
      <c r="AT15" s="142"/>
      <c r="AU15" s="142"/>
      <c r="AV15" s="142"/>
      <c r="AW15" s="142"/>
      <c r="AX15" s="142"/>
      <c r="AY15" s="142"/>
      <c r="AZ15" s="142"/>
      <c r="BA15" s="142"/>
      <c r="BB15" s="142"/>
      <c r="BC15" s="142"/>
      <c r="BD15" s="142"/>
      <c r="BE15" s="142"/>
      <c r="BF15" s="142"/>
      <c r="BG15" s="142"/>
      <c r="BH15" s="142"/>
      <c r="BI15" s="142"/>
      <c r="BJ15" s="142"/>
    </row>
    <row r="16" spans="2:62" s="143" customFormat="1">
      <c r="B16" s="142"/>
      <c r="C16" s="96" t="s">
        <v>288</v>
      </c>
      <c r="D16" s="97">
        <v>-0.83699999999999997</v>
      </c>
      <c r="E16" s="97">
        <v>-4.0759999999999996</v>
      </c>
      <c r="F16" s="97">
        <v>1.6759999999999999</v>
      </c>
      <c r="G16" s="97">
        <v>-6.516</v>
      </c>
      <c r="H16" s="97">
        <v>-3.157</v>
      </c>
      <c r="I16" s="97">
        <v>-4.9790000000000001</v>
      </c>
      <c r="J16" s="97">
        <v>-2.4390000000000001</v>
      </c>
      <c r="K16" s="97">
        <f>BS!J14-BS!K14</f>
        <v>-10.802192236198835</v>
      </c>
      <c r="L16" s="97">
        <f>BS!K14-BS!L14</f>
        <v>-2.0276228191944483</v>
      </c>
      <c r="M16" s="97">
        <f>BS!L14-BS!M14</f>
        <v>-9.3712636130214833</v>
      </c>
      <c r="N16" s="97">
        <f>BS!M14-BS!N14</f>
        <v>-6.2826072993439084</v>
      </c>
      <c r="O16" s="97">
        <f>BS!N14-BS!O14</f>
        <v>-10.225450008784946</v>
      </c>
      <c r="P16" s="97">
        <f>BS!O14-BS!P14</f>
        <v>-1.430249329741855</v>
      </c>
      <c r="Q16" s="151">
        <f>BS!P14-BS!Q14</f>
        <v>-13.642885827579221</v>
      </c>
      <c r="R16" s="151">
        <f>BS!Q14-BS!R14</f>
        <v>0.34757018445952781</v>
      </c>
      <c r="S16" s="151">
        <f>BS!R14-BS!S14</f>
        <v>6.0484289904427442</v>
      </c>
      <c r="T16" s="151">
        <f>BS!S14-BS!T14</f>
        <v>-1.9269607323217315</v>
      </c>
      <c r="U16" s="151">
        <f>BS!T14-BS!U14</f>
        <v>-1.3394174528120857</v>
      </c>
      <c r="V16" s="151">
        <f>BS!U14-BS!V14</f>
        <v>0.53542811341117158</v>
      </c>
      <c r="W16" s="151">
        <f>BS!V14-BS!W14</f>
        <v>-5.1627516027667752</v>
      </c>
      <c r="X16" s="142"/>
      <c r="Y16" s="142"/>
      <c r="Z16"/>
      <c r="AA16"/>
      <c r="AB16"/>
      <c r="AC16"/>
      <c r="AD16"/>
      <c r="AE16"/>
      <c r="AF16" s="142"/>
      <c r="AG16" s="142"/>
      <c r="AH16" s="733"/>
      <c r="AI16" s="142"/>
      <c r="AJ16" s="142"/>
      <c r="AK16" s="142"/>
      <c r="AL16" s="142"/>
      <c r="AM16" s="142"/>
      <c r="AN16" s="142"/>
      <c r="AO16" s="142"/>
      <c r="AP16" s="142"/>
      <c r="AQ16" s="142"/>
      <c r="AR16" s="142"/>
      <c r="AS16" s="142"/>
      <c r="AT16" s="142"/>
      <c r="AU16" s="142"/>
      <c r="AV16" s="142"/>
      <c r="AW16" s="142"/>
      <c r="AX16" s="142"/>
      <c r="AY16" s="142"/>
      <c r="AZ16" s="142"/>
      <c r="BA16" s="142"/>
      <c r="BB16" s="142"/>
      <c r="BC16" s="142"/>
      <c r="BD16" s="142"/>
      <c r="BE16" s="142"/>
      <c r="BF16" s="142"/>
      <c r="BG16" s="142"/>
      <c r="BH16" s="142"/>
      <c r="BI16" s="142"/>
      <c r="BJ16" s="142"/>
    </row>
    <row r="17" spans="1:62" s="143" customFormat="1">
      <c r="B17" s="142"/>
      <c r="C17" s="96" t="s">
        <v>363</v>
      </c>
      <c r="D17" s="97">
        <v>10.109</v>
      </c>
      <c r="E17" s="97">
        <v>37.411000000000001</v>
      </c>
      <c r="F17" s="97">
        <v>20.420000000000002</v>
      </c>
      <c r="G17" s="97">
        <v>38.04</v>
      </c>
      <c r="H17" s="97">
        <v>90.298000000000002</v>
      </c>
      <c r="I17" s="97">
        <v>-53.204999999999998</v>
      </c>
      <c r="J17" s="97">
        <v>45.517000000000003</v>
      </c>
      <c r="K17" s="97">
        <f>BS!K18-BS!J18</f>
        <v>-2.1420512680849697</v>
      </c>
      <c r="L17" s="97">
        <f>BS!L18-BS!K18</f>
        <v>7.0423645324647168</v>
      </c>
      <c r="M17" s="97">
        <f>BS!M18-BS!L18</f>
        <v>1.5111153042933552</v>
      </c>
      <c r="N17" s="97">
        <f>BS!N18-BS!M18</f>
        <v>4.1756829042475943</v>
      </c>
      <c r="O17" s="97">
        <f>BS!O18-BS!N18</f>
        <v>6.3278209273317998</v>
      </c>
      <c r="P17" s="97">
        <f>BS!P18-BS!O18</f>
        <v>4.4123186596457344</v>
      </c>
      <c r="Q17" s="151">
        <f>BS!Q18-BS!P18</f>
        <v>2.695006069409601</v>
      </c>
      <c r="R17" s="151">
        <f>BS!R18-BS!Q18</f>
        <v>1.8123428886414672</v>
      </c>
      <c r="S17" s="151">
        <f>BS!S18-BS!R18</f>
        <v>-0.5181979714519116</v>
      </c>
      <c r="T17" s="151">
        <f>BS!T18-BS!S18</f>
        <v>-4.7473597388359963</v>
      </c>
      <c r="U17" s="151">
        <f>BS!U18-BS!T18</f>
        <v>2.0592209688601315</v>
      </c>
      <c r="V17" s="151">
        <f>BS!V18-BS!U18</f>
        <v>2.0906430618416607</v>
      </c>
      <c r="W17" s="151">
        <f>BS!W18-BS!V18</f>
        <v>1.1193738559750273</v>
      </c>
      <c r="X17" s="142"/>
      <c r="Y17" s="142"/>
      <c r="Z17"/>
      <c r="AA17"/>
      <c r="AB17"/>
      <c r="AC17"/>
      <c r="AD17"/>
      <c r="AE17"/>
      <c r="AF17" s="142"/>
      <c r="AG17" s="142"/>
      <c r="AH17" s="733"/>
      <c r="AI17" s="142"/>
      <c r="AJ17" s="142"/>
      <c r="AK17" s="142"/>
      <c r="AL17" s="142"/>
      <c r="AM17" s="142"/>
      <c r="AN17" s="142"/>
      <c r="AO17" s="142"/>
      <c r="AP17" s="142"/>
      <c r="AQ17" s="142"/>
      <c r="AR17" s="142"/>
      <c r="AS17" s="142"/>
      <c r="AT17" s="142"/>
      <c r="AU17" s="142"/>
      <c r="AV17" s="142"/>
      <c r="AW17" s="142"/>
      <c r="AX17" s="142"/>
      <c r="AY17" s="142"/>
      <c r="AZ17" s="142"/>
      <c r="BA17" s="142"/>
      <c r="BB17" s="142"/>
      <c r="BC17" s="142"/>
      <c r="BD17" s="142"/>
      <c r="BE17" s="142"/>
      <c r="BF17" s="142"/>
      <c r="BG17" s="142"/>
      <c r="BH17" s="142"/>
      <c r="BI17" s="142"/>
      <c r="BJ17" s="142"/>
    </row>
    <row r="18" spans="1:62" s="143" customFormat="1">
      <c r="B18" s="142"/>
      <c r="C18" s="96" t="s">
        <v>105</v>
      </c>
      <c r="D18" s="97">
        <v>1.962</v>
      </c>
      <c r="E18" s="97">
        <v>6.0339999999999998</v>
      </c>
      <c r="F18" s="97">
        <v>9.5589999999999993</v>
      </c>
      <c r="G18" s="97">
        <v>3.093</v>
      </c>
      <c r="H18" s="97">
        <v>0.747</v>
      </c>
      <c r="I18" s="97">
        <v>-5.4130000000000003</v>
      </c>
      <c r="J18" s="97">
        <v>5.7919999999999998</v>
      </c>
      <c r="K18" s="97">
        <f>(BS!K19+BS!K23)-(BS!J19+BS!J23)</f>
        <v>5.4664743659575379</v>
      </c>
      <c r="L18" s="97">
        <f>(BS!L19+BS!L23)-(BS!K19+BS!K23)</f>
        <v>3.5211822662323584</v>
      </c>
      <c r="M18" s="97">
        <f>(BS!M19+BS!M23)-(BS!L19+BS!L23)</f>
        <v>0.75555765214664916</v>
      </c>
      <c r="N18" s="97">
        <f>(BS!N19+BS!N23)-(BS!M19+BS!M23)</f>
        <v>6.4762256167293799</v>
      </c>
      <c r="O18" s="97">
        <f>(BS!O19+BS!O23)-(BS!N19+BS!N23)</f>
        <v>3.4292588812854774</v>
      </c>
      <c r="P18" s="97">
        <f>(BS!P19+BS!P23)-(BS!O19+BS!O23)</f>
        <v>2.4739180389919966</v>
      </c>
      <c r="Q18" s="151">
        <f>(BS!Q19+BS!Q23)-(BS!P19+BS!P23)</f>
        <v>1.6204417083021099</v>
      </c>
      <c r="R18" s="151">
        <f>(BS!R19+BS!R23)-(BS!Q19+BS!Q23)</f>
        <v>1.19578763340553</v>
      </c>
      <c r="S18" s="151">
        <f>(BS!S19+BS!S23)-(BS!R19+BS!R23)</f>
        <v>3.0333266231423295E-2</v>
      </c>
      <c r="T18" s="151">
        <f>(BS!T19+BS!T23)-(BS!S19+BS!S23)</f>
        <v>3.9239857904814244</v>
      </c>
      <c r="U18" s="151">
        <f>(BS!U19+BS!U23)-(BS!T19+BS!T23)</f>
        <v>1.4452094560416526</v>
      </c>
      <c r="V18" s="151">
        <f>(BS!V19+BS!V23)-(BS!U19+BS!U23)</f>
        <v>1.4870605036295501</v>
      </c>
      <c r="W18" s="151">
        <f>(BS!W19+BS!W23)-(BS!V19+BS!V23)</f>
        <v>0.99868242380716765</v>
      </c>
      <c r="X18" s="142"/>
      <c r="Y18" s="142"/>
      <c r="Z18"/>
      <c r="AA18"/>
      <c r="AB18"/>
      <c r="AC18"/>
      <c r="AD18"/>
      <c r="AE18"/>
      <c r="AF18" s="142"/>
      <c r="AG18" s="142"/>
      <c r="AH18" s="142"/>
      <c r="AI18" s="142"/>
      <c r="AJ18" s="142"/>
      <c r="AK18" s="142"/>
      <c r="AL18" s="142"/>
      <c r="AM18" s="142"/>
      <c r="AN18" s="142"/>
      <c r="AO18" s="142"/>
      <c r="AP18" s="142"/>
      <c r="AQ18" s="142"/>
      <c r="AR18" s="142"/>
      <c r="AS18" s="142"/>
      <c r="AT18" s="142"/>
      <c r="AU18" s="142"/>
      <c r="AV18" s="142"/>
      <c r="AW18" s="142"/>
      <c r="AX18" s="142"/>
      <c r="AY18" s="142"/>
      <c r="AZ18" s="142"/>
      <c r="BA18" s="142"/>
      <c r="BB18" s="142"/>
      <c r="BC18" s="142"/>
      <c r="BD18" s="142"/>
      <c r="BE18" s="142"/>
      <c r="BF18" s="142"/>
      <c r="BG18" s="142"/>
      <c r="BH18" s="142"/>
      <c r="BI18" s="142"/>
      <c r="BJ18" s="142"/>
    </row>
    <row r="19" spans="1:62" s="148" customFormat="1" ht="13.5" customHeight="1" thickBot="1">
      <c r="A19" s="142"/>
      <c r="B19" s="142"/>
      <c r="C19" s="146" t="s">
        <v>375</v>
      </c>
      <c r="D19" s="147">
        <f t="shared" ref="D19:H19" si="1">SUM(D6:D18)</f>
        <v>18.753000000000004</v>
      </c>
      <c r="E19" s="147">
        <f t="shared" si="1"/>
        <v>17.609000000000002</v>
      </c>
      <c r="F19" s="147">
        <f t="shared" si="1"/>
        <v>-59.633999999999986</v>
      </c>
      <c r="G19" s="147">
        <f t="shared" si="1"/>
        <v>-71.912999999999968</v>
      </c>
      <c r="H19" s="504">
        <f t="shared" si="1"/>
        <v>-221.68899999999985</v>
      </c>
      <c r="I19" s="504">
        <f t="shared" ref="I19:R19" si="2">SUM(I6:I18)</f>
        <v>-227.83699999999999</v>
      </c>
      <c r="J19" s="504">
        <f t="shared" si="2"/>
        <v>-8.7569999999999926</v>
      </c>
      <c r="K19" s="504">
        <f t="shared" si="2"/>
        <v>39.645515907692484</v>
      </c>
      <c r="L19" s="504">
        <f t="shared" si="2"/>
        <v>111.78647170277449</v>
      </c>
      <c r="M19" s="504">
        <f t="shared" si="2"/>
        <v>276.60282757487238</v>
      </c>
      <c r="N19" s="504">
        <f t="shared" si="2"/>
        <v>486.42948796077275</v>
      </c>
      <c r="O19" s="504">
        <f t="shared" si="2"/>
        <v>730.92424286839605</v>
      </c>
      <c r="P19" s="504">
        <f t="shared" si="2"/>
        <v>976.0351123111235</v>
      </c>
      <c r="Q19" s="504">
        <f t="shared" si="2"/>
        <v>1274.5230972552536</v>
      </c>
      <c r="R19" s="504">
        <f t="shared" si="2"/>
        <v>1601.868038622119</v>
      </c>
      <c r="S19" s="504">
        <f t="shared" ref="S19:W19" si="3">SUM(S6:S18)</f>
        <v>1880.0679870625167</v>
      </c>
      <c r="T19" s="504">
        <f t="shared" si="3"/>
        <v>2121.2449088594362</v>
      </c>
      <c r="U19" s="504">
        <f t="shared" si="3"/>
        <v>2093.2702108880103</v>
      </c>
      <c r="V19" s="504">
        <f t="shared" si="3"/>
        <v>2440.9572063743144</v>
      </c>
      <c r="W19" s="505">
        <f t="shared" si="3"/>
        <v>2621.9919887725105</v>
      </c>
      <c r="X19" s="142"/>
      <c r="Y19" s="142"/>
      <c r="Z19"/>
      <c r="AA19"/>
      <c r="AB19"/>
      <c r="AC19"/>
      <c r="AD19"/>
      <c r="AE19"/>
      <c r="AF19" s="142"/>
      <c r="AI19" s="142"/>
      <c r="AJ19" s="142"/>
      <c r="AK19" s="142"/>
      <c r="AL19" s="142"/>
      <c r="AM19" s="142"/>
      <c r="AN19" s="142"/>
      <c r="AO19" s="142"/>
      <c r="AP19" s="142"/>
      <c r="AQ19" s="142"/>
      <c r="AR19" s="142"/>
      <c r="AS19" s="142"/>
      <c r="AT19" s="142"/>
      <c r="AU19" s="142"/>
      <c r="AV19" s="142"/>
      <c r="AW19" s="142"/>
      <c r="AX19" s="142"/>
      <c r="AY19" s="142"/>
      <c r="AZ19" s="142"/>
      <c r="BA19" s="142"/>
      <c r="BB19" s="142"/>
      <c r="BC19" s="142"/>
      <c r="BD19" s="142"/>
      <c r="BE19" s="142"/>
      <c r="BF19" s="142"/>
      <c r="BG19" s="142"/>
      <c r="BH19" s="142"/>
      <c r="BI19" s="142"/>
      <c r="BJ19" s="142"/>
    </row>
    <row r="20" spans="1:62" s="143" customFormat="1" ht="9" customHeight="1">
      <c r="B20" s="142"/>
      <c r="C20" s="149"/>
      <c r="D20" s="97"/>
      <c r="E20" s="97"/>
      <c r="F20" s="97"/>
      <c r="G20" s="97"/>
      <c r="H20" s="97"/>
      <c r="I20" s="97"/>
      <c r="J20" s="97"/>
      <c r="K20" s="97"/>
      <c r="L20" s="97"/>
      <c r="M20" s="97"/>
      <c r="N20" s="97"/>
      <c r="O20" s="97"/>
      <c r="P20" s="97"/>
      <c r="Q20" s="151"/>
      <c r="R20" s="151"/>
      <c r="S20" s="151"/>
      <c r="T20" s="151"/>
      <c r="U20" s="151"/>
      <c r="V20" s="151"/>
      <c r="W20" s="151"/>
      <c r="X20" s="142"/>
      <c r="Y20" s="142"/>
      <c r="Z20"/>
      <c r="AA20"/>
      <c r="AB20"/>
      <c r="AC20"/>
      <c r="AD20"/>
      <c r="AE20"/>
      <c r="AF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row>
    <row r="21" spans="1:62" s="143" customFormat="1">
      <c r="B21" s="142"/>
      <c r="C21" s="93" t="s">
        <v>324</v>
      </c>
      <c r="D21" s="97"/>
      <c r="E21" s="97"/>
      <c r="F21" s="97"/>
      <c r="G21" s="97"/>
      <c r="H21" s="97"/>
      <c r="I21" s="97"/>
      <c r="J21" s="97"/>
      <c r="K21" s="97"/>
      <c r="L21" s="97"/>
      <c r="M21" s="97"/>
      <c r="N21" s="97"/>
      <c r="O21" s="97"/>
      <c r="P21" s="97"/>
      <c r="Q21" s="151"/>
      <c r="R21" s="151"/>
      <c r="S21" s="151"/>
      <c r="T21" s="151"/>
      <c r="U21" s="151"/>
      <c r="V21" s="151"/>
      <c r="W21" s="151"/>
      <c r="X21" s="142"/>
      <c r="Y21" s="142"/>
      <c r="Z21"/>
      <c r="AA21"/>
      <c r="AB21"/>
      <c r="AC21"/>
      <c r="AD21"/>
      <c r="AE21"/>
      <c r="AF21" s="142"/>
      <c r="AI21" s="142"/>
      <c r="AJ21" s="142"/>
      <c r="AK21" s="142"/>
      <c r="AL21" s="142"/>
      <c r="AM21" s="142"/>
      <c r="AN21" s="142"/>
      <c r="AO21" s="142"/>
      <c r="AP21" s="142"/>
      <c r="AQ21" s="142"/>
      <c r="AR21" s="142"/>
      <c r="AS21" s="142"/>
      <c r="AT21" s="142"/>
      <c r="AU21" s="142"/>
      <c r="AV21" s="142"/>
      <c r="AW21" s="142"/>
      <c r="AX21" s="142"/>
      <c r="AY21" s="142"/>
      <c r="AZ21" s="142"/>
      <c r="BA21" s="142"/>
      <c r="BB21" s="142"/>
      <c r="BC21" s="142"/>
      <c r="BD21" s="142"/>
      <c r="BE21" s="142"/>
      <c r="BF21" s="142"/>
      <c r="BG21" s="142"/>
      <c r="BH21" s="142"/>
      <c r="BI21" s="142"/>
      <c r="BJ21" s="142"/>
    </row>
    <row r="22" spans="1:62" s="143" customFormat="1">
      <c r="B22" s="142"/>
      <c r="C22" s="149"/>
      <c r="D22" s="97"/>
      <c r="E22" s="97"/>
      <c r="F22" s="97"/>
      <c r="G22" s="97"/>
      <c r="H22" s="97"/>
      <c r="I22" s="97"/>
      <c r="J22" s="97"/>
      <c r="K22" s="97"/>
      <c r="L22" s="97"/>
      <c r="M22" s="97"/>
      <c r="N22" s="97"/>
      <c r="O22" s="97"/>
      <c r="P22" s="97"/>
      <c r="Q22" s="151"/>
      <c r="R22" s="151"/>
      <c r="S22" s="151"/>
      <c r="T22" s="151"/>
      <c r="U22" s="151"/>
      <c r="V22" s="151"/>
      <c r="W22" s="151"/>
      <c r="X22" s="142"/>
      <c r="Y22" s="142"/>
      <c r="Z22"/>
      <c r="AA22"/>
      <c r="AB22"/>
      <c r="AC22"/>
      <c r="AD22"/>
      <c r="AE22"/>
      <c r="AF22" s="142"/>
      <c r="AI22" s="142"/>
      <c r="AJ22" s="142"/>
      <c r="AK22" s="142"/>
      <c r="AL22" s="142"/>
      <c r="AM22" s="142"/>
      <c r="AN22" s="142"/>
      <c r="AO22" s="142"/>
      <c r="AP22" s="142"/>
      <c r="AQ22" s="142"/>
      <c r="AR22" s="142"/>
      <c r="AS22" s="142"/>
      <c r="AT22" s="142"/>
      <c r="AU22" s="142"/>
      <c r="AV22" s="142"/>
      <c r="AW22" s="142"/>
      <c r="AX22" s="142"/>
      <c r="AY22" s="142"/>
      <c r="AZ22" s="142"/>
      <c r="BA22" s="142"/>
      <c r="BB22" s="142"/>
      <c r="BC22" s="142"/>
      <c r="BD22" s="142"/>
      <c r="BE22" s="142"/>
      <c r="BF22" s="142"/>
      <c r="BG22" s="142"/>
      <c r="BH22" s="142"/>
      <c r="BI22" s="142"/>
      <c r="BJ22" s="142"/>
    </row>
    <row r="23" spans="1:62" s="143" customFormat="1">
      <c r="B23" s="142"/>
      <c r="C23" s="150" t="s">
        <v>369</v>
      </c>
      <c r="D23" s="97">
        <v>-73.218999999999994</v>
      </c>
      <c r="E23" s="97">
        <v>-44.570999999999998</v>
      </c>
      <c r="F23" s="97">
        <v>-65.123999999999995</v>
      </c>
      <c r="G23" s="97">
        <v>-117.062</v>
      </c>
      <c r="H23" s="97">
        <v>-227.65299999999999</v>
      </c>
      <c r="I23" s="97">
        <v>-148.38</v>
      </c>
      <c r="J23" s="97">
        <v>-199.21899999999999</v>
      </c>
      <c r="K23" s="97">
        <f>-BS!K71</f>
        <v>-199.78237942549598</v>
      </c>
      <c r="L23" s="97">
        <f>-BS!L71</f>
        <v>-184.34179660303371</v>
      </c>
      <c r="M23" s="97">
        <f>-BS!M71</f>
        <v>-180.88402944854712</v>
      </c>
      <c r="N23" s="97">
        <f>-BS!N71</f>
        <v>-167.42566942396556</v>
      </c>
      <c r="O23" s="97">
        <f>-BS!O71</f>
        <v>-166.89954860845322</v>
      </c>
      <c r="P23" s="97">
        <f>-BS!P71</f>
        <v>-175.9458005185019</v>
      </c>
      <c r="Q23" s="151">
        <f>-BS!Q71</f>
        <v>-165.77699138776589</v>
      </c>
      <c r="R23" s="151">
        <f>-BS!R71</f>
        <v>-167.99027381746041</v>
      </c>
      <c r="S23" s="151">
        <f>-BS!S71</f>
        <v>-163.45442948456349</v>
      </c>
      <c r="T23" s="151">
        <f>-BS!T71</f>
        <v>-152.27351906697248</v>
      </c>
      <c r="U23" s="151">
        <f>-BS!U71</f>
        <v>-161.00880676100175</v>
      </c>
      <c r="V23" s="151">
        <f>-BS!V71</f>
        <v>-170.51617457581216</v>
      </c>
      <c r="W23" s="151">
        <f>-BS!W71</f>
        <v>-179.8163960450178</v>
      </c>
      <c r="X23" s="142"/>
      <c r="Y23" s="142"/>
      <c r="Z23"/>
      <c r="AA23"/>
      <c r="AB23"/>
      <c r="AC23"/>
      <c r="AD23"/>
      <c r="AE23"/>
      <c r="AF23" s="142"/>
      <c r="AI23" s="142"/>
      <c r="AJ23" s="142"/>
      <c r="AK23" s="142"/>
      <c r="AL23" s="142"/>
      <c r="AM23" s="142"/>
      <c r="AN23" s="142"/>
      <c r="AO23" s="142"/>
      <c r="AP23" s="142"/>
      <c r="AQ23" s="142"/>
      <c r="AR23" s="142"/>
      <c r="AS23" s="142"/>
      <c r="AT23" s="142"/>
      <c r="AU23" s="142"/>
      <c r="AV23" s="142"/>
      <c r="AW23" s="142"/>
      <c r="AX23" s="142"/>
      <c r="AY23" s="142"/>
      <c r="AZ23" s="142"/>
      <c r="BA23" s="142"/>
      <c r="BB23" s="142"/>
      <c r="BC23" s="142"/>
      <c r="BD23" s="142"/>
      <c r="BE23" s="142"/>
      <c r="BF23" s="142"/>
      <c r="BG23" s="142"/>
      <c r="BH23" s="142"/>
      <c r="BI23" s="142"/>
      <c r="BJ23" s="142"/>
    </row>
    <row r="24" spans="1:62" s="143" customFormat="1">
      <c r="B24" s="142"/>
      <c r="C24" s="150" t="s">
        <v>370</v>
      </c>
      <c r="D24" s="97">
        <v>-215.429</v>
      </c>
      <c r="E24" s="97">
        <v>-382.16800000000001</v>
      </c>
      <c r="F24" s="97">
        <v>-395.04199999999997</v>
      </c>
      <c r="G24" s="97">
        <v>-507.036</v>
      </c>
      <c r="H24" s="97">
        <v>-873.18399999999997</v>
      </c>
      <c r="I24" s="97">
        <v>-699.74900000000002</v>
      </c>
      <c r="J24" s="97">
        <v>-655.447</v>
      </c>
      <c r="K24" s="97">
        <v>0</v>
      </c>
      <c r="L24" s="97">
        <v>0</v>
      </c>
      <c r="M24" s="97">
        <v>0</v>
      </c>
      <c r="N24" s="97">
        <v>0</v>
      </c>
      <c r="O24" s="97">
        <v>0</v>
      </c>
      <c r="P24" s="97">
        <v>0</v>
      </c>
      <c r="Q24" s="151">
        <v>0</v>
      </c>
      <c r="R24" s="151">
        <v>0</v>
      </c>
      <c r="S24" s="151">
        <v>0</v>
      </c>
      <c r="T24" s="151">
        <v>0</v>
      </c>
      <c r="U24" s="151">
        <v>0</v>
      </c>
      <c r="V24" s="151">
        <v>0</v>
      </c>
      <c r="W24" s="151">
        <v>0</v>
      </c>
      <c r="X24" s="142"/>
      <c r="Y24" s="142"/>
      <c r="Z24"/>
      <c r="AA24"/>
      <c r="AB24"/>
      <c r="AC24"/>
      <c r="AD24"/>
      <c r="AE24"/>
      <c r="AF24" s="142"/>
      <c r="AI24" s="142"/>
      <c r="AJ24" s="142"/>
      <c r="AK24" s="142"/>
      <c r="AL24" s="142"/>
      <c r="AM24" s="142"/>
      <c r="AN24" s="142"/>
      <c r="AO24" s="142"/>
      <c r="AP24" s="142"/>
      <c r="AQ24" s="142"/>
      <c r="AR24" s="142"/>
      <c r="AS24" s="142"/>
      <c r="AT24" s="142"/>
      <c r="AU24" s="142"/>
      <c r="AV24" s="142"/>
      <c r="AW24" s="142"/>
      <c r="AX24" s="142"/>
      <c r="AY24" s="142"/>
      <c r="AZ24" s="142"/>
      <c r="BA24" s="142"/>
      <c r="BB24" s="142"/>
      <c r="BC24" s="142"/>
      <c r="BD24" s="142"/>
      <c r="BE24" s="142"/>
      <c r="BF24" s="142"/>
      <c r="BG24" s="142"/>
      <c r="BH24" s="142"/>
      <c r="BI24" s="142"/>
      <c r="BJ24" s="142"/>
    </row>
    <row r="25" spans="1:62" s="143" customFormat="1">
      <c r="B25" s="142"/>
      <c r="C25" s="150" t="s">
        <v>371</v>
      </c>
      <c r="D25" s="97">
        <v>281.99099999999999</v>
      </c>
      <c r="E25" s="97">
        <v>237.83699999999999</v>
      </c>
      <c r="F25" s="97">
        <v>288.64299999999997</v>
      </c>
      <c r="G25" s="97">
        <v>808.31299999999999</v>
      </c>
      <c r="H25" s="97">
        <f>424.713</f>
        <v>424.71300000000002</v>
      </c>
      <c r="I25" s="97">
        <v>367.56900000000002</v>
      </c>
      <c r="J25" s="97">
        <v>425.96</v>
      </c>
      <c r="K25" s="97">
        <v>0</v>
      </c>
      <c r="L25" s="97">
        <v>0</v>
      </c>
      <c r="M25" s="97">
        <v>0</v>
      </c>
      <c r="N25" s="97">
        <v>0</v>
      </c>
      <c r="O25" s="97">
        <v>0</v>
      </c>
      <c r="P25" s="97">
        <v>0</v>
      </c>
      <c r="Q25" s="151">
        <v>0</v>
      </c>
      <c r="R25" s="151">
        <v>0</v>
      </c>
      <c r="S25" s="151">
        <v>0</v>
      </c>
      <c r="T25" s="151">
        <v>0</v>
      </c>
      <c r="U25" s="151">
        <v>0</v>
      </c>
      <c r="V25" s="151">
        <v>0</v>
      </c>
      <c r="W25" s="151">
        <v>0</v>
      </c>
      <c r="X25" s="142"/>
      <c r="Y25" s="142"/>
      <c r="Z25"/>
      <c r="AA25"/>
      <c r="AB25"/>
      <c r="AC25"/>
      <c r="AD25"/>
      <c r="AE25"/>
      <c r="AF25" s="142"/>
      <c r="AI25" s="142"/>
      <c r="AJ25" s="142"/>
      <c r="AK25" s="142"/>
      <c r="AL25" s="142"/>
      <c r="AM25" s="142"/>
      <c r="AN25" s="142"/>
      <c r="AO25" s="142"/>
      <c r="AP25" s="142"/>
      <c r="AQ25" s="142"/>
      <c r="AR25" s="142"/>
      <c r="AS25" s="142"/>
      <c r="AT25" s="142"/>
      <c r="AU25" s="142"/>
      <c r="AV25" s="142"/>
      <c r="AW25" s="142"/>
      <c r="AX25" s="142"/>
      <c r="AY25" s="142"/>
      <c r="AZ25" s="142"/>
      <c r="BA25" s="142"/>
      <c r="BB25" s="142"/>
      <c r="BC25" s="142"/>
      <c r="BD25" s="142"/>
      <c r="BE25" s="142"/>
      <c r="BF25" s="142"/>
      <c r="BG25" s="142"/>
      <c r="BH25" s="142"/>
      <c r="BI25" s="142"/>
      <c r="BJ25" s="142"/>
    </row>
    <row r="26" spans="1:62" s="143" customFormat="1">
      <c r="B26" s="142"/>
      <c r="C26" s="150" t="s">
        <v>105</v>
      </c>
      <c r="D26" s="97">
        <f>-81-1.903</f>
        <v>-82.903000000000006</v>
      </c>
      <c r="E26" s="97">
        <f>-1.743-5</f>
        <v>-6.7430000000000003</v>
      </c>
      <c r="F26" s="97">
        <f>-116.5-9.875-0.885</f>
        <v>-127.26</v>
      </c>
      <c r="G26" s="97">
        <f>67.5-52.288-3.1</f>
        <v>12.112000000000004</v>
      </c>
      <c r="H26" s="97">
        <f>-371.756+410-538.392-3.326</f>
        <v>-503.47400000000005</v>
      </c>
      <c r="I26" s="97">
        <f>-2.789-0.698</f>
        <v>-3.4870000000000001</v>
      </c>
      <c r="J26" s="97">
        <f>125-1.753</f>
        <v>123.247</v>
      </c>
      <c r="K26" s="97">
        <v>0</v>
      </c>
      <c r="L26" s="97">
        <v>0</v>
      </c>
      <c r="M26" s="97">
        <v>0</v>
      </c>
      <c r="N26" s="97">
        <v>0</v>
      </c>
      <c r="O26" s="97">
        <v>0</v>
      </c>
      <c r="P26" s="97">
        <v>0</v>
      </c>
      <c r="Q26" s="151">
        <v>0</v>
      </c>
      <c r="R26" s="151">
        <v>0</v>
      </c>
      <c r="S26" s="151">
        <v>0</v>
      </c>
      <c r="T26" s="151">
        <v>0</v>
      </c>
      <c r="U26" s="151">
        <v>0</v>
      </c>
      <c r="V26" s="151">
        <v>0</v>
      </c>
      <c r="W26" s="151">
        <v>0</v>
      </c>
      <c r="X26" s="142"/>
      <c r="Y26" s="142"/>
      <c r="Z26"/>
      <c r="AA26"/>
      <c r="AB26"/>
      <c r="AC26"/>
      <c r="AD26"/>
      <c r="AE26"/>
      <c r="AF26" s="142"/>
      <c r="AG26" s="142"/>
      <c r="AH26" s="142"/>
      <c r="AI26" s="142"/>
      <c r="AJ26" s="142"/>
      <c r="AK26" s="142"/>
      <c r="AL26" s="142"/>
      <c r="AM26" s="142"/>
      <c r="AN26" s="142"/>
      <c r="AO26" s="142"/>
      <c r="AP26" s="142"/>
      <c r="AQ26" s="142"/>
      <c r="AR26" s="142"/>
      <c r="AS26" s="142"/>
      <c r="AT26" s="142"/>
      <c r="AU26" s="142"/>
      <c r="AV26" s="142"/>
      <c r="AW26" s="142"/>
      <c r="AX26" s="142"/>
      <c r="AY26" s="142"/>
      <c r="AZ26" s="142"/>
      <c r="BA26" s="142"/>
      <c r="BB26" s="142"/>
      <c r="BC26" s="142"/>
      <c r="BD26" s="142"/>
      <c r="BE26" s="142"/>
      <c r="BF26" s="142"/>
      <c r="BG26" s="142"/>
      <c r="BH26" s="142"/>
      <c r="BI26" s="142"/>
      <c r="BJ26" s="142"/>
    </row>
    <row r="27" spans="1:62" s="148" customFormat="1" ht="13.5" customHeight="1" thickBot="1">
      <c r="A27" s="142"/>
      <c r="B27" s="142"/>
      <c r="C27" s="146" t="s">
        <v>377</v>
      </c>
      <c r="D27" s="147">
        <f t="shared" ref="D27:H27" si="4">SUM(D23:D26)</f>
        <v>-89.560000000000045</v>
      </c>
      <c r="E27" s="147">
        <f t="shared" si="4"/>
        <v>-195.64500000000004</v>
      </c>
      <c r="F27" s="147">
        <f t="shared" si="4"/>
        <v>-298.78299999999996</v>
      </c>
      <c r="G27" s="147">
        <f t="shared" si="4"/>
        <v>196.32700000000003</v>
      </c>
      <c r="H27" s="504">
        <f t="shared" si="4"/>
        <v>-1179.598</v>
      </c>
      <c r="I27" s="504">
        <f t="shared" ref="I27:R27" si="5">SUM(I23:I26)</f>
        <v>-484.04700000000003</v>
      </c>
      <c r="J27" s="504">
        <f t="shared" si="5"/>
        <v>-305.45899999999995</v>
      </c>
      <c r="K27" s="504">
        <f t="shared" si="5"/>
        <v>-199.78237942549598</v>
      </c>
      <c r="L27" s="504">
        <f t="shared" si="5"/>
        <v>-184.34179660303371</v>
      </c>
      <c r="M27" s="504">
        <f t="shared" si="5"/>
        <v>-180.88402944854712</v>
      </c>
      <c r="N27" s="504">
        <f t="shared" si="5"/>
        <v>-167.42566942396556</v>
      </c>
      <c r="O27" s="504">
        <f t="shared" si="5"/>
        <v>-166.89954860845322</v>
      </c>
      <c r="P27" s="504">
        <f t="shared" si="5"/>
        <v>-175.9458005185019</v>
      </c>
      <c r="Q27" s="504">
        <f t="shared" si="5"/>
        <v>-165.77699138776589</v>
      </c>
      <c r="R27" s="504">
        <f t="shared" si="5"/>
        <v>-167.99027381746041</v>
      </c>
      <c r="S27" s="504">
        <f t="shared" ref="S27:W27" si="6">SUM(S23:S26)</f>
        <v>-163.45442948456349</v>
      </c>
      <c r="T27" s="504">
        <f t="shared" si="6"/>
        <v>-152.27351906697248</v>
      </c>
      <c r="U27" s="504">
        <f t="shared" si="6"/>
        <v>-161.00880676100175</v>
      </c>
      <c r="V27" s="504">
        <f t="shared" si="6"/>
        <v>-170.51617457581216</v>
      </c>
      <c r="W27" s="505">
        <f t="shared" si="6"/>
        <v>-179.8163960450178</v>
      </c>
      <c r="X27" s="142"/>
      <c r="Y27" s="142"/>
      <c r="Z27"/>
      <c r="AA27"/>
      <c r="AB27"/>
      <c r="AC27"/>
      <c r="AD27"/>
      <c r="AE27"/>
      <c r="AF27" s="142"/>
      <c r="AG27" s="142"/>
      <c r="AH27" s="142"/>
      <c r="AI27" s="142"/>
      <c r="AJ27" s="142"/>
      <c r="AK27" s="142"/>
      <c r="AL27" s="142"/>
      <c r="AM27" s="142"/>
      <c r="AN27" s="142"/>
      <c r="AO27" s="142"/>
      <c r="AP27" s="142"/>
      <c r="AQ27" s="142"/>
      <c r="AR27" s="142"/>
      <c r="AS27" s="142"/>
      <c r="AT27" s="142"/>
      <c r="AU27" s="142"/>
      <c r="AV27" s="142"/>
      <c r="AW27" s="142"/>
      <c r="AX27" s="142"/>
      <c r="AY27" s="142"/>
      <c r="AZ27" s="142"/>
      <c r="BA27" s="142"/>
      <c r="BB27" s="142"/>
      <c r="BC27" s="142"/>
      <c r="BD27" s="142"/>
      <c r="BE27" s="142"/>
      <c r="BF27" s="142"/>
      <c r="BG27" s="142"/>
      <c r="BH27" s="142"/>
      <c r="BI27" s="142"/>
      <c r="BJ27" s="142"/>
    </row>
    <row r="28" spans="1:62" s="143" customFormat="1" ht="9" customHeight="1">
      <c r="B28" s="142"/>
      <c r="C28" s="149"/>
      <c r="D28" s="97"/>
      <c r="E28" s="97"/>
      <c r="F28" s="97"/>
      <c r="G28" s="97"/>
      <c r="H28" s="97"/>
      <c r="I28" s="97"/>
      <c r="J28" s="97"/>
      <c r="K28" s="97"/>
      <c r="L28" s="97"/>
      <c r="M28" s="97"/>
      <c r="N28" s="97"/>
      <c r="O28" s="97"/>
      <c r="P28" s="97"/>
      <c r="Q28" s="151"/>
      <c r="R28" s="151"/>
      <c r="S28" s="151"/>
      <c r="T28" s="151"/>
      <c r="U28" s="151"/>
      <c r="V28" s="151"/>
      <c r="W28" s="151"/>
      <c r="X28" s="142"/>
      <c r="Y28" s="142"/>
      <c r="Z28"/>
      <c r="AA28"/>
      <c r="AB28"/>
      <c r="AC28"/>
      <c r="AD28"/>
      <c r="AE28"/>
      <c r="AF28" s="142"/>
      <c r="AG28" s="142"/>
      <c r="AH28" s="142"/>
      <c r="AI28" s="142"/>
      <c r="AJ28" s="142"/>
      <c r="AK28" s="142"/>
      <c r="AL28" s="142"/>
      <c r="AM28" s="142"/>
      <c r="AN28" s="142"/>
      <c r="AO28" s="142"/>
      <c r="AP28" s="142"/>
      <c r="AQ28" s="142"/>
      <c r="AR28" s="142"/>
      <c r="AS28" s="142"/>
      <c r="AT28" s="142"/>
      <c r="AU28" s="142"/>
      <c r="AV28" s="142"/>
      <c r="AW28" s="142"/>
      <c r="AX28" s="142"/>
      <c r="AY28" s="142"/>
      <c r="AZ28" s="142"/>
      <c r="BA28" s="142"/>
      <c r="BB28" s="142"/>
      <c r="BC28" s="142"/>
      <c r="BD28" s="142"/>
      <c r="BE28" s="142"/>
      <c r="BF28" s="142"/>
      <c r="BG28" s="142"/>
      <c r="BH28" s="142"/>
      <c r="BI28" s="142"/>
      <c r="BJ28" s="142"/>
    </row>
    <row r="29" spans="1:62" s="143" customFormat="1">
      <c r="B29" s="142"/>
      <c r="C29" s="93" t="s">
        <v>325</v>
      </c>
      <c r="D29" s="97"/>
      <c r="E29" s="97"/>
      <c r="F29" s="97"/>
      <c r="G29" s="97"/>
      <c r="H29" s="97"/>
      <c r="I29" s="97"/>
      <c r="J29" s="97"/>
      <c r="K29" s="97"/>
      <c r="L29" s="97"/>
      <c r="M29" s="97"/>
      <c r="N29" s="97"/>
      <c r="O29" s="97"/>
      <c r="P29" s="97"/>
      <c r="Q29" s="151"/>
      <c r="R29" s="151"/>
      <c r="S29" s="151"/>
      <c r="T29" s="151"/>
      <c r="U29" s="151"/>
      <c r="V29" s="151"/>
      <c r="W29" s="151"/>
      <c r="X29" s="142"/>
      <c r="Y29" s="142"/>
      <c r="Z29"/>
      <c r="AA29"/>
      <c r="AB29"/>
      <c r="AC29"/>
      <c r="AD29"/>
      <c r="AE29"/>
      <c r="AF29" s="142"/>
      <c r="AG29" s="142"/>
      <c r="AH29" s="142"/>
      <c r="AI29" s="142"/>
      <c r="AJ29" s="142"/>
      <c r="AK29" s="142"/>
      <c r="AL29" s="142"/>
      <c r="AM29" s="142"/>
      <c r="AN29" s="142"/>
      <c r="AO29" s="142"/>
      <c r="AP29" s="142"/>
      <c r="AQ29" s="142"/>
      <c r="AR29" s="142"/>
      <c r="AS29" s="142"/>
      <c r="AT29" s="142"/>
      <c r="AU29" s="142"/>
      <c r="AV29" s="142"/>
      <c r="AW29" s="142"/>
      <c r="AX29" s="142"/>
      <c r="AY29" s="142"/>
      <c r="AZ29" s="142"/>
      <c r="BA29" s="142"/>
      <c r="BB29" s="142"/>
      <c r="BC29" s="142"/>
      <c r="BD29" s="142"/>
      <c r="BE29" s="142"/>
      <c r="BF29" s="142"/>
      <c r="BG29" s="142"/>
      <c r="BH29" s="142"/>
      <c r="BI29" s="142"/>
      <c r="BJ29" s="142"/>
    </row>
    <row r="30" spans="1:62" s="143" customFormat="1">
      <c r="B30" s="142"/>
      <c r="C30" s="149"/>
      <c r="D30" s="97"/>
      <c r="E30" s="97"/>
      <c r="F30" s="97"/>
      <c r="G30" s="97"/>
      <c r="H30" s="97"/>
      <c r="I30" s="97"/>
      <c r="J30" s="97"/>
      <c r="K30" s="97"/>
      <c r="L30" s="97"/>
      <c r="M30" s="97"/>
      <c r="N30" s="97"/>
      <c r="O30" s="97"/>
      <c r="P30" s="97"/>
      <c r="Q30" s="151"/>
      <c r="R30" s="151"/>
      <c r="S30" s="151"/>
      <c r="T30" s="151"/>
      <c r="U30" s="151"/>
      <c r="V30" s="151"/>
      <c r="W30" s="151"/>
      <c r="X30" s="142"/>
      <c r="Y30" s="142"/>
      <c r="Z30"/>
      <c r="AA30"/>
      <c r="AB30"/>
      <c r="AC30"/>
      <c r="AD30"/>
      <c r="AE30"/>
      <c r="AF30" s="142"/>
      <c r="AG30" s="142"/>
      <c r="AH30" s="142"/>
      <c r="AI30" s="142"/>
      <c r="AJ30" s="142"/>
      <c r="AK30" s="142"/>
      <c r="AL30" s="142"/>
      <c r="AM30" s="142"/>
      <c r="AN30" s="142"/>
      <c r="AO30" s="142"/>
      <c r="AP30" s="142"/>
      <c r="AQ30" s="142"/>
      <c r="AR30" s="142"/>
      <c r="AS30" s="142"/>
      <c r="AT30" s="142"/>
      <c r="AU30" s="142"/>
      <c r="AV30" s="142"/>
      <c r="AW30" s="142"/>
      <c r="AX30" s="142"/>
      <c r="AY30" s="142"/>
      <c r="AZ30" s="142"/>
      <c r="BA30" s="142"/>
      <c r="BB30" s="142"/>
      <c r="BC30" s="142"/>
      <c r="BD30" s="142"/>
      <c r="BE30" s="142"/>
      <c r="BF30" s="142"/>
      <c r="BG30" s="142"/>
      <c r="BH30" s="142"/>
      <c r="BI30" s="142"/>
      <c r="BJ30" s="142"/>
    </row>
    <row r="31" spans="1:62" s="143" customFormat="1" ht="12" customHeight="1">
      <c r="B31" s="142"/>
      <c r="C31" s="150" t="s">
        <v>372</v>
      </c>
      <c r="D31" s="152">
        <v>33.591999999999999</v>
      </c>
      <c r="E31" s="152">
        <v>81.402000000000001</v>
      </c>
      <c r="F31" s="152">
        <v>72.578999999999994</v>
      </c>
      <c r="G31" s="152">
        <v>79.903999999999996</v>
      </c>
      <c r="H31" s="152">
        <f>63.045</f>
        <v>63.045000000000002</v>
      </c>
      <c r="I31" s="152">
        <v>74.227000000000004</v>
      </c>
      <c r="J31" s="152">
        <f>60.859</f>
        <v>60.859000000000002</v>
      </c>
      <c r="K31" s="152">
        <f t="shared" ref="K31:R31" si="7">K69</f>
        <v>4.4273630602148888E-2</v>
      </c>
      <c r="L31" s="152">
        <f t="shared" si="7"/>
        <v>4.4586433753087761E-2</v>
      </c>
      <c r="M31" s="152">
        <f t="shared" si="7"/>
        <v>4.4901446928592215E-2</v>
      </c>
      <c r="N31" s="152">
        <f t="shared" si="7"/>
        <v>4.521868574298249E-2</v>
      </c>
      <c r="O31" s="152">
        <f t="shared" si="7"/>
        <v>4.5538165920897551E-2</v>
      </c>
      <c r="P31" s="152">
        <f t="shared" si="7"/>
        <v>4.5859903298074441E-2</v>
      </c>
      <c r="Q31" s="601">
        <f t="shared" si="7"/>
        <v>4.6183913822133292E-2</v>
      </c>
      <c r="R31" s="601">
        <f t="shared" si="7"/>
        <v>4.6510213553367714E-2</v>
      </c>
      <c r="S31" s="601">
        <f t="shared" ref="S31:W31" si="8">S69</f>
        <v>4.6838818665540911E-2</v>
      </c>
      <c r="T31" s="601">
        <f t="shared" si="8"/>
        <v>4.716974544668736E-2</v>
      </c>
      <c r="U31" s="601">
        <f t="shared" si="8"/>
        <v>4.7503010299920177E-2</v>
      </c>
      <c r="V31" s="601">
        <f t="shared" si="8"/>
        <v>4.7838629744244125E-2</v>
      </c>
      <c r="W31" s="601">
        <f t="shared" si="8"/>
        <v>4.8176620415374495E-2</v>
      </c>
      <c r="X31" s="142"/>
      <c r="Y31" s="142"/>
      <c r="Z31"/>
      <c r="AA31"/>
      <c r="AB31"/>
      <c r="AC31"/>
      <c r="AD31"/>
      <c r="AE31"/>
      <c r="AF31" s="142"/>
      <c r="AG31" s="142"/>
      <c r="AH31" s="142"/>
      <c r="AI31" s="142"/>
      <c r="AJ31" s="142"/>
      <c r="AK31" s="142"/>
      <c r="AL31" s="142"/>
      <c r="AM31" s="142"/>
      <c r="AN31" s="142"/>
      <c r="AO31" s="142"/>
      <c r="AP31" s="142"/>
      <c r="AQ31" s="142"/>
      <c r="AR31" s="142"/>
      <c r="AS31" s="142"/>
      <c r="AT31" s="142"/>
      <c r="AU31" s="142"/>
      <c r="AV31" s="142"/>
      <c r="AW31" s="142"/>
      <c r="AX31" s="142"/>
      <c r="AY31" s="142"/>
      <c r="AZ31" s="142"/>
      <c r="BA31" s="142"/>
      <c r="BB31" s="142"/>
      <c r="BC31" s="142"/>
      <c r="BD31" s="142"/>
      <c r="BE31" s="142"/>
      <c r="BF31" s="142"/>
      <c r="BG31" s="142"/>
      <c r="BH31" s="142"/>
      <c r="BI31" s="142"/>
      <c r="BJ31" s="142"/>
    </row>
    <row r="32" spans="1:62" s="143" customFormat="1" ht="12" customHeight="1">
      <c r="B32" s="142"/>
      <c r="C32" s="150" t="s">
        <v>373</v>
      </c>
      <c r="D32" s="97">
        <v>0</v>
      </c>
      <c r="E32" s="97">
        <v>235.499</v>
      </c>
      <c r="F32" s="97">
        <v>0</v>
      </c>
      <c r="G32" s="97">
        <v>117.464</v>
      </c>
      <c r="H32" s="97">
        <f>888.257</f>
        <v>888.25699999999995</v>
      </c>
      <c r="I32" s="97">
        <v>712.93799999999999</v>
      </c>
      <c r="J32" s="97">
        <v>0</v>
      </c>
      <c r="K32" s="97">
        <f t="shared" ref="K32:R32" si="9">K68</f>
        <v>0</v>
      </c>
      <c r="L32" s="97">
        <f t="shared" si="9"/>
        <v>0</v>
      </c>
      <c r="M32" s="97">
        <f t="shared" si="9"/>
        <v>0</v>
      </c>
      <c r="N32" s="97">
        <f t="shared" si="9"/>
        <v>0</v>
      </c>
      <c r="O32" s="97">
        <f t="shared" si="9"/>
        <v>0</v>
      </c>
      <c r="P32" s="97">
        <f t="shared" si="9"/>
        <v>0</v>
      </c>
      <c r="Q32" s="151">
        <f t="shared" si="9"/>
        <v>0</v>
      </c>
      <c r="R32" s="151">
        <f t="shared" si="9"/>
        <v>0</v>
      </c>
      <c r="S32" s="151">
        <f t="shared" ref="S32:W32" si="10">S68</f>
        <v>0</v>
      </c>
      <c r="T32" s="151">
        <f t="shared" si="10"/>
        <v>0</v>
      </c>
      <c r="U32" s="151">
        <f t="shared" si="10"/>
        <v>0</v>
      </c>
      <c r="V32" s="151">
        <f t="shared" si="10"/>
        <v>0</v>
      </c>
      <c r="W32" s="151">
        <f t="shared" si="10"/>
        <v>0</v>
      </c>
      <c r="X32" s="142"/>
      <c r="Y32" s="142"/>
      <c r="Z32"/>
      <c r="AA32"/>
      <c r="AB32"/>
      <c r="AC32"/>
      <c r="AD32"/>
      <c r="AE32"/>
      <c r="AF32" s="142"/>
      <c r="AG32" s="142"/>
      <c r="AH32" s="142"/>
      <c r="AI32" s="142"/>
      <c r="AJ32" s="142"/>
      <c r="AK32" s="142"/>
      <c r="AL32" s="142"/>
      <c r="AM32" s="142"/>
      <c r="AN32" s="142"/>
      <c r="AO32" s="142"/>
      <c r="AP32" s="142"/>
      <c r="AQ32" s="142"/>
      <c r="AR32" s="142"/>
      <c r="AS32" s="142"/>
      <c r="AT32" s="142"/>
      <c r="AU32" s="142"/>
      <c r="AV32" s="142"/>
      <c r="AW32" s="142"/>
      <c r="AX32" s="142"/>
      <c r="AY32" s="142"/>
      <c r="AZ32" s="142"/>
      <c r="BA32" s="142"/>
      <c r="BB32" s="142"/>
      <c r="BC32" s="142"/>
      <c r="BD32" s="142"/>
      <c r="BE32" s="142"/>
      <c r="BF32" s="142"/>
      <c r="BG32" s="142"/>
      <c r="BH32" s="142"/>
      <c r="BI32" s="142"/>
      <c r="BJ32" s="142"/>
    </row>
    <row r="33" spans="1:62" s="143" customFormat="1" ht="12" customHeight="1">
      <c r="B33" s="142"/>
      <c r="C33" s="150" t="s">
        <v>374</v>
      </c>
      <c r="D33" s="97">
        <v>0</v>
      </c>
      <c r="E33" s="97">
        <v>0</v>
      </c>
      <c r="F33" s="97">
        <v>-12.965</v>
      </c>
      <c r="G33" s="97">
        <v>-0.67400000000000004</v>
      </c>
      <c r="H33" s="97">
        <f>-0.163</f>
        <v>-0.16300000000000001</v>
      </c>
      <c r="I33" s="97">
        <v>0</v>
      </c>
      <c r="J33" s="97">
        <v>481.71300000000002</v>
      </c>
      <c r="K33" s="97">
        <f>BS!K22-BS!J22</f>
        <v>26.836999999999989</v>
      </c>
      <c r="L33" s="97">
        <f>BS!L22-BS!K22</f>
        <v>14.283000000000129</v>
      </c>
      <c r="M33" s="97">
        <f>BS!M22-BS!L22</f>
        <v>-359.64100000000008</v>
      </c>
      <c r="N33" s="97">
        <f>BS!N22-BS!M22</f>
        <v>0</v>
      </c>
      <c r="O33" s="97">
        <f>BS!O22-BS!N22</f>
        <v>0</v>
      </c>
      <c r="P33" s="97">
        <f>BS!P22-BS!O22</f>
        <v>0</v>
      </c>
      <c r="Q33" s="151">
        <f>BS!Q22-BS!P22</f>
        <v>-495</v>
      </c>
      <c r="R33" s="151">
        <f>BS!R22-BS!Q22</f>
        <v>0</v>
      </c>
      <c r="S33" s="151">
        <f>BS!S22-BS!R22</f>
        <v>0</v>
      </c>
      <c r="T33" s="151">
        <f>BS!T22-BS!S22</f>
        <v>0</v>
      </c>
      <c r="U33" s="151">
        <f>BS!U22-BS!T22</f>
        <v>0</v>
      </c>
      <c r="V33" s="151">
        <f>BS!V22-BS!U22</f>
        <v>0</v>
      </c>
      <c r="W33" s="151">
        <f>BS!W22-BS!V22</f>
        <v>0</v>
      </c>
      <c r="X33" s="142"/>
      <c r="Y33" s="142"/>
      <c r="Z33"/>
      <c r="AA33"/>
      <c r="AB33"/>
      <c r="AC33"/>
      <c r="AD33"/>
      <c r="AE33"/>
      <c r="AF33" s="142"/>
      <c r="AG33" s="142"/>
      <c r="AH33" s="142"/>
      <c r="AI33" s="142"/>
      <c r="AJ33" s="142"/>
      <c r="AK33" s="142"/>
      <c r="AL33" s="142"/>
      <c r="AM33" s="142"/>
      <c r="AN33" s="142"/>
      <c r="AO33" s="142"/>
      <c r="AP33" s="142"/>
      <c r="AQ33" s="142"/>
      <c r="AR33" s="142"/>
      <c r="AS33" s="142"/>
      <c r="AT33" s="142"/>
      <c r="AU33" s="142"/>
      <c r="AV33" s="142"/>
      <c r="AW33" s="142"/>
      <c r="AX33" s="142"/>
      <c r="AY33" s="142"/>
      <c r="AZ33" s="142"/>
      <c r="BA33" s="142"/>
      <c r="BB33" s="142"/>
      <c r="BC33" s="142"/>
      <c r="BD33" s="142"/>
      <c r="BE33" s="142"/>
      <c r="BF33" s="142"/>
      <c r="BG33" s="142"/>
      <c r="BH33" s="142"/>
      <c r="BI33" s="142"/>
      <c r="BJ33" s="142"/>
    </row>
    <row r="34" spans="1:62" s="143" customFormat="1" ht="12" customHeight="1">
      <c r="B34" s="142"/>
      <c r="C34" s="150" t="s">
        <v>105</v>
      </c>
      <c r="D34" s="97">
        <f>0.415-2.234-1.894-0.879</f>
        <v>-4.5920000000000005</v>
      </c>
      <c r="E34" s="97">
        <f>0.473-4.405-0.678</f>
        <v>-4.6100000000000003</v>
      </c>
      <c r="F34" s="97">
        <f>-6.397+726.202-29.813-3.061-0.607+0.733</f>
        <v>687.0569999999999</v>
      </c>
      <c r="G34" s="97">
        <f>-7.768+1.491-4.691-0.037</f>
        <v>-11.005000000000001</v>
      </c>
      <c r="H34" s="97">
        <f>-22.989+2.19-2.427</f>
        <v>-23.225999999999999</v>
      </c>
      <c r="I34" s="97">
        <f>-0.588-59.469</f>
        <v>-60.057000000000002</v>
      </c>
      <c r="J34" s="97">
        <f>-33.507-1.894-0.026</f>
        <v>-35.427</v>
      </c>
      <c r="K34" s="97">
        <f t="shared" ref="K34:R34" si="11">K70</f>
        <v>0</v>
      </c>
      <c r="L34" s="97">
        <f t="shared" si="11"/>
        <v>0</v>
      </c>
      <c r="M34" s="97">
        <f t="shared" si="11"/>
        <v>0</v>
      </c>
      <c r="N34" s="97">
        <f t="shared" si="11"/>
        <v>0</v>
      </c>
      <c r="O34" s="97">
        <f t="shared" si="11"/>
        <v>0</v>
      </c>
      <c r="P34" s="97">
        <f t="shared" si="11"/>
        <v>0</v>
      </c>
      <c r="Q34" s="151">
        <f t="shared" si="11"/>
        <v>0</v>
      </c>
      <c r="R34" s="151">
        <f t="shared" si="11"/>
        <v>0</v>
      </c>
      <c r="S34" s="151">
        <f t="shared" ref="S34:W34" si="12">S70</f>
        <v>0</v>
      </c>
      <c r="T34" s="151">
        <f t="shared" si="12"/>
        <v>0</v>
      </c>
      <c r="U34" s="151">
        <f t="shared" si="12"/>
        <v>0</v>
      </c>
      <c r="V34" s="151">
        <f t="shared" si="12"/>
        <v>0</v>
      </c>
      <c r="W34" s="151">
        <f t="shared" si="12"/>
        <v>0</v>
      </c>
      <c r="X34" s="142"/>
      <c r="Y34" s="142"/>
      <c r="Z34"/>
      <c r="AA34"/>
      <c r="AB34"/>
      <c r="AC34"/>
      <c r="AD34"/>
      <c r="AE34"/>
      <c r="AF34" s="142"/>
      <c r="AG34" s="142"/>
      <c r="AH34" s="142"/>
      <c r="AI34" s="142"/>
      <c r="AJ34" s="142"/>
      <c r="AK34" s="142"/>
      <c r="AL34" s="142"/>
      <c r="AM34" s="142"/>
      <c r="AN34" s="142"/>
      <c r="AO34" s="142"/>
      <c r="AP34" s="142"/>
      <c r="AQ34" s="142"/>
      <c r="AR34" s="142"/>
      <c r="AS34" s="142"/>
      <c r="AT34" s="142"/>
      <c r="AU34" s="142"/>
      <c r="AV34" s="142"/>
      <c r="AW34" s="142"/>
      <c r="AX34" s="142"/>
      <c r="AY34" s="142"/>
      <c r="AZ34" s="142"/>
      <c r="BA34" s="142"/>
      <c r="BB34" s="142"/>
      <c r="BC34" s="142"/>
      <c r="BD34" s="142"/>
      <c r="BE34" s="142"/>
      <c r="BF34" s="142"/>
      <c r="BG34" s="142"/>
      <c r="BH34" s="142"/>
      <c r="BI34" s="142"/>
      <c r="BJ34" s="142"/>
    </row>
    <row r="35" spans="1:62" s="148" customFormat="1" ht="13.5" customHeight="1" thickBot="1">
      <c r="A35" s="142"/>
      <c r="B35" s="142"/>
      <c r="C35" s="146" t="s">
        <v>376</v>
      </c>
      <c r="D35" s="147">
        <f t="shared" ref="D35:H35" si="13">SUM(D31:D34)</f>
        <v>29</v>
      </c>
      <c r="E35" s="147">
        <f t="shared" si="13"/>
        <v>312.291</v>
      </c>
      <c r="F35" s="147">
        <f t="shared" si="13"/>
        <v>746.67099999999994</v>
      </c>
      <c r="G35" s="147">
        <f t="shared" si="13"/>
        <v>185.68899999999999</v>
      </c>
      <c r="H35" s="504">
        <f t="shared" si="13"/>
        <v>927.9129999999999</v>
      </c>
      <c r="I35" s="504">
        <f t="shared" ref="I35:N35" si="14">SUM(I31:I34)</f>
        <v>727.10799999999995</v>
      </c>
      <c r="J35" s="504">
        <f t="shared" si="14"/>
        <v>507.14499999999998</v>
      </c>
      <c r="K35" s="504">
        <f t="shared" si="14"/>
        <v>26.881273630602138</v>
      </c>
      <c r="L35" s="504">
        <f t="shared" si="14"/>
        <v>14.327586433753217</v>
      </c>
      <c r="M35" s="504">
        <f t="shared" si="14"/>
        <v>-359.5960985530715</v>
      </c>
      <c r="N35" s="504">
        <f t="shared" si="14"/>
        <v>4.521868574298249E-2</v>
      </c>
      <c r="O35" s="504">
        <f t="shared" ref="O35:R35" si="15">SUM(O31:O34)</f>
        <v>4.5538165920897551E-2</v>
      </c>
      <c r="P35" s="504">
        <f t="shared" si="15"/>
        <v>4.5859903298074441E-2</v>
      </c>
      <c r="Q35" s="504">
        <f t="shared" si="15"/>
        <v>-494.95381608617788</v>
      </c>
      <c r="R35" s="504">
        <f t="shared" si="15"/>
        <v>4.6510213553367714E-2</v>
      </c>
      <c r="S35" s="504">
        <f t="shared" ref="S35:W35" si="16">SUM(S31:S34)</f>
        <v>4.6838818665540911E-2</v>
      </c>
      <c r="T35" s="504">
        <f t="shared" si="16"/>
        <v>4.716974544668736E-2</v>
      </c>
      <c r="U35" s="504">
        <f t="shared" si="16"/>
        <v>4.7503010299920177E-2</v>
      </c>
      <c r="V35" s="504">
        <f t="shared" si="16"/>
        <v>4.7838629744244125E-2</v>
      </c>
      <c r="W35" s="505">
        <f t="shared" si="16"/>
        <v>4.8176620415374495E-2</v>
      </c>
      <c r="X35" s="142"/>
      <c r="Y35" s="142"/>
      <c r="Z35"/>
      <c r="AA35"/>
      <c r="AB35"/>
      <c r="AC35"/>
      <c r="AD35"/>
      <c r="AE35"/>
      <c r="AF35" s="142"/>
      <c r="AG35" s="142"/>
      <c r="AH35" s="142"/>
      <c r="AI35" s="142"/>
      <c r="AJ35" s="142"/>
      <c r="AK35" s="142"/>
      <c r="AL35" s="142"/>
      <c r="AM35" s="142"/>
      <c r="AN35" s="142"/>
      <c r="AO35" s="142"/>
      <c r="AP35" s="142"/>
      <c r="AQ35" s="142"/>
      <c r="AR35" s="142"/>
      <c r="AS35" s="142"/>
      <c r="AT35" s="142"/>
      <c r="AU35" s="142"/>
      <c r="AV35" s="142"/>
      <c r="AW35" s="142"/>
      <c r="AX35" s="142"/>
      <c r="AY35" s="142"/>
      <c r="AZ35" s="142"/>
      <c r="BA35" s="142"/>
      <c r="BB35" s="142"/>
      <c r="BC35" s="142"/>
      <c r="BD35" s="142"/>
      <c r="BE35" s="142"/>
      <c r="BF35" s="142"/>
      <c r="BG35" s="142"/>
      <c r="BH35" s="142"/>
      <c r="BI35" s="142"/>
      <c r="BJ35" s="142"/>
    </row>
    <row r="36" spans="1:62" s="142" customFormat="1" ht="9" customHeight="1">
      <c r="C36" s="149"/>
      <c r="D36" s="153"/>
      <c r="E36" s="153"/>
      <c r="F36" s="153"/>
      <c r="G36" s="153"/>
      <c r="H36" s="153"/>
      <c r="I36" s="153"/>
      <c r="J36" s="153"/>
      <c r="K36" s="153"/>
      <c r="L36" s="153"/>
      <c r="M36" s="153"/>
      <c r="N36" s="153"/>
      <c r="O36" s="153"/>
      <c r="P36" s="153"/>
      <c r="Q36" s="153"/>
      <c r="R36" s="153"/>
      <c r="S36" s="153"/>
      <c r="T36" s="153"/>
      <c r="U36" s="153"/>
      <c r="V36" s="153"/>
      <c r="W36" s="153"/>
      <c r="Z36"/>
      <c r="AA36"/>
      <c r="AB36"/>
      <c r="AC36"/>
      <c r="AD36"/>
      <c r="AE36"/>
    </row>
    <row r="37" spans="1:62" s="143" customFormat="1" ht="12" customHeight="1">
      <c r="B37" s="142"/>
      <c r="C37" s="150" t="s">
        <v>378</v>
      </c>
      <c r="D37" s="152">
        <v>0</v>
      </c>
      <c r="E37" s="152">
        <v>0</v>
      </c>
      <c r="F37" s="152">
        <v>0</v>
      </c>
      <c r="G37" s="152">
        <v>-3.3980000000000001</v>
      </c>
      <c r="H37" s="152">
        <v>-5.0720000000000001</v>
      </c>
      <c r="I37" s="97">
        <v>-3.9340000000000002</v>
      </c>
      <c r="J37" s="97">
        <v>-3.2309999999999999</v>
      </c>
      <c r="K37" s="97">
        <v>0</v>
      </c>
      <c r="L37" s="97">
        <v>0</v>
      </c>
      <c r="M37" s="97">
        <v>0</v>
      </c>
      <c r="N37" s="97">
        <v>0</v>
      </c>
      <c r="O37" s="97">
        <v>0</v>
      </c>
      <c r="P37" s="97">
        <v>0</v>
      </c>
      <c r="Q37" s="151">
        <v>0</v>
      </c>
      <c r="R37" s="151">
        <v>0</v>
      </c>
      <c r="S37" s="151">
        <v>0</v>
      </c>
      <c r="T37" s="151">
        <v>0</v>
      </c>
      <c r="U37" s="151">
        <v>0</v>
      </c>
      <c r="V37" s="151">
        <v>0</v>
      </c>
      <c r="W37" s="151">
        <v>0</v>
      </c>
      <c r="X37" s="142"/>
      <c r="Y37" s="142"/>
      <c r="Z37"/>
      <c r="AA37"/>
      <c r="AB37"/>
      <c r="AC37"/>
      <c r="AD37"/>
      <c r="AE37"/>
      <c r="AF37" s="142"/>
      <c r="AG37" s="142"/>
      <c r="AH37" s="142"/>
      <c r="AI37" s="142"/>
      <c r="AJ37" s="142"/>
      <c r="AK37" s="142"/>
      <c r="AL37" s="142"/>
      <c r="AM37" s="142"/>
      <c r="AN37" s="142"/>
      <c r="AO37" s="142"/>
      <c r="AP37" s="142"/>
      <c r="AQ37" s="142"/>
      <c r="AR37" s="142"/>
      <c r="AS37" s="142"/>
      <c r="AT37" s="142"/>
      <c r="AU37" s="142"/>
      <c r="AV37" s="142"/>
      <c r="AW37" s="142"/>
      <c r="AX37" s="142"/>
      <c r="AY37" s="142"/>
      <c r="AZ37" s="142"/>
      <c r="BA37" s="142"/>
      <c r="BB37" s="142"/>
      <c r="BC37" s="142"/>
      <c r="BD37" s="142"/>
      <c r="BE37" s="142"/>
      <c r="BF37" s="142"/>
      <c r="BG37" s="142"/>
      <c r="BH37" s="142"/>
      <c r="BI37" s="142"/>
      <c r="BJ37" s="142"/>
    </row>
    <row r="38" spans="1:62" s="142" customFormat="1" ht="9" customHeight="1">
      <c r="C38" s="149"/>
      <c r="D38" s="153"/>
      <c r="E38" s="153"/>
      <c r="F38" s="153"/>
      <c r="G38" s="153"/>
      <c r="H38" s="153"/>
      <c r="I38" s="153"/>
      <c r="J38" s="153"/>
      <c r="K38" s="153"/>
      <c r="L38" s="153"/>
      <c r="M38" s="153"/>
      <c r="N38" s="153"/>
      <c r="O38" s="153"/>
      <c r="P38" s="153"/>
      <c r="Q38" s="153"/>
      <c r="R38" s="153"/>
      <c r="S38" s="153"/>
      <c r="T38" s="153"/>
      <c r="U38" s="153"/>
      <c r="V38" s="153"/>
      <c r="W38" s="153"/>
      <c r="Z38"/>
      <c r="AA38"/>
      <c r="AB38"/>
      <c r="AC38"/>
      <c r="AD38"/>
      <c r="AE38"/>
    </row>
    <row r="39" spans="1:62" s="143" customFormat="1" ht="13.5" customHeight="1">
      <c r="B39" s="142"/>
      <c r="C39" s="154" t="s">
        <v>326</v>
      </c>
      <c r="D39" s="151">
        <f>SUM(D19,D27,D35)+D37</f>
        <v>-41.807000000000045</v>
      </c>
      <c r="E39" s="151">
        <f>SUM(E19,E27,E35)+E37</f>
        <v>134.25499999999997</v>
      </c>
      <c r="F39" s="151">
        <f>SUM(F19,F27,F35)+F37</f>
        <v>388.25400000000002</v>
      </c>
      <c r="G39" s="151">
        <f>SUM(G19,G27,G35)+G37</f>
        <v>306.70500000000004</v>
      </c>
      <c r="H39" s="151">
        <f>SUM(H19,H27,H35)+H37</f>
        <v>-478.44599999999991</v>
      </c>
      <c r="I39" s="151">
        <f t="shared" ref="I39:R39" si="17">SUM(I19,I27,I35)+I37</f>
        <v>11.289999999999932</v>
      </c>
      <c r="J39" s="151">
        <f t="shared" si="17"/>
        <v>189.69800000000004</v>
      </c>
      <c r="K39" s="151">
        <f t="shared" si="17"/>
        <v>-133.25558988720132</v>
      </c>
      <c r="L39" s="151">
        <f t="shared" si="17"/>
        <v>-58.227738466506004</v>
      </c>
      <c r="M39" s="151">
        <f t="shared" si="17"/>
        <v>-263.87730042674627</v>
      </c>
      <c r="N39" s="151">
        <f t="shared" si="17"/>
        <v>319.04903722255023</v>
      </c>
      <c r="O39" s="151">
        <f t="shared" si="17"/>
        <v>564.07023242586376</v>
      </c>
      <c r="P39" s="151">
        <f t="shared" si="17"/>
        <v>800.13517169591967</v>
      </c>
      <c r="Q39" s="151">
        <f t="shared" si="17"/>
        <v>613.79228978130971</v>
      </c>
      <c r="R39" s="151">
        <f t="shared" si="17"/>
        <v>1433.924275018212</v>
      </c>
      <c r="S39" s="151">
        <f t="shared" ref="S39:W39" si="18">SUM(S19,S27,S35)+S37</f>
        <v>1716.6603963966188</v>
      </c>
      <c r="T39" s="151">
        <f t="shared" si="18"/>
        <v>1969.0185595379103</v>
      </c>
      <c r="U39" s="151">
        <f t="shared" si="18"/>
        <v>1932.3089071373086</v>
      </c>
      <c r="V39" s="151">
        <f t="shared" si="18"/>
        <v>2270.4888704282462</v>
      </c>
      <c r="W39" s="151">
        <f t="shared" si="18"/>
        <v>2442.2237693479078</v>
      </c>
      <c r="X39" s="142"/>
      <c r="Y39" s="142"/>
      <c r="Z39"/>
      <c r="AA39"/>
      <c r="AB39"/>
      <c r="AC39"/>
      <c r="AD39"/>
      <c r="AE39"/>
      <c r="AF39" s="142"/>
      <c r="AG39" s="142"/>
      <c r="AH39" s="142"/>
      <c r="AI39" s="142"/>
      <c r="AJ39" s="142"/>
      <c r="AK39" s="142"/>
      <c r="AL39" s="142"/>
      <c r="AM39" s="142"/>
      <c r="AN39" s="142"/>
      <c r="AO39" s="142"/>
      <c r="AP39" s="142"/>
      <c r="AQ39" s="142"/>
      <c r="AR39" s="142"/>
      <c r="AS39" s="142"/>
      <c r="AT39" s="142"/>
      <c r="AU39" s="142"/>
      <c r="AV39" s="142"/>
      <c r="AW39" s="142"/>
      <c r="AX39" s="142"/>
      <c r="AY39" s="142"/>
      <c r="AZ39" s="142"/>
      <c r="BA39" s="142"/>
      <c r="BB39" s="142"/>
      <c r="BC39" s="142"/>
      <c r="BD39" s="142"/>
      <c r="BE39" s="142"/>
      <c r="BF39" s="142"/>
      <c r="BG39" s="142"/>
      <c r="BH39" s="142"/>
      <c r="BI39" s="142"/>
      <c r="BJ39" s="142"/>
    </row>
    <row r="40" spans="1:62" s="143" customFormat="1" ht="13.5" customHeight="1">
      <c r="B40" s="142"/>
      <c r="C40" s="154" t="s">
        <v>327</v>
      </c>
      <c r="D40" s="151">
        <v>88.078999999999994</v>
      </c>
      <c r="E40" s="151">
        <v>46.271999999999998</v>
      </c>
      <c r="F40" s="151">
        <v>180.52699999999999</v>
      </c>
      <c r="G40" s="151">
        <v>568.78099999999995</v>
      </c>
      <c r="H40" s="151">
        <v>875.48599999999999</v>
      </c>
      <c r="I40" s="151">
        <f t="shared" ref="I40:R40" si="19">H42</f>
        <v>397.04000000000008</v>
      </c>
      <c r="J40" s="151">
        <f t="shared" si="19"/>
        <v>408.33</v>
      </c>
      <c r="K40" s="151">
        <f t="shared" si="19"/>
        <v>598.02800000000002</v>
      </c>
      <c r="L40" s="151">
        <f t="shared" si="19"/>
        <v>464.7724101127987</v>
      </c>
      <c r="M40" s="151">
        <f t="shared" si="19"/>
        <v>406.54467164629267</v>
      </c>
      <c r="N40" s="151">
        <f t="shared" si="19"/>
        <v>142.6673712195464</v>
      </c>
      <c r="O40" s="151">
        <f t="shared" si="19"/>
        <v>461.71640844209662</v>
      </c>
      <c r="P40" s="151">
        <f t="shared" si="19"/>
        <v>1025.7866408679604</v>
      </c>
      <c r="Q40" s="151">
        <f t="shared" si="19"/>
        <v>1825.9218125638799</v>
      </c>
      <c r="R40" s="151">
        <f t="shared" si="19"/>
        <v>2439.7141023451895</v>
      </c>
      <c r="S40" s="151">
        <f t="shared" ref="S40" si="20">R42</f>
        <v>3873.6383773634016</v>
      </c>
      <c r="T40" s="151">
        <f t="shared" ref="T40" si="21">S42</f>
        <v>5590.2987737600206</v>
      </c>
      <c r="U40" s="151">
        <f t="shared" ref="U40" si="22">T42</f>
        <v>7559.3173332979313</v>
      </c>
      <c r="V40" s="151">
        <f t="shared" ref="V40" si="23">U42</f>
        <v>9491.6262404352401</v>
      </c>
      <c r="W40" s="151">
        <f t="shared" ref="W40" si="24">V42</f>
        <v>11762.115110863486</v>
      </c>
      <c r="X40" s="142"/>
      <c r="Y40" s="142"/>
      <c r="Z40"/>
      <c r="AA40"/>
      <c r="AB40"/>
      <c r="AC40"/>
      <c r="AD40"/>
      <c r="AE40"/>
      <c r="AF40" s="142"/>
      <c r="AG40" s="142"/>
      <c r="AH40" s="142"/>
      <c r="AI40" s="142"/>
      <c r="AJ40" s="142"/>
      <c r="AK40" s="142"/>
      <c r="AL40" s="142"/>
      <c r="AM40" s="142"/>
      <c r="AN40" s="142"/>
      <c r="AO40" s="142"/>
      <c r="AP40" s="142"/>
      <c r="AQ40" s="142"/>
      <c r="AR40" s="142"/>
      <c r="AS40" s="142"/>
      <c r="AT40" s="142"/>
      <c r="AU40" s="142"/>
      <c r="AV40" s="142"/>
      <c r="AW40" s="142"/>
      <c r="AX40" s="142"/>
      <c r="AY40" s="142"/>
      <c r="AZ40" s="142"/>
      <c r="BA40" s="142"/>
      <c r="BB40" s="142"/>
      <c r="BC40" s="142"/>
      <c r="BD40" s="142"/>
      <c r="BE40" s="142"/>
      <c r="BF40" s="142"/>
      <c r="BG40" s="142"/>
      <c r="BH40" s="142"/>
      <c r="BI40" s="142"/>
      <c r="BJ40" s="142"/>
    </row>
    <row r="41" spans="1:62" s="143" customFormat="1" ht="9" customHeight="1">
      <c r="B41" s="142"/>
      <c r="C41" s="154"/>
      <c r="D41" s="151"/>
      <c r="E41" s="151"/>
      <c r="F41" s="151"/>
      <c r="G41" s="151"/>
      <c r="H41" s="151"/>
      <c r="I41" s="151"/>
      <c r="J41" s="151"/>
      <c r="K41" s="151"/>
      <c r="L41" s="151"/>
      <c r="M41" s="151"/>
      <c r="N41" s="151"/>
      <c r="O41" s="151"/>
      <c r="P41" s="151"/>
      <c r="Q41" s="151"/>
      <c r="R41" s="151"/>
      <c r="S41" s="151"/>
      <c r="T41" s="151"/>
      <c r="U41" s="151"/>
      <c r="V41" s="151"/>
      <c r="W41" s="151"/>
      <c r="X41" s="142"/>
      <c r="Y41" s="142"/>
      <c r="Z41"/>
      <c r="AA41"/>
      <c r="AB41"/>
      <c r="AC41"/>
      <c r="AD41"/>
      <c r="AE41"/>
      <c r="AF41" s="142"/>
      <c r="AG41" s="142"/>
      <c r="AH41" s="142"/>
      <c r="AI41" s="142"/>
      <c r="AJ41" s="142"/>
      <c r="AK41" s="142"/>
      <c r="AL41" s="142"/>
      <c r="AM41" s="142"/>
      <c r="AN41" s="142"/>
      <c r="AO41" s="142"/>
      <c r="AP41" s="142"/>
      <c r="AQ41" s="142"/>
      <c r="AR41" s="142"/>
      <c r="AS41" s="142"/>
      <c r="AT41" s="142"/>
      <c r="AU41" s="142"/>
      <c r="AV41" s="142"/>
      <c r="AW41" s="142"/>
      <c r="AX41" s="142"/>
      <c r="AY41" s="142"/>
      <c r="AZ41" s="142"/>
      <c r="BA41" s="142"/>
      <c r="BB41" s="142"/>
      <c r="BC41" s="142"/>
      <c r="BD41" s="142"/>
      <c r="BE41" s="142"/>
      <c r="BF41" s="142"/>
      <c r="BG41" s="142"/>
      <c r="BH41" s="142"/>
      <c r="BI41" s="142"/>
      <c r="BJ41" s="142"/>
    </row>
    <row r="42" spans="1:62" s="143" customFormat="1">
      <c r="B42" s="142"/>
      <c r="C42" s="155" t="s">
        <v>328</v>
      </c>
      <c r="D42" s="156">
        <f t="shared" ref="D42:F42" si="25">SUM(D39:D40)</f>
        <v>46.271999999999949</v>
      </c>
      <c r="E42" s="156">
        <f t="shared" si="25"/>
        <v>180.52699999999996</v>
      </c>
      <c r="F42" s="156">
        <f t="shared" si="25"/>
        <v>568.78099999999995</v>
      </c>
      <c r="G42" s="156">
        <f t="shared" ref="G42:H42" si="26">SUM(G39:G40)</f>
        <v>875.48599999999999</v>
      </c>
      <c r="H42" s="156">
        <f t="shared" si="26"/>
        <v>397.04000000000008</v>
      </c>
      <c r="I42" s="156">
        <f t="shared" ref="I42:N42" si="27">SUM(I39:I40)</f>
        <v>408.33</v>
      </c>
      <c r="J42" s="156">
        <f t="shared" si="27"/>
        <v>598.02800000000002</v>
      </c>
      <c r="K42" s="156">
        <f t="shared" si="27"/>
        <v>464.7724101127987</v>
      </c>
      <c r="L42" s="156">
        <f t="shared" si="27"/>
        <v>406.54467164629267</v>
      </c>
      <c r="M42" s="156">
        <f t="shared" si="27"/>
        <v>142.6673712195464</v>
      </c>
      <c r="N42" s="156">
        <f t="shared" si="27"/>
        <v>461.71640844209662</v>
      </c>
      <c r="O42" s="156">
        <f t="shared" ref="O42:R42" si="28">SUM(O39:O40)</f>
        <v>1025.7866408679604</v>
      </c>
      <c r="P42" s="156">
        <f t="shared" si="28"/>
        <v>1825.9218125638799</v>
      </c>
      <c r="Q42" s="156">
        <f t="shared" si="28"/>
        <v>2439.7141023451895</v>
      </c>
      <c r="R42" s="156">
        <f t="shared" si="28"/>
        <v>3873.6383773634016</v>
      </c>
      <c r="S42" s="156">
        <f t="shared" ref="S42:W42" si="29">SUM(S39:S40)</f>
        <v>5590.2987737600206</v>
      </c>
      <c r="T42" s="156">
        <f t="shared" si="29"/>
        <v>7559.3173332979313</v>
      </c>
      <c r="U42" s="156">
        <f t="shared" si="29"/>
        <v>9491.6262404352401</v>
      </c>
      <c r="V42" s="156">
        <f t="shared" si="29"/>
        <v>11762.115110863486</v>
      </c>
      <c r="W42" s="157">
        <f t="shared" si="29"/>
        <v>14204.338880211393</v>
      </c>
      <c r="X42" s="142"/>
      <c r="Y42" s="142"/>
      <c r="Z42"/>
      <c r="AA42"/>
      <c r="AB42"/>
      <c r="AC42"/>
      <c r="AD42"/>
      <c r="AE42"/>
      <c r="AF42" s="142"/>
      <c r="AG42" s="142"/>
      <c r="AH42" s="142"/>
      <c r="AI42" s="142"/>
      <c r="AJ42" s="142"/>
      <c r="AK42" s="142"/>
      <c r="AL42" s="142"/>
      <c r="AM42" s="142"/>
      <c r="AN42" s="142"/>
      <c r="AO42" s="142"/>
      <c r="AP42" s="142"/>
      <c r="AQ42" s="142"/>
      <c r="AR42" s="142"/>
      <c r="AS42" s="142"/>
      <c r="AT42" s="142"/>
      <c r="AU42" s="142"/>
      <c r="AV42" s="142"/>
      <c r="AW42" s="142"/>
      <c r="AX42" s="142"/>
      <c r="AY42" s="142"/>
      <c r="AZ42" s="142"/>
      <c r="BA42" s="142"/>
      <c r="BB42" s="142"/>
      <c r="BC42" s="142"/>
      <c r="BD42" s="142"/>
      <c r="BE42" s="142"/>
      <c r="BF42" s="142"/>
      <c r="BG42" s="142"/>
      <c r="BH42" s="142"/>
      <c r="BI42" s="142"/>
      <c r="BJ42" s="142"/>
    </row>
    <row r="43" spans="1:62" s="140" customFormat="1">
      <c r="B43" s="138"/>
      <c r="C43" s="158" t="s">
        <v>329</v>
      </c>
      <c r="D43" s="153">
        <v>0</v>
      </c>
      <c r="E43" s="153">
        <v>0</v>
      </c>
      <c r="F43" s="153">
        <v>0</v>
      </c>
      <c r="G43" s="153">
        <v>0</v>
      </c>
      <c r="H43" s="153">
        <v>0</v>
      </c>
      <c r="I43" s="153">
        <f>BS!I6+BS!I12</f>
        <v>954.05799999999999</v>
      </c>
      <c r="J43" s="153">
        <f>BS!J6+BS!J12</f>
        <v>1183.7250000000001</v>
      </c>
      <c r="K43" s="153">
        <f>BS!K6+BS!K12</f>
        <v>1183.7250000000001</v>
      </c>
      <c r="L43" s="153">
        <f>BS!L6+BS!L12</f>
        <v>1183.7250000000001</v>
      </c>
      <c r="M43" s="153">
        <f>BS!M6+BS!M12</f>
        <v>1183.7250000000001</v>
      </c>
      <c r="N43" s="153">
        <f>BS!N6+BS!N12</f>
        <v>1183.7250000000001</v>
      </c>
      <c r="O43" s="153">
        <f>BS!O6+BS!O12</f>
        <v>1183.7250000000001</v>
      </c>
      <c r="P43" s="153">
        <f>BS!P6+BS!P12</f>
        <v>1183.7250000000001</v>
      </c>
      <c r="Q43" s="153">
        <f>BS!Q6+BS!Q12</f>
        <v>1183.7250000000001</v>
      </c>
      <c r="R43" s="153">
        <f>BS!R6+BS!R12</f>
        <v>1183.7250000000001</v>
      </c>
      <c r="S43" s="153">
        <f>BS!S6+BS!S12</f>
        <v>1183.7250000000001</v>
      </c>
      <c r="T43" s="153">
        <f>BS!T6+BS!T12</f>
        <v>1183.7250000000001</v>
      </c>
      <c r="U43" s="153">
        <f>BS!U6+BS!U12</f>
        <v>1183.7250000000001</v>
      </c>
      <c r="V43" s="153">
        <f>BS!V6+BS!V12</f>
        <v>1183.7250000000001</v>
      </c>
      <c r="W43" s="159">
        <f>BS!W6+BS!W12</f>
        <v>1183.7250000000001</v>
      </c>
      <c r="X43" s="138"/>
      <c r="Y43" s="138"/>
      <c r="Z43"/>
      <c r="AA43"/>
      <c r="AB43"/>
      <c r="AC43"/>
      <c r="AD43"/>
      <c r="AE43"/>
      <c r="AF43" s="138"/>
      <c r="AG43" s="138"/>
      <c r="AH43" s="138"/>
      <c r="AI43" s="138"/>
      <c r="AJ43" s="138"/>
      <c r="AK43" s="138"/>
      <c r="AL43" s="138"/>
      <c r="AM43" s="138"/>
      <c r="AN43" s="138"/>
      <c r="AO43" s="138"/>
      <c r="AP43" s="138"/>
      <c r="AQ43" s="138"/>
      <c r="AR43" s="138"/>
      <c r="AS43" s="138"/>
      <c r="AT43" s="138"/>
      <c r="AU43" s="138"/>
      <c r="AV43" s="138"/>
      <c r="AW43" s="138"/>
      <c r="AX43" s="138"/>
      <c r="AY43" s="138"/>
      <c r="AZ43" s="138"/>
      <c r="BA43" s="138"/>
      <c r="BB43" s="138"/>
      <c r="BC43" s="138"/>
      <c r="BD43" s="138"/>
      <c r="BE43" s="138"/>
      <c r="BF43" s="138"/>
      <c r="BG43" s="138"/>
      <c r="BH43" s="138"/>
      <c r="BI43" s="138"/>
      <c r="BJ43" s="138"/>
    </row>
    <row r="44" spans="1:62" s="140" customFormat="1">
      <c r="B44" s="138"/>
      <c r="C44" s="160" t="s">
        <v>330</v>
      </c>
      <c r="D44" s="161">
        <f t="shared" ref="D44:H44" si="30">D42+D43</f>
        <v>46.271999999999949</v>
      </c>
      <c r="E44" s="161">
        <f t="shared" si="30"/>
        <v>180.52699999999996</v>
      </c>
      <c r="F44" s="161">
        <f t="shared" si="30"/>
        <v>568.78099999999995</v>
      </c>
      <c r="G44" s="161">
        <f t="shared" si="30"/>
        <v>875.48599999999999</v>
      </c>
      <c r="H44" s="161">
        <f t="shared" si="30"/>
        <v>397.04000000000008</v>
      </c>
      <c r="I44" s="161">
        <f t="shared" ref="I44:R44" si="31">I42+I43</f>
        <v>1362.3879999999999</v>
      </c>
      <c r="J44" s="161">
        <f t="shared" si="31"/>
        <v>1781.7530000000002</v>
      </c>
      <c r="K44" s="161">
        <f t="shared" si="31"/>
        <v>1648.4974101127989</v>
      </c>
      <c r="L44" s="161">
        <f t="shared" si="31"/>
        <v>1590.2696716462929</v>
      </c>
      <c r="M44" s="161">
        <f t="shared" si="31"/>
        <v>1326.3923712195465</v>
      </c>
      <c r="N44" s="161">
        <f t="shared" si="31"/>
        <v>1645.4414084420969</v>
      </c>
      <c r="O44" s="161">
        <f t="shared" si="31"/>
        <v>2209.5116408679605</v>
      </c>
      <c r="P44" s="161">
        <f t="shared" si="31"/>
        <v>3009.6468125638803</v>
      </c>
      <c r="Q44" s="161">
        <f t="shared" si="31"/>
        <v>3623.4391023451899</v>
      </c>
      <c r="R44" s="161">
        <f t="shared" si="31"/>
        <v>5057.3633773634019</v>
      </c>
      <c r="S44" s="161">
        <f t="shared" ref="S44:W44" si="32">S42+S43</f>
        <v>6774.023773760021</v>
      </c>
      <c r="T44" s="161">
        <f t="shared" si="32"/>
        <v>8743.0423332979317</v>
      </c>
      <c r="U44" s="161">
        <f t="shared" si="32"/>
        <v>10675.35124043524</v>
      </c>
      <c r="V44" s="161">
        <f t="shared" si="32"/>
        <v>12945.840110863486</v>
      </c>
      <c r="W44" s="162">
        <f t="shared" si="32"/>
        <v>15388.063880211394</v>
      </c>
      <c r="X44" s="138"/>
      <c r="Y44" s="138"/>
      <c r="Z44"/>
      <c r="AA44"/>
      <c r="AB44"/>
      <c r="AC44"/>
      <c r="AD44"/>
      <c r="AE44"/>
      <c r="AF44" s="138"/>
      <c r="AG44" s="138"/>
      <c r="AH44" s="138"/>
      <c r="AI44" s="138"/>
      <c r="AJ44" s="138"/>
      <c r="AK44" s="138"/>
      <c r="AL44" s="138"/>
      <c r="AM44" s="138"/>
      <c r="AN44" s="138"/>
      <c r="AO44" s="138"/>
      <c r="AP44" s="138"/>
      <c r="AQ44" s="138"/>
      <c r="AR44" s="138"/>
      <c r="AS44" s="138"/>
      <c r="AT44" s="138"/>
      <c r="AU44" s="138"/>
      <c r="AV44" s="138"/>
      <c r="AW44" s="138"/>
      <c r="AX44" s="138"/>
      <c r="AY44" s="138"/>
      <c r="AZ44" s="138"/>
      <c r="BA44" s="138"/>
      <c r="BB44" s="138"/>
      <c r="BC44" s="138"/>
      <c r="BD44" s="138"/>
      <c r="BE44" s="138"/>
      <c r="BF44" s="138"/>
      <c r="BG44" s="138"/>
      <c r="BH44" s="138"/>
      <c r="BI44" s="138"/>
      <c r="BJ44" s="138"/>
    </row>
    <row r="45" spans="1:62" s="140" customFormat="1">
      <c r="B45" s="138"/>
      <c r="C45" s="163"/>
      <c r="D45" s="164"/>
      <c r="E45" s="164"/>
      <c r="F45" s="164"/>
      <c r="G45" s="164"/>
      <c r="H45" s="164"/>
      <c r="I45" s="164"/>
      <c r="J45" s="164"/>
      <c r="K45" s="164"/>
      <c r="L45" s="164"/>
      <c r="M45" s="164"/>
      <c r="N45" s="164"/>
      <c r="O45" s="164"/>
      <c r="P45" s="164"/>
      <c r="Q45" s="164"/>
      <c r="R45" s="164"/>
      <c r="S45" s="164"/>
      <c r="T45" s="164"/>
      <c r="U45" s="164"/>
      <c r="V45" s="164"/>
      <c r="W45" s="164"/>
      <c r="X45" s="138"/>
      <c r="Y45" s="138"/>
      <c r="Z45"/>
      <c r="AA45"/>
      <c r="AB45"/>
      <c r="AC45"/>
      <c r="AD45"/>
      <c r="AE45"/>
      <c r="AF45" s="138"/>
      <c r="AG45" s="138"/>
      <c r="AH45" s="138"/>
      <c r="AI45" s="138"/>
      <c r="AJ45" s="138"/>
      <c r="AK45" s="138"/>
      <c r="AL45" s="138"/>
      <c r="AM45" s="138"/>
      <c r="AN45" s="138"/>
      <c r="AO45" s="138"/>
      <c r="AP45" s="138"/>
      <c r="AQ45" s="138"/>
      <c r="AR45" s="138"/>
      <c r="AS45" s="138"/>
      <c r="AT45" s="138"/>
      <c r="AU45" s="138"/>
      <c r="AV45" s="138"/>
      <c r="AW45" s="138"/>
      <c r="AX45" s="138"/>
      <c r="AY45" s="138"/>
      <c r="AZ45" s="138"/>
      <c r="BA45" s="138"/>
      <c r="BB45" s="138"/>
      <c r="BC45" s="138"/>
      <c r="BD45" s="138"/>
      <c r="BE45" s="138"/>
      <c r="BF45" s="138"/>
      <c r="BG45" s="138"/>
      <c r="BH45" s="138"/>
      <c r="BI45" s="138"/>
      <c r="BJ45" s="138"/>
    </row>
    <row r="46" spans="1:62" ht="13.5" customHeight="1">
      <c r="C46" s="99" t="s">
        <v>298</v>
      </c>
      <c r="D46" s="98"/>
      <c r="E46" s="98"/>
      <c r="F46" s="98"/>
      <c r="G46" s="98"/>
      <c r="H46" s="98"/>
      <c r="I46" s="98"/>
      <c r="J46" s="98"/>
      <c r="K46" s="98"/>
      <c r="L46" s="98"/>
      <c r="M46" s="98"/>
      <c r="N46" s="98"/>
      <c r="O46" s="98"/>
      <c r="P46" s="98"/>
      <c r="Q46" s="98"/>
      <c r="R46" s="98"/>
      <c r="S46" s="98"/>
      <c r="T46" s="98"/>
      <c r="U46" s="98"/>
      <c r="V46" s="98"/>
      <c r="W46" s="98"/>
    </row>
    <row r="47" spans="1:62">
      <c r="D47" s="98"/>
      <c r="E47" s="98"/>
      <c r="F47" s="98"/>
      <c r="G47" s="98"/>
      <c r="H47" s="98"/>
      <c r="I47" s="98"/>
      <c r="J47" s="98"/>
      <c r="K47" s="98"/>
      <c r="L47" s="98"/>
      <c r="M47" s="98"/>
      <c r="N47" s="98"/>
      <c r="O47" s="98"/>
      <c r="P47" s="98"/>
      <c r="Q47" s="98"/>
      <c r="R47" s="98"/>
      <c r="S47" s="98"/>
      <c r="T47" s="98"/>
      <c r="U47" s="98"/>
      <c r="V47" s="98"/>
      <c r="W47" s="98"/>
    </row>
    <row r="48" spans="1:62">
      <c r="C48" s="100" t="s">
        <v>331</v>
      </c>
      <c r="D48" s="218"/>
      <c r="E48" s="218"/>
      <c r="F48" s="468">
        <v>0.1</v>
      </c>
      <c r="G48" s="218"/>
      <c r="H48" s="218"/>
      <c r="I48" s="218"/>
      <c r="J48" s="218"/>
      <c r="K48" s="218"/>
      <c r="L48" s="218"/>
      <c r="M48" s="218"/>
      <c r="N48" s="218"/>
      <c r="O48" s="218"/>
      <c r="P48" s="218"/>
      <c r="Q48" s="218"/>
      <c r="R48" s="218"/>
      <c r="S48" s="218"/>
      <c r="T48" s="218"/>
      <c r="U48" s="218"/>
      <c r="V48" s="218"/>
      <c r="W48" s="218"/>
    </row>
    <row r="49" spans="3:23">
      <c r="C49" s="101" t="s">
        <v>332</v>
      </c>
      <c r="D49" s="102">
        <f>_xll.TR($AH$1,"AVG(TR.PriceClose)","Sdate=#1 Edate=#2 Curn=#3 Null=BLANK",,DATE(D$2,1,1),DATE(D$2,12,31),$AH$2)</f>
        <v>28.418373015873001</v>
      </c>
      <c r="E49" s="102">
        <f>_xll.TR($AH$1,"AVG(TR.PriceClose)","Sdate=#1 Edate=#2 Curn=#3 Null=BLANK",,DATE(E$2,1,1),DATE(E$2,12,31),$AH$2)</f>
        <v>39.139429365079401</v>
      </c>
      <c r="F49" s="473">
        <f>_xll.TR($AH$1,"AVG(TR.PriceClose)","Sdate=#1 Edate=#2 Curn=#3 Null=BLANK",,DATE(F$2,1,1),DATE(F$2,12,31),$AH$2)</f>
        <v>63.418569721115603</v>
      </c>
      <c r="G49" s="473">
        <f>_xll.TR($AH$1,"AVG(TR.PriceClose)","Sdate=#1 Edate=#2 Curn=#3 Null=BLANK",,DATE(G$2,1,1),DATE(G$2,12,31),$AH$2)</f>
        <v>70.752805555555597</v>
      </c>
      <c r="H49" s="473">
        <f>_xll.TR($AH$1,"AVG(TR.PriceClose)","Sdate=#1 Edate=#2 Curn=#3 Null=BLANK",,DATE(H$2,1,1),DATE(H$2,12,31),$AH$2)</f>
        <v>117.045595238095</v>
      </c>
      <c r="I49" s="472">
        <v>93.8</v>
      </c>
      <c r="J49" s="473">
        <f t="shared" ref="J49:R49" si="33">I49*(1+$F$48)</f>
        <v>103.18</v>
      </c>
      <c r="K49" s="473">
        <f t="shared" si="33"/>
        <v>113.49800000000002</v>
      </c>
      <c r="L49" s="473">
        <f t="shared" si="33"/>
        <v>124.84780000000003</v>
      </c>
      <c r="M49" s="473">
        <f t="shared" si="33"/>
        <v>137.33258000000004</v>
      </c>
      <c r="N49" s="473">
        <f t="shared" si="33"/>
        <v>151.06583800000004</v>
      </c>
      <c r="O49" s="473">
        <f t="shared" si="33"/>
        <v>166.17242180000005</v>
      </c>
      <c r="P49" s="473">
        <f t="shared" si="33"/>
        <v>182.78966398000009</v>
      </c>
      <c r="Q49" s="473">
        <f t="shared" si="33"/>
        <v>201.06863037800011</v>
      </c>
      <c r="R49" s="473">
        <f t="shared" si="33"/>
        <v>221.17549341580013</v>
      </c>
      <c r="S49" s="473">
        <f t="shared" ref="S49" si="34">R49*(1+$F$48)</f>
        <v>243.29304275738016</v>
      </c>
      <c r="T49" s="473">
        <f t="shared" ref="T49" si="35">S49*(1+$F$48)</f>
        <v>267.62234703311822</v>
      </c>
      <c r="U49" s="473">
        <f t="shared" ref="U49" si="36">T49*(1+$F$48)</f>
        <v>294.38458173643005</v>
      </c>
      <c r="V49" s="473">
        <f t="shared" ref="V49" si="37">U49*(1+$F$48)</f>
        <v>323.82303991007308</v>
      </c>
      <c r="W49" s="474">
        <f t="shared" ref="W49" si="38">V49*(1+$F$48)</f>
        <v>356.20534390108043</v>
      </c>
    </row>
    <row r="50" spans="3:23">
      <c r="C50" s="103" t="s">
        <v>333</v>
      </c>
      <c r="D50" s="439">
        <v>14.900240999999999</v>
      </c>
      <c r="E50" s="104">
        <f t="shared" ref="E50:R50" si="39">D50-D54-D56+D62</f>
        <v>16.31915</v>
      </c>
      <c r="F50" s="476">
        <v>13.865150999999999</v>
      </c>
      <c r="G50" s="476">
        <f t="shared" si="39"/>
        <v>13.157283</v>
      </c>
      <c r="H50" s="476">
        <f t="shared" si="39"/>
        <v>11.477164</v>
      </c>
      <c r="I50" s="476">
        <f t="shared" si="39"/>
        <v>10.322903</v>
      </c>
      <c r="J50" s="476">
        <v>8.8562080000000005</v>
      </c>
      <c r="K50" s="476">
        <f t="shared" si="39"/>
        <v>8.1079810000000005</v>
      </c>
      <c r="L50" s="476">
        <f t="shared" si="39"/>
        <v>7.4229688255245367</v>
      </c>
      <c r="M50" s="476">
        <f t="shared" si="39"/>
        <v>6.7958306987533783</v>
      </c>
      <c r="N50" s="476">
        <f t="shared" si="39"/>
        <v>6.2216770636720726</v>
      </c>
      <c r="O50" s="476">
        <f t="shared" si="39"/>
        <v>5.6960314640745739</v>
      </c>
      <c r="P50" s="476">
        <f t="shared" si="39"/>
        <v>5.2147956423470205</v>
      </c>
      <c r="Q50" s="476">
        <f t="shared" si="39"/>
        <v>4.7742175869212238</v>
      </c>
      <c r="R50" s="476">
        <f t="shared" si="39"/>
        <v>4.3708622792760892</v>
      </c>
      <c r="S50" s="476">
        <f t="shared" ref="S50" si="40">R50-R54-R56+R62</f>
        <v>4.0015849124125387</v>
      </c>
      <c r="T50" s="476">
        <f t="shared" ref="T50" si="41">S50-S54-S56+S62</f>
        <v>3.6635063719966294</v>
      </c>
      <c r="U50" s="476">
        <f t="shared" ref="U50" si="42">T50-T54-T56+T62</f>
        <v>3.3539907890067178</v>
      </c>
      <c r="V50" s="476">
        <f t="shared" ref="V50" si="43">U50-U54-U56+U62</f>
        <v>3.0706249888712498</v>
      </c>
      <c r="W50" s="477">
        <f t="shared" ref="W50" si="44">V50-V54-V56+V62</f>
        <v>2.8111996768699772</v>
      </c>
    </row>
    <row r="51" spans="3:23">
      <c r="C51" s="103" t="s">
        <v>334</v>
      </c>
      <c r="D51" s="439">
        <v>9.9041169999999994</v>
      </c>
      <c r="E51" s="439">
        <v>8.7224170000000001</v>
      </c>
      <c r="F51" s="475">
        <v>8.394774</v>
      </c>
      <c r="G51" s="475">
        <v>8.0935120000000005</v>
      </c>
      <c r="H51" s="475">
        <v>8.1022259999999999</v>
      </c>
      <c r="I51" s="450">
        <v>7.1030160000000002</v>
      </c>
      <c r="J51" s="450">
        <v>6.6450319999999996</v>
      </c>
      <c r="K51" s="450">
        <f t="shared" ref="K51:R51" si="45">K50*K52</f>
        <v>6.0836187678058149</v>
      </c>
      <c r="L51" s="450">
        <f t="shared" si="45"/>
        <v>5.5696371833873997</v>
      </c>
      <c r="M51" s="450">
        <f t="shared" si="45"/>
        <v>5.0990799289942776</v>
      </c>
      <c r="N51" s="450">
        <f t="shared" si="45"/>
        <v>4.6682782497618573</v>
      </c>
      <c r="O51" s="450">
        <f t="shared" si="45"/>
        <v>4.2738733498335169</v>
      </c>
      <c r="P51" s="450">
        <f t="shared" si="45"/>
        <v>3.9127902051144807</v>
      </c>
      <c r="Q51" s="450">
        <f t="shared" si="45"/>
        <v>3.5822135884855357</v>
      </c>
      <c r="R51" s="450">
        <f t="shared" si="45"/>
        <v>3.2795661205543665</v>
      </c>
      <c r="S51" s="450">
        <f t="shared" ref="S51:W51" si="46">S50*S52</f>
        <v>3.0024881748146064</v>
      </c>
      <c r="T51" s="450">
        <f t="shared" si="46"/>
        <v>2.7488194805408255</v>
      </c>
      <c r="U51" s="450">
        <f t="shared" si="46"/>
        <v>2.5165822799842648</v>
      </c>
      <c r="V51" s="450">
        <f t="shared" si="46"/>
        <v>2.3039659085524073</v>
      </c>
      <c r="W51" s="451">
        <f t="shared" si="46"/>
        <v>2.1093126777499642</v>
      </c>
    </row>
    <row r="52" spans="3:23">
      <c r="C52" s="105" t="s">
        <v>600</v>
      </c>
      <c r="D52" s="441">
        <f t="shared" ref="D52:E52" si="47">IF(ISERROR(D51/D50), "NM", (D51/D50))</f>
        <v>0.66469508781770714</v>
      </c>
      <c r="E52" s="441">
        <f t="shared" si="47"/>
        <v>0.53448966398372466</v>
      </c>
      <c r="F52" s="441">
        <f t="shared" ref="F52:G52" si="48">IF(ISERROR(F51/F50), "NM", (F51/F50))</f>
        <v>0.60545853413352657</v>
      </c>
      <c r="G52" s="441">
        <f t="shared" si="48"/>
        <v>0.61513551088017193</v>
      </c>
      <c r="H52" s="441">
        <f t="shared" ref="H52:J52" si="49">IF(ISERROR(H51/H50), "NM", (H51/H50))</f>
        <v>0.70594321036102647</v>
      </c>
      <c r="I52" s="441">
        <f t="shared" si="49"/>
        <v>0.68808318745221186</v>
      </c>
      <c r="J52" s="441">
        <f t="shared" si="49"/>
        <v>0.75032474395361981</v>
      </c>
      <c r="K52" s="106">
        <f t="shared" ref="K52:R52" si="50">J52</f>
        <v>0.75032474395361981</v>
      </c>
      <c r="L52" s="106">
        <f t="shared" si="50"/>
        <v>0.75032474395361981</v>
      </c>
      <c r="M52" s="106">
        <f t="shared" si="50"/>
        <v>0.75032474395361981</v>
      </c>
      <c r="N52" s="106">
        <f t="shared" si="50"/>
        <v>0.75032474395361981</v>
      </c>
      <c r="O52" s="106">
        <f t="shared" si="50"/>
        <v>0.75032474395361981</v>
      </c>
      <c r="P52" s="106">
        <f t="shared" si="50"/>
        <v>0.75032474395361981</v>
      </c>
      <c r="Q52" s="106">
        <f t="shared" si="50"/>
        <v>0.75032474395361981</v>
      </c>
      <c r="R52" s="106">
        <f t="shared" si="50"/>
        <v>0.75032474395361981</v>
      </c>
      <c r="S52" s="106">
        <f t="shared" ref="S52" si="51">R52</f>
        <v>0.75032474395361981</v>
      </c>
      <c r="T52" s="106">
        <f t="shared" ref="T52" si="52">S52</f>
        <v>0.75032474395361981</v>
      </c>
      <c r="U52" s="106">
        <f t="shared" ref="U52" si="53">T52</f>
        <v>0.75032474395361981</v>
      </c>
      <c r="V52" s="106">
        <f t="shared" ref="V52" si="54">U52</f>
        <v>0.75032474395361981</v>
      </c>
      <c r="W52" s="107">
        <f t="shared" ref="W52" si="55">V52</f>
        <v>0.75032474395361981</v>
      </c>
    </row>
    <row r="53" spans="3:23">
      <c r="C53" s="108" t="s">
        <v>335</v>
      </c>
      <c r="D53" s="440">
        <v>21.06</v>
      </c>
      <c r="E53" s="440">
        <v>23.3</v>
      </c>
      <c r="F53" s="440">
        <v>26.33</v>
      </c>
      <c r="G53" s="440">
        <v>30.44</v>
      </c>
      <c r="H53" s="440">
        <v>35.619999999999997</v>
      </c>
      <c r="I53" s="109">
        <v>42.92</v>
      </c>
      <c r="J53" s="109">
        <f t="shared" ref="J53:R53" si="56">I53*(1+$F$48)</f>
        <v>47.212000000000003</v>
      </c>
      <c r="K53" s="109">
        <f t="shared" si="56"/>
        <v>51.933200000000006</v>
      </c>
      <c r="L53" s="109">
        <f t="shared" si="56"/>
        <v>57.126520000000014</v>
      </c>
      <c r="M53" s="109">
        <f t="shared" si="56"/>
        <v>62.839172000000019</v>
      </c>
      <c r="N53" s="109">
        <f t="shared" si="56"/>
        <v>69.123089200000024</v>
      </c>
      <c r="O53" s="109">
        <f t="shared" si="56"/>
        <v>76.035398120000039</v>
      </c>
      <c r="P53" s="109">
        <f t="shared" si="56"/>
        <v>83.638937932000047</v>
      </c>
      <c r="Q53" s="109">
        <f t="shared" si="56"/>
        <v>92.002831725200053</v>
      </c>
      <c r="R53" s="109">
        <f t="shared" si="56"/>
        <v>101.20311489772007</v>
      </c>
      <c r="S53" s="109">
        <f t="shared" ref="S53" si="57">R53*(1+$F$48)</f>
        <v>111.32342638749209</v>
      </c>
      <c r="T53" s="109">
        <f t="shared" ref="T53" si="58">S53*(1+$F$48)</f>
        <v>122.45576902624131</v>
      </c>
      <c r="U53" s="109">
        <f t="shared" ref="U53" si="59">T53*(1+$F$48)</f>
        <v>134.70134592886546</v>
      </c>
      <c r="V53" s="109">
        <f t="shared" ref="V53" si="60">U53*(1+$F$48)</f>
        <v>148.17148052175202</v>
      </c>
      <c r="W53" s="110">
        <f t="shared" ref="W53" si="61">V53*(1+$F$48)</f>
        <v>162.98862857392723</v>
      </c>
    </row>
    <row r="54" spans="3:23">
      <c r="C54" s="111" t="s">
        <v>336</v>
      </c>
      <c r="D54" s="439">
        <v>0.52510000000000001</v>
      </c>
      <c r="E54" s="439">
        <v>0.64883999999999997</v>
      </c>
      <c r="F54" s="476">
        <v>0.377938</v>
      </c>
      <c r="G54" s="476">
        <v>0.30185899999999999</v>
      </c>
      <c r="H54" s="476">
        <v>0.15968599999999999</v>
      </c>
      <c r="I54" s="476">
        <v>0.185055</v>
      </c>
      <c r="J54" s="476">
        <v>0.18209</v>
      </c>
      <c r="K54" s="476">
        <f t="shared" ref="K54:R54" si="62">K50*K55</f>
        <v>0.16670591525063549</v>
      </c>
      <c r="L54" s="476">
        <f t="shared" si="62"/>
        <v>0.15262157273629559</v>
      </c>
      <c r="M54" s="476">
        <f t="shared" si="62"/>
        <v>0.13972716222744572</v>
      </c>
      <c r="N54" s="476">
        <f t="shared" si="62"/>
        <v>0.12792215093909803</v>
      </c>
      <c r="O54" s="476">
        <f t="shared" si="62"/>
        <v>0.11711449971515338</v>
      </c>
      <c r="P54" s="476">
        <f t="shared" si="62"/>
        <v>0.10721994543431781</v>
      </c>
      <c r="Q54" s="476">
        <f t="shared" si="62"/>
        <v>9.8161344042787341E-2</v>
      </c>
      <c r="R54" s="476">
        <f t="shared" si="62"/>
        <v>8.9868069091577685E-2</v>
      </c>
      <c r="S54" s="476">
        <f t="shared" ref="S54:W54" si="63">S50*S55</f>
        <v>8.2275461089125174E-2</v>
      </c>
      <c r="T54" s="476">
        <f t="shared" si="63"/>
        <v>7.5324323375971544E-2</v>
      </c>
      <c r="U54" s="476">
        <f t="shared" si="63"/>
        <v>6.8960460591060327E-2</v>
      </c>
      <c r="V54" s="476">
        <f t="shared" si="63"/>
        <v>6.313425613124328E-2</v>
      </c>
      <c r="W54" s="477">
        <f t="shared" si="63"/>
        <v>5.78002853096104E-2</v>
      </c>
    </row>
    <row r="55" spans="3:23">
      <c r="C55" s="105" t="s">
        <v>601</v>
      </c>
      <c r="D55" s="441">
        <f t="shared" ref="D55:E55" si="64">IF(ISERROR(D54/D50), "NM", (D54/D50))</f>
        <v>3.5241040732159973E-2</v>
      </c>
      <c r="E55" s="441">
        <f t="shared" si="64"/>
        <v>3.9759423744496494E-2</v>
      </c>
      <c r="F55" s="441">
        <f t="shared" ref="F55:G55" si="65">IF(ISERROR(F54/F50), "NM", (F54/F50))</f>
        <v>2.7258123622310355E-2</v>
      </c>
      <c r="G55" s="441">
        <f t="shared" si="65"/>
        <v>2.2942350635765756E-2</v>
      </c>
      <c r="H55" s="441">
        <f t="shared" ref="H55:J55" si="66">IF(ISERROR(H54/H50), "NM", (H54/H50))</f>
        <v>1.3913367448613611E-2</v>
      </c>
      <c r="I55" s="441">
        <f t="shared" si="66"/>
        <v>1.7926643309541898E-2</v>
      </c>
      <c r="J55" s="441">
        <f t="shared" si="66"/>
        <v>2.0560718537775986E-2</v>
      </c>
      <c r="K55" s="106">
        <f t="shared" ref="K55:R55" si="67">J55</f>
        <v>2.0560718537775986E-2</v>
      </c>
      <c r="L55" s="106">
        <f t="shared" si="67"/>
        <v>2.0560718537775986E-2</v>
      </c>
      <c r="M55" s="106">
        <f t="shared" si="67"/>
        <v>2.0560718537775986E-2</v>
      </c>
      <c r="N55" s="106">
        <f t="shared" si="67"/>
        <v>2.0560718537775986E-2</v>
      </c>
      <c r="O55" s="106">
        <f t="shared" si="67"/>
        <v>2.0560718537775986E-2</v>
      </c>
      <c r="P55" s="106">
        <f t="shared" si="67"/>
        <v>2.0560718537775986E-2</v>
      </c>
      <c r="Q55" s="106">
        <f t="shared" si="67"/>
        <v>2.0560718537775986E-2</v>
      </c>
      <c r="R55" s="106">
        <f t="shared" si="67"/>
        <v>2.0560718537775986E-2</v>
      </c>
      <c r="S55" s="106">
        <f t="shared" ref="S55" si="68">R55</f>
        <v>2.0560718537775986E-2</v>
      </c>
      <c r="T55" s="106">
        <f t="shared" ref="T55" si="69">S55</f>
        <v>2.0560718537775986E-2</v>
      </c>
      <c r="U55" s="106">
        <f t="shared" ref="U55" si="70">T55</f>
        <v>2.0560718537775986E-2</v>
      </c>
      <c r="V55" s="106">
        <f t="shared" ref="V55" si="71">U55</f>
        <v>2.0560718537775986E-2</v>
      </c>
      <c r="W55" s="107">
        <f t="shared" ref="W55" si="72">V55</f>
        <v>2.0560718537775986E-2</v>
      </c>
    </row>
    <row r="56" spans="3:23">
      <c r="C56" s="111" t="s">
        <v>337</v>
      </c>
      <c r="D56" s="112">
        <v>1.9234549999999999</v>
      </c>
      <c r="E56" s="112">
        <v>4.0972790000000003</v>
      </c>
      <c r="F56" s="476">
        <v>2.8850519999999999</v>
      </c>
      <c r="G56" s="476">
        <v>2.5636359999999998</v>
      </c>
      <c r="H56" s="476">
        <v>1.7233449999999999</v>
      </c>
      <c r="I56" s="476">
        <v>2.1290900000000001</v>
      </c>
      <c r="J56" s="476">
        <v>1.3673070000000001</v>
      </c>
      <c r="K56" s="476">
        <f t="shared" ref="K56:R56" si="73">K50*K57</f>
        <v>1.2517884829677668</v>
      </c>
      <c r="L56" s="476">
        <f t="shared" si="73"/>
        <v>1.1460296817691586</v>
      </c>
      <c r="M56" s="476">
        <f t="shared" si="73"/>
        <v>1.0492060354974031</v>
      </c>
      <c r="N56" s="476">
        <f t="shared" si="73"/>
        <v>0.96056264722986073</v>
      </c>
      <c r="O56" s="476">
        <f t="shared" si="73"/>
        <v>0.87940839838556339</v>
      </c>
      <c r="P56" s="476">
        <f t="shared" si="73"/>
        <v>0.80511056033807893</v>
      </c>
      <c r="Q56" s="476">
        <f t="shared" si="73"/>
        <v>0.73708986127251053</v>
      </c>
      <c r="R56" s="476">
        <f t="shared" si="73"/>
        <v>0.67481596982479997</v>
      </c>
      <c r="S56" s="476">
        <f t="shared" ref="S56:W56" si="74">S50*S57</f>
        <v>0.61780336029100169</v>
      </c>
      <c r="T56" s="476">
        <f t="shared" si="74"/>
        <v>0.56560752716914453</v>
      </c>
      <c r="U56" s="476">
        <f t="shared" si="74"/>
        <v>0.51782151951991284</v>
      </c>
      <c r="V56" s="476">
        <f t="shared" si="74"/>
        <v>0.47407276812588212</v>
      </c>
      <c r="W56" s="477">
        <f t="shared" si="74"/>
        <v>0.43402018071188686</v>
      </c>
    </row>
    <row r="57" spans="3:23">
      <c r="C57" s="105" t="s">
        <v>602</v>
      </c>
      <c r="D57" s="441">
        <f t="shared" ref="D57:E57" si="75">IF(ISERROR(D56/D50), "NM", (D56/D50))</f>
        <v>0.1290888516501176</v>
      </c>
      <c r="E57" s="441">
        <f t="shared" si="75"/>
        <v>0.25107183891317869</v>
      </c>
      <c r="F57" s="441">
        <f t="shared" ref="F57:G57" si="76">IF(ISERROR(F56/F50), "NM", (F56/F50))</f>
        <v>0.20807937829166087</v>
      </c>
      <c r="G57" s="441">
        <f t="shared" si="76"/>
        <v>0.19484539475209281</v>
      </c>
      <c r="H57" s="441">
        <f t="shared" ref="H57:J57" si="77">IF(ISERROR(H56/H50), "NM", (H56/H50))</f>
        <v>0.15015425413455796</v>
      </c>
      <c r="I57" s="441">
        <f t="shared" si="77"/>
        <v>0.20624915297566973</v>
      </c>
      <c r="J57" s="441">
        <f t="shared" si="77"/>
        <v>0.15438966654803049</v>
      </c>
      <c r="K57" s="106">
        <f t="shared" ref="K57:R57" si="78">J57</f>
        <v>0.15438966654803049</v>
      </c>
      <c r="L57" s="106">
        <f t="shared" si="78"/>
        <v>0.15438966654803049</v>
      </c>
      <c r="M57" s="106">
        <f t="shared" si="78"/>
        <v>0.15438966654803049</v>
      </c>
      <c r="N57" s="106">
        <f t="shared" si="78"/>
        <v>0.15438966654803049</v>
      </c>
      <c r="O57" s="106">
        <f t="shared" si="78"/>
        <v>0.15438966654803049</v>
      </c>
      <c r="P57" s="106">
        <f t="shared" si="78"/>
        <v>0.15438966654803049</v>
      </c>
      <c r="Q57" s="106">
        <f t="shared" si="78"/>
        <v>0.15438966654803049</v>
      </c>
      <c r="R57" s="106">
        <f t="shared" si="78"/>
        <v>0.15438966654803049</v>
      </c>
      <c r="S57" s="106">
        <f t="shared" ref="S57" si="79">R57</f>
        <v>0.15438966654803049</v>
      </c>
      <c r="T57" s="106">
        <f t="shared" ref="T57" si="80">S57</f>
        <v>0.15438966654803049</v>
      </c>
      <c r="U57" s="106">
        <f t="shared" ref="U57" si="81">T57</f>
        <v>0.15438966654803049</v>
      </c>
      <c r="V57" s="106">
        <f t="shared" ref="V57" si="82">U57</f>
        <v>0.15438966654803049</v>
      </c>
      <c r="W57" s="107">
        <f t="shared" ref="W57" si="83">V57</f>
        <v>0.15438966654803049</v>
      </c>
    </row>
    <row r="58" spans="3:23">
      <c r="C58" s="108" t="s">
        <v>338</v>
      </c>
      <c r="D58" s="440">
        <v>15.42</v>
      </c>
      <c r="E58" s="440">
        <v>18.95</v>
      </c>
      <c r="F58" s="440">
        <v>22.73</v>
      </c>
      <c r="G58" s="440">
        <v>30.8</v>
      </c>
      <c r="H58" s="440">
        <v>30.8</v>
      </c>
      <c r="I58" s="109">
        <v>29.23</v>
      </c>
      <c r="J58" s="109">
        <f t="shared" ref="J58:R58" si="84">I58*(1+$F$48)</f>
        <v>32.153000000000006</v>
      </c>
      <c r="K58" s="109">
        <f t="shared" si="84"/>
        <v>35.368300000000012</v>
      </c>
      <c r="L58" s="109">
        <f t="shared" si="84"/>
        <v>38.905130000000014</v>
      </c>
      <c r="M58" s="109">
        <f t="shared" si="84"/>
        <v>42.79564300000002</v>
      </c>
      <c r="N58" s="109">
        <f t="shared" si="84"/>
        <v>47.075207300000024</v>
      </c>
      <c r="O58" s="109">
        <f t="shared" si="84"/>
        <v>51.78272803000003</v>
      </c>
      <c r="P58" s="109">
        <f t="shared" si="84"/>
        <v>56.961000833000035</v>
      </c>
      <c r="Q58" s="109">
        <f t="shared" si="84"/>
        <v>62.657100916300045</v>
      </c>
      <c r="R58" s="109">
        <f t="shared" si="84"/>
        <v>68.922811007930051</v>
      </c>
      <c r="S58" s="109">
        <f t="shared" ref="S58" si="85">R58*(1+$F$48)</f>
        <v>75.815092108723064</v>
      </c>
      <c r="T58" s="109">
        <f t="shared" ref="T58" si="86">S58*(1+$F$48)</f>
        <v>83.396601319595376</v>
      </c>
      <c r="U58" s="109">
        <f t="shared" ref="U58" si="87">T58*(1+$F$48)</f>
        <v>91.736261451554924</v>
      </c>
      <c r="V58" s="109">
        <f t="shared" ref="V58" si="88">U58*(1+$F$48)</f>
        <v>100.90988759671042</v>
      </c>
      <c r="W58" s="110">
        <f t="shared" ref="W58" si="89">V58*(1+$F$48)</f>
        <v>111.00087635638147</v>
      </c>
    </row>
    <row r="59" spans="3:23">
      <c r="C59" s="105" t="s">
        <v>603</v>
      </c>
      <c r="D59" s="38">
        <f>IS!K76</f>
        <v>0</v>
      </c>
      <c r="E59" s="38">
        <f>IS!L76</f>
        <v>0</v>
      </c>
      <c r="F59" s="38">
        <f>IS!Q76</f>
        <v>0</v>
      </c>
      <c r="G59" s="38">
        <f>IS!V76</f>
        <v>0</v>
      </c>
      <c r="H59" s="38">
        <f>IS!AA76</f>
        <v>0</v>
      </c>
      <c r="I59" s="38"/>
      <c r="J59" s="38"/>
      <c r="K59" s="38"/>
      <c r="L59" s="38"/>
      <c r="M59" s="38"/>
      <c r="N59" s="38"/>
      <c r="O59" s="38"/>
      <c r="P59" s="38"/>
      <c r="Q59" s="38"/>
      <c r="R59" s="38"/>
      <c r="S59" s="38"/>
      <c r="T59" s="38"/>
      <c r="U59" s="38"/>
      <c r="V59" s="38"/>
      <c r="W59" s="114"/>
    </row>
    <row r="60" spans="3:23">
      <c r="C60" s="111" t="s">
        <v>339</v>
      </c>
      <c r="D60" s="407">
        <f t="shared" ref="D60:E60" si="90">D56*D58/1000</f>
        <v>2.9659676099999997E-2</v>
      </c>
      <c r="E60" s="407">
        <f t="shared" si="90"/>
        <v>7.764343705E-2</v>
      </c>
      <c r="F60" s="476">
        <f t="shared" ref="F60:R60" si="91">F56*F58/1000</f>
        <v>6.557723196000001E-2</v>
      </c>
      <c r="G60" s="476">
        <f t="shared" si="91"/>
        <v>7.8959988799999992E-2</v>
      </c>
      <c r="H60" s="476">
        <f t="shared" ref="H60" si="92">H56*H58/1000</f>
        <v>5.3079026000000001E-2</v>
      </c>
      <c r="I60" s="476">
        <f t="shared" ref="I60" si="93">I56*I58/1000</f>
        <v>6.2233300700000008E-2</v>
      </c>
      <c r="J60" s="476">
        <f t="shared" si="91"/>
        <v>4.3963021971000008E-2</v>
      </c>
      <c r="K60" s="476">
        <f t="shared" si="91"/>
        <v>4.4273630602148888E-2</v>
      </c>
      <c r="L60" s="476">
        <f t="shared" si="91"/>
        <v>4.4586433753087761E-2</v>
      </c>
      <c r="M60" s="476">
        <f t="shared" si="91"/>
        <v>4.4901446928592215E-2</v>
      </c>
      <c r="N60" s="476">
        <f t="shared" si="91"/>
        <v>4.521868574298249E-2</v>
      </c>
      <c r="O60" s="476">
        <f t="shared" si="91"/>
        <v>4.5538165920897551E-2</v>
      </c>
      <c r="P60" s="476">
        <f t="shared" si="91"/>
        <v>4.5859903298074441E-2</v>
      </c>
      <c r="Q60" s="476">
        <f t="shared" si="91"/>
        <v>4.6183913822133292E-2</v>
      </c>
      <c r="R60" s="476">
        <f t="shared" si="91"/>
        <v>4.6510213553367714E-2</v>
      </c>
      <c r="S60" s="476">
        <f t="shared" ref="S60:W60" si="94">S56*S58/1000</f>
        <v>4.6838818665540911E-2</v>
      </c>
      <c r="T60" s="476">
        <f t="shared" si="94"/>
        <v>4.716974544668736E-2</v>
      </c>
      <c r="U60" s="476">
        <f t="shared" si="94"/>
        <v>4.7503010299920177E-2</v>
      </c>
      <c r="V60" s="476">
        <f t="shared" si="94"/>
        <v>4.7838629744244125E-2</v>
      </c>
      <c r="W60" s="477">
        <f t="shared" si="94"/>
        <v>4.8176620415374495E-2</v>
      </c>
    </row>
    <row r="61" spans="3:23">
      <c r="C61" s="111" t="s">
        <v>340</v>
      </c>
      <c r="D61" s="113">
        <f>((D49-D58)*D56)*D59/1000</f>
        <v>0</v>
      </c>
      <c r="E61" s="113">
        <f>((E49-E58)*E56)*E59/1000</f>
        <v>0</v>
      </c>
      <c r="F61" s="476">
        <f>((F49-F58)*F56)*F59/1000</f>
        <v>0</v>
      </c>
      <c r="G61" s="476">
        <f t="shared" ref="G61:R61" si="95">((G49-G58)*G56)*G59/1000</f>
        <v>0</v>
      </c>
      <c r="H61" s="476"/>
      <c r="I61" s="476">
        <f t="shared" ref="I61" si="96">((I49-I58)*I56)*I59/1000</f>
        <v>0</v>
      </c>
      <c r="J61" s="476">
        <f t="shared" si="95"/>
        <v>0</v>
      </c>
      <c r="K61" s="476">
        <f t="shared" si="95"/>
        <v>0</v>
      </c>
      <c r="L61" s="476">
        <f t="shared" si="95"/>
        <v>0</v>
      </c>
      <c r="M61" s="476">
        <f t="shared" si="95"/>
        <v>0</v>
      </c>
      <c r="N61" s="476">
        <f t="shared" si="95"/>
        <v>0</v>
      </c>
      <c r="O61" s="476">
        <f t="shared" si="95"/>
        <v>0</v>
      </c>
      <c r="P61" s="476">
        <f t="shared" si="95"/>
        <v>0</v>
      </c>
      <c r="Q61" s="476">
        <f t="shared" si="95"/>
        <v>0</v>
      </c>
      <c r="R61" s="476">
        <f t="shared" si="95"/>
        <v>0</v>
      </c>
      <c r="S61" s="476">
        <f t="shared" ref="S61:W61" si="97">((S49-S58)*S56)*S59/1000</f>
        <v>0</v>
      </c>
      <c r="T61" s="476">
        <f t="shared" si="97"/>
        <v>0</v>
      </c>
      <c r="U61" s="476">
        <f t="shared" si="97"/>
        <v>0</v>
      </c>
      <c r="V61" s="476">
        <f t="shared" si="97"/>
        <v>0</v>
      </c>
      <c r="W61" s="477">
        <f t="shared" si="97"/>
        <v>0</v>
      </c>
    </row>
    <row r="62" spans="3:23">
      <c r="C62" s="111" t="s">
        <v>341</v>
      </c>
      <c r="D62" s="439">
        <v>3.867464</v>
      </c>
      <c r="E62" s="439">
        <v>2.29657</v>
      </c>
      <c r="F62" s="476">
        <v>2.5551219999999999</v>
      </c>
      <c r="G62" s="476">
        <v>1.185376</v>
      </c>
      <c r="H62" s="476">
        <v>0.72877000000000003</v>
      </c>
      <c r="I62" s="476">
        <v>0.84745000000000004</v>
      </c>
      <c r="J62" s="476">
        <v>0.80117000000000005</v>
      </c>
      <c r="K62" s="476">
        <f t="shared" ref="K62:R62" si="98">K50*K63</f>
        <v>0.73348222374293837</v>
      </c>
      <c r="L62" s="476">
        <f t="shared" si="98"/>
        <v>0.67151312773429583</v>
      </c>
      <c r="M62" s="476">
        <f t="shared" si="98"/>
        <v>0.61477956264354272</v>
      </c>
      <c r="N62" s="476">
        <f t="shared" si="98"/>
        <v>0.56283919857146014</v>
      </c>
      <c r="O62" s="476">
        <f t="shared" si="98"/>
        <v>0.51528707637316407</v>
      </c>
      <c r="P62" s="476">
        <f t="shared" si="98"/>
        <v>0.47175245034660007</v>
      </c>
      <c r="Q62" s="476">
        <f t="shared" si="98"/>
        <v>0.43189589767016273</v>
      </c>
      <c r="R62" s="476">
        <f t="shared" si="98"/>
        <v>0.39540667205282715</v>
      </c>
      <c r="S62" s="476">
        <f t="shared" ref="S62:W62" si="99">S50*S63</f>
        <v>0.36200028096421782</v>
      </c>
      <c r="T62" s="476">
        <f t="shared" si="99"/>
        <v>0.33141626755520415</v>
      </c>
      <c r="U62" s="476">
        <f t="shared" si="99"/>
        <v>0.30341617997550552</v>
      </c>
      <c r="V62" s="476">
        <f t="shared" si="99"/>
        <v>0.27778171225585252</v>
      </c>
      <c r="W62" s="477">
        <f t="shared" si="99"/>
        <v>0.25431300225987463</v>
      </c>
    </row>
    <row r="63" spans="3:23">
      <c r="C63" s="115" t="s">
        <v>602</v>
      </c>
      <c r="D63" s="442">
        <f t="shared" ref="D63:J63" si="100">D62/D50</f>
        <v>0.25955714407572333</v>
      </c>
      <c r="E63" s="442">
        <f t="shared" si="100"/>
        <v>0.14072853059136045</v>
      </c>
      <c r="F63" s="442">
        <f t="shared" si="100"/>
        <v>0.18428374851453114</v>
      </c>
      <c r="G63" s="442">
        <f t="shared" si="100"/>
        <v>9.0092764592811445E-2</v>
      </c>
      <c r="H63" s="442">
        <f t="shared" si="100"/>
        <v>6.3497393606992109E-2</v>
      </c>
      <c r="I63" s="442">
        <f t="shared" si="100"/>
        <v>8.2094155103462657E-2</v>
      </c>
      <c r="J63" s="442">
        <f t="shared" si="100"/>
        <v>9.0464225772475079E-2</v>
      </c>
      <c r="K63" s="116">
        <f t="shared" ref="K63:R63" si="101">J63</f>
        <v>9.0464225772475079E-2</v>
      </c>
      <c r="L63" s="116">
        <f t="shared" si="101"/>
        <v>9.0464225772475079E-2</v>
      </c>
      <c r="M63" s="116">
        <f t="shared" si="101"/>
        <v>9.0464225772475079E-2</v>
      </c>
      <c r="N63" s="116">
        <f t="shared" si="101"/>
        <v>9.0464225772475079E-2</v>
      </c>
      <c r="O63" s="116">
        <f t="shared" si="101"/>
        <v>9.0464225772475079E-2</v>
      </c>
      <c r="P63" s="116">
        <f t="shared" si="101"/>
        <v>9.0464225772475079E-2</v>
      </c>
      <c r="Q63" s="116">
        <f t="shared" si="101"/>
        <v>9.0464225772475079E-2</v>
      </c>
      <c r="R63" s="116">
        <f t="shared" si="101"/>
        <v>9.0464225772475079E-2</v>
      </c>
      <c r="S63" s="116">
        <f t="shared" ref="S63" si="102">R63</f>
        <v>9.0464225772475079E-2</v>
      </c>
      <c r="T63" s="116">
        <f t="shared" ref="T63" si="103">S63</f>
        <v>9.0464225772475079E-2</v>
      </c>
      <c r="U63" s="116">
        <f t="shared" ref="U63" si="104">T63</f>
        <v>9.0464225772475079E-2</v>
      </c>
      <c r="V63" s="116">
        <f t="shared" ref="V63" si="105">U63</f>
        <v>9.0464225772475079E-2</v>
      </c>
      <c r="W63" s="117">
        <f t="shared" ref="W63" si="106">V63</f>
        <v>9.0464225772475079E-2</v>
      </c>
    </row>
    <row r="64" spans="3:23">
      <c r="C64" s="118"/>
      <c r="D64" s="119"/>
      <c r="E64" s="119"/>
      <c r="F64" s="119"/>
      <c r="G64" s="119"/>
      <c r="H64" s="119"/>
      <c r="I64" s="119"/>
      <c r="J64" s="119"/>
      <c r="K64" s="119"/>
      <c r="L64" s="119"/>
      <c r="M64" s="119"/>
      <c r="N64" s="119"/>
      <c r="O64" s="119"/>
      <c r="P64" s="119"/>
      <c r="Q64" s="119"/>
      <c r="R64" s="119"/>
      <c r="S64" s="119"/>
      <c r="T64" s="119"/>
      <c r="U64" s="119"/>
      <c r="V64" s="119"/>
      <c r="W64" s="119"/>
    </row>
    <row r="65" spans="3:23">
      <c r="C65" s="120"/>
      <c r="D65" s="121"/>
      <c r="E65" s="121"/>
      <c r="F65" s="121"/>
      <c r="G65" s="121"/>
      <c r="H65" s="121"/>
      <c r="I65" s="121"/>
      <c r="J65" s="121"/>
      <c r="K65" s="121"/>
      <c r="L65" s="121"/>
      <c r="M65" s="121"/>
      <c r="N65" s="121"/>
      <c r="O65" s="121"/>
      <c r="P65" s="121"/>
      <c r="Q65" s="603"/>
      <c r="R65" s="603"/>
      <c r="S65" s="603"/>
      <c r="T65" s="603"/>
      <c r="U65" s="603"/>
      <c r="V65" s="603"/>
      <c r="W65" s="603"/>
    </row>
    <row r="66" spans="3:23">
      <c r="C66" s="101" t="s">
        <v>342</v>
      </c>
      <c r="D66" s="122"/>
      <c r="E66" s="122"/>
      <c r="F66" s="469"/>
      <c r="G66" s="469"/>
      <c r="H66" s="469"/>
      <c r="I66" s="470">
        <f t="shared" ref="I66:R66" si="107">I49</f>
        <v>93.8</v>
      </c>
      <c r="J66" s="470">
        <f t="shared" si="107"/>
        <v>103.18</v>
      </c>
      <c r="K66" s="470">
        <f t="shared" si="107"/>
        <v>113.49800000000002</v>
      </c>
      <c r="L66" s="470">
        <f t="shared" si="107"/>
        <v>124.84780000000003</v>
      </c>
      <c r="M66" s="470">
        <f t="shared" si="107"/>
        <v>137.33258000000004</v>
      </c>
      <c r="N66" s="470">
        <f t="shared" si="107"/>
        <v>151.06583800000004</v>
      </c>
      <c r="O66" s="470">
        <f t="shared" si="107"/>
        <v>166.17242180000005</v>
      </c>
      <c r="P66" s="470">
        <f t="shared" si="107"/>
        <v>182.78966398000009</v>
      </c>
      <c r="Q66" s="470">
        <f t="shared" si="107"/>
        <v>201.06863037800011</v>
      </c>
      <c r="R66" s="470">
        <f t="shared" si="107"/>
        <v>221.17549341580013</v>
      </c>
      <c r="S66" s="470">
        <f t="shared" ref="S66:W66" si="108">S49</f>
        <v>243.29304275738016</v>
      </c>
      <c r="T66" s="470">
        <f t="shared" si="108"/>
        <v>267.62234703311822</v>
      </c>
      <c r="U66" s="470">
        <f t="shared" si="108"/>
        <v>294.38458173643005</v>
      </c>
      <c r="V66" s="470">
        <f t="shared" si="108"/>
        <v>323.82303991007308</v>
      </c>
      <c r="W66" s="471">
        <f t="shared" si="108"/>
        <v>356.20534390108043</v>
      </c>
    </row>
    <row r="67" spans="3:23">
      <c r="C67" s="111" t="s">
        <v>343</v>
      </c>
      <c r="D67" s="112"/>
      <c r="E67" s="112"/>
      <c r="F67" s="133"/>
      <c r="G67" s="133"/>
      <c r="H67" s="133"/>
      <c r="I67" s="466">
        <v>1.5</v>
      </c>
      <c r="J67" s="466">
        <v>0</v>
      </c>
      <c r="K67" s="466">
        <v>0</v>
      </c>
      <c r="L67" s="466">
        <v>0</v>
      </c>
      <c r="M67" s="466">
        <v>0</v>
      </c>
      <c r="N67" s="466">
        <v>0</v>
      </c>
      <c r="O67" s="466">
        <v>0</v>
      </c>
      <c r="P67" s="466">
        <v>0</v>
      </c>
      <c r="Q67" s="466">
        <v>0</v>
      </c>
      <c r="R67" s="466">
        <v>0</v>
      </c>
      <c r="S67" s="466">
        <v>0</v>
      </c>
      <c r="T67" s="466">
        <v>0</v>
      </c>
      <c r="U67" s="466">
        <v>0</v>
      </c>
      <c r="V67" s="466">
        <v>0</v>
      </c>
      <c r="W67" s="467">
        <v>0</v>
      </c>
    </row>
    <row r="68" spans="3:23">
      <c r="C68" s="111" t="s">
        <v>344</v>
      </c>
      <c r="D68" s="112"/>
      <c r="E68" s="113">
        <f>E32+E31</f>
        <v>316.90100000000001</v>
      </c>
      <c r="F68" s="133">
        <f>F32+F31</f>
        <v>72.578999999999994</v>
      </c>
      <c r="G68" s="133">
        <f>G32+G31</f>
        <v>197.36799999999999</v>
      </c>
      <c r="H68" s="133">
        <f>H32+H31</f>
        <v>951.30199999999991</v>
      </c>
      <c r="I68" s="466">
        <v>117.46299999999999</v>
      </c>
      <c r="J68" s="466">
        <f t="shared" ref="J68:R68" si="109">J66*J67</f>
        <v>0</v>
      </c>
      <c r="K68" s="466">
        <f t="shared" si="109"/>
        <v>0</v>
      </c>
      <c r="L68" s="466">
        <f t="shared" si="109"/>
        <v>0</v>
      </c>
      <c r="M68" s="466">
        <f t="shared" si="109"/>
        <v>0</v>
      </c>
      <c r="N68" s="466">
        <f t="shared" si="109"/>
        <v>0</v>
      </c>
      <c r="O68" s="466">
        <f t="shared" si="109"/>
        <v>0</v>
      </c>
      <c r="P68" s="466">
        <f t="shared" si="109"/>
        <v>0</v>
      </c>
      <c r="Q68" s="466">
        <f t="shared" si="109"/>
        <v>0</v>
      </c>
      <c r="R68" s="466">
        <f t="shared" si="109"/>
        <v>0</v>
      </c>
      <c r="S68" s="466">
        <f t="shared" ref="S68:W68" si="110">S66*S67</f>
        <v>0</v>
      </c>
      <c r="T68" s="466">
        <f t="shared" si="110"/>
        <v>0</v>
      </c>
      <c r="U68" s="466">
        <f t="shared" si="110"/>
        <v>0</v>
      </c>
      <c r="V68" s="466">
        <f t="shared" si="110"/>
        <v>0</v>
      </c>
      <c r="W68" s="467">
        <f t="shared" si="110"/>
        <v>0</v>
      </c>
    </row>
    <row r="69" spans="3:23">
      <c r="C69" s="111" t="s">
        <v>345</v>
      </c>
      <c r="D69" s="125"/>
      <c r="E69" s="125">
        <f t="shared" ref="E69:R69" si="111">E60</f>
        <v>7.764343705E-2</v>
      </c>
      <c r="F69" s="133">
        <f t="shared" si="111"/>
        <v>6.557723196000001E-2</v>
      </c>
      <c r="G69" s="133">
        <f t="shared" si="111"/>
        <v>7.8959988799999992E-2</v>
      </c>
      <c r="H69" s="133">
        <f t="shared" si="111"/>
        <v>5.3079026000000001E-2</v>
      </c>
      <c r="I69" s="478">
        <f t="shared" si="111"/>
        <v>6.2233300700000008E-2</v>
      </c>
      <c r="J69" s="478">
        <f t="shared" si="111"/>
        <v>4.3963021971000008E-2</v>
      </c>
      <c r="K69" s="478">
        <f t="shared" si="111"/>
        <v>4.4273630602148888E-2</v>
      </c>
      <c r="L69" s="478">
        <f t="shared" si="111"/>
        <v>4.4586433753087761E-2</v>
      </c>
      <c r="M69" s="478">
        <f t="shared" si="111"/>
        <v>4.4901446928592215E-2</v>
      </c>
      <c r="N69" s="478">
        <f t="shared" si="111"/>
        <v>4.521868574298249E-2</v>
      </c>
      <c r="O69" s="478">
        <f t="shared" si="111"/>
        <v>4.5538165920897551E-2</v>
      </c>
      <c r="P69" s="478">
        <f t="shared" si="111"/>
        <v>4.5859903298074441E-2</v>
      </c>
      <c r="Q69" s="478">
        <f t="shared" si="111"/>
        <v>4.6183913822133292E-2</v>
      </c>
      <c r="R69" s="478">
        <f t="shared" si="111"/>
        <v>4.6510213553367714E-2</v>
      </c>
      <c r="S69" s="478">
        <f t="shared" ref="S69:W69" si="112">S60</f>
        <v>4.6838818665540911E-2</v>
      </c>
      <c r="T69" s="478">
        <f t="shared" si="112"/>
        <v>4.716974544668736E-2</v>
      </c>
      <c r="U69" s="478">
        <f t="shared" si="112"/>
        <v>4.7503010299920177E-2</v>
      </c>
      <c r="V69" s="478">
        <f t="shared" si="112"/>
        <v>4.7838629744244125E-2</v>
      </c>
      <c r="W69" s="479">
        <f t="shared" si="112"/>
        <v>4.8176620415374495E-2</v>
      </c>
    </row>
    <row r="70" spans="3:23">
      <c r="C70" s="111" t="s">
        <v>346</v>
      </c>
      <c r="D70" s="112"/>
      <c r="E70" s="112">
        <v>0</v>
      </c>
      <c r="F70" s="133">
        <v>0</v>
      </c>
      <c r="G70" s="133">
        <v>0</v>
      </c>
      <c r="H70" s="133">
        <v>0</v>
      </c>
      <c r="I70" s="478">
        <v>0</v>
      </c>
      <c r="J70" s="478">
        <v>0</v>
      </c>
      <c r="K70" s="478">
        <v>0</v>
      </c>
      <c r="L70" s="478">
        <v>0</v>
      </c>
      <c r="M70" s="478">
        <v>0</v>
      </c>
      <c r="N70" s="478">
        <v>0</v>
      </c>
      <c r="O70" s="478">
        <v>0</v>
      </c>
      <c r="P70" s="478">
        <v>0</v>
      </c>
      <c r="Q70" s="478">
        <v>0</v>
      </c>
      <c r="R70" s="478">
        <v>0</v>
      </c>
      <c r="S70" s="478">
        <v>0</v>
      </c>
      <c r="T70" s="478">
        <v>0</v>
      </c>
      <c r="U70" s="478">
        <v>0</v>
      </c>
      <c r="V70" s="478">
        <v>0</v>
      </c>
      <c r="W70" s="479">
        <v>0</v>
      </c>
    </row>
    <row r="71" spans="3:23">
      <c r="C71" s="111" t="s">
        <v>347</v>
      </c>
      <c r="D71" s="112"/>
      <c r="E71" s="112">
        <v>0</v>
      </c>
      <c r="F71" s="133">
        <v>0</v>
      </c>
      <c r="G71" s="133">
        <v>0</v>
      </c>
      <c r="H71" s="133">
        <v>0</v>
      </c>
      <c r="I71" s="478">
        <v>0</v>
      </c>
      <c r="J71" s="478">
        <v>0</v>
      </c>
      <c r="K71" s="478">
        <v>0</v>
      </c>
      <c r="L71" s="478">
        <v>0</v>
      </c>
      <c r="M71" s="478">
        <v>0</v>
      </c>
      <c r="N71" s="478">
        <v>0</v>
      </c>
      <c r="O71" s="478">
        <v>0</v>
      </c>
      <c r="P71" s="478">
        <v>0</v>
      </c>
      <c r="Q71" s="478">
        <v>0</v>
      </c>
      <c r="R71" s="478">
        <v>0</v>
      </c>
      <c r="S71" s="478">
        <v>0</v>
      </c>
      <c r="T71" s="478">
        <v>0</v>
      </c>
      <c r="U71" s="478">
        <v>0</v>
      </c>
      <c r="V71" s="478">
        <v>0</v>
      </c>
      <c r="W71" s="479">
        <v>0</v>
      </c>
    </row>
    <row r="72" spans="3:23">
      <c r="C72" s="111" t="s">
        <v>348</v>
      </c>
      <c r="D72" s="124"/>
      <c r="E72" s="124">
        <v>0</v>
      </c>
      <c r="F72" s="133">
        <v>0</v>
      </c>
      <c r="G72" s="133">
        <v>0</v>
      </c>
      <c r="H72" s="133">
        <v>0</v>
      </c>
      <c r="I72" s="478">
        <v>0</v>
      </c>
      <c r="J72" s="478">
        <v>0</v>
      </c>
      <c r="K72" s="478">
        <v>0</v>
      </c>
      <c r="L72" s="478">
        <v>0</v>
      </c>
      <c r="M72" s="478">
        <v>0</v>
      </c>
      <c r="N72" s="478">
        <v>0</v>
      </c>
      <c r="O72" s="478">
        <v>0</v>
      </c>
      <c r="P72" s="478">
        <v>0</v>
      </c>
      <c r="Q72" s="478">
        <v>0</v>
      </c>
      <c r="R72" s="478">
        <v>0</v>
      </c>
      <c r="S72" s="478">
        <v>0</v>
      </c>
      <c r="T72" s="478">
        <v>0</v>
      </c>
      <c r="U72" s="478">
        <v>0</v>
      </c>
      <c r="V72" s="478">
        <v>0</v>
      </c>
      <c r="W72" s="479">
        <v>0</v>
      </c>
    </row>
    <row r="73" spans="3:23">
      <c r="C73" s="111" t="s">
        <v>349</v>
      </c>
      <c r="D73" s="5"/>
      <c r="E73" s="5">
        <f>IS!L107</f>
        <v>47.974999999999994</v>
      </c>
      <c r="F73" s="5">
        <f>IS!Q107</f>
        <v>64.376999999999995</v>
      </c>
      <c r="G73" s="5">
        <f>IS!V107</f>
        <v>86.358000000000004</v>
      </c>
      <c r="H73" s="5">
        <f>IS!AA107</f>
        <v>111.667</v>
      </c>
      <c r="I73" s="5">
        <f>IS!AF107</f>
        <v>133.977</v>
      </c>
      <c r="J73" s="5">
        <f>IS!AK107</f>
        <v>140.17400000000001</v>
      </c>
      <c r="K73" s="5">
        <f>IS!AP107</f>
        <v>153.66210000000001</v>
      </c>
      <c r="L73" s="5">
        <f>IS!AU107</f>
        <v>168.47254500000003</v>
      </c>
      <c r="M73" s="5">
        <f>IS!AZ107</f>
        <v>180.81620925000004</v>
      </c>
      <c r="N73" s="5">
        <f>IS!BE107</f>
        <v>194.07105948750001</v>
      </c>
      <c r="O73" s="5">
        <f>IS!BJ107</f>
        <v>208.30470522000002</v>
      </c>
      <c r="P73" s="5">
        <f>IS!BO107</f>
        <v>223.58979019598439</v>
      </c>
      <c r="Q73" s="5">
        <f>IS!BT107</f>
        <v>240.00436814939178</v>
      </c>
      <c r="R73" s="5">
        <f>IS!BY107</f>
        <v>257.6323066337402</v>
      </c>
      <c r="S73" s="5">
        <f>IS!CD107</f>
        <v>276.5637210480719</v>
      </c>
      <c r="T73" s="5">
        <f>IS!CI107</f>
        <v>296.8954411143186</v>
      </c>
      <c r="U73" s="5">
        <f>IS!CD107</f>
        <v>276.5637210480719</v>
      </c>
      <c r="V73" s="5">
        <f>IS!CS107</f>
        <v>342.18373434140904</v>
      </c>
      <c r="W73" s="126">
        <f>IS!CX107</f>
        <v>367.37224104033294</v>
      </c>
    </row>
    <row r="74" spans="3:23">
      <c r="C74" s="111" t="s">
        <v>350</v>
      </c>
      <c r="D74" s="5"/>
      <c r="E74" s="5">
        <v>0</v>
      </c>
      <c r="F74" s="5">
        <v>0</v>
      </c>
      <c r="G74" s="5">
        <v>0</v>
      </c>
      <c r="H74" s="5">
        <v>0</v>
      </c>
      <c r="I74" s="5"/>
      <c r="J74" s="5"/>
      <c r="K74" s="5"/>
      <c r="L74" s="5"/>
      <c r="M74" s="5"/>
      <c r="N74" s="5"/>
      <c r="O74" s="5"/>
      <c r="P74" s="5"/>
      <c r="Q74" s="5"/>
      <c r="R74" s="5"/>
      <c r="S74" s="5"/>
      <c r="T74" s="5"/>
      <c r="U74" s="5"/>
      <c r="V74" s="5"/>
      <c r="W74" s="126"/>
    </row>
    <row r="75" spans="3:23">
      <c r="C75" s="111" t="s">
        <v>351</v>
      </c>
      <c r="D75" s="112"/>
      <c r="E75" s="113">
        <f>BS!E28-BS!D28-E74-E73-E71-E72-E69-E68</f>
        <v>-0.14564343705006877</v>
      </c>
      <c r="F75" s="113">
        <f>BS!F28-BS!E28-F74-F73-F71-F72-F69-F68</f>
        <v>360.18942276804</v>
      </c>
      <c r="G75" s="113">
        <f>BS!G28-BS!F28-G74-G73-G71-G72-G69-G68</f>
        <v>16.838040011200036</v>
      </c>
      <c r="H75" s="113">
        <f>BS!H28-BS!G28-H74-H73-H71-H72-H69-H68</f>
        <v>-7.9290790260000676</v>
      </c>
      <c r="I75" s="112">
        <v>0</v>
      </c>
      <c r="J75" s="112">
        <v>0</v>
      </c>
      <c r="K75" s="112">
        <v>0</v>
      </c>
      <c r="L75" s="112">
        <v>0</v>
      </c>
      <c r="M75" s="112">
        <v>0</v>
      </c>
      <c r="N75" s="112">
        <v>0</v>
      </c>
      <c r="O75" s="112">
        <v>0</v>
      </c>
      <c r="P75" s="112">
        <v>0</v>
      </c>
      <c r="Q75" s="112">
        <v>0</v>
      </c>
      <c r="R75" s="112">
        <v>0</v>
      </c>
      <c r="S75" s="112">
        <v>0</v>
      </c>
      <c r="T75" s="112">
        <v>0</v>
      </c>
      <c r="U75" s="112">
        <v>0</v>
      </c>
      <c r="V75" s="112">
        <v>0</v>
      </c>
      <c r="W75" s="123">
        <v>0</v>
      </c>
    </row>
    <row r="76" spans="3:23">
      <c r="C76" s="127" t="s">
        <v>352</v>
      </c>
      <c r="D76" s="128"/>
      <c r="E76" s="128">
        <f t="shared" ref="E76" si="113">+E68+E72+E73+E75+E69+E70+E74</f>
        <v>364.80799999999994</v>
      </c>
      <c r="F76" s="480">
        <f t="shared" ref="F76" si="114">+F68+F72+F73+F75+F69+F70+F74</f>
        <v>497.21100000000001</v>
      </c>
      <c r="G76" s="480">
        <f t="shared" ref="G76" si="115">+G68+G72+G73+G75+G69+G70+G74</f>
        <v>300.64300000000009</v>
      </c>
      <c r="H76" s="480">
        <f t="shared" ref="H76:R76" si="116">+H68+H72+H73+H75+H69+H70+H74</f>
        <v>1055.0929999999998</v>
      </c>
      <c r="I76" s="480">
        <v>149.09399999999999</v>
      </c>
      <c r="J76" s="480">
        <f t="shared" si="116"/>
        <v>140.217963021971</v>
      </c>
      <c r="K76" s="480">
        <f t="shared" si="116"/>
        <v>153.70637363060217</v>
      </c>
      <c r="L76" s="480">
        <f t="shared" si="116"/>
        <v>168.51713143375312</v>
      </c>
      <c r="M76" s="480">
        <f t="shared" si="116"/>
        <v>180.86111069692865</v>
      </c>
      <c r="N76" s="480">
        <f t="shared" si="116"/>
        <v>194.11627817324299</v>
      </c>
      <c r="O76" s="480">
        <f t="shared" si="116"/>
        <v>208.35024338592092</v>
      </c>
      <c r="P76" s="480">
        <f t="shared" si="116"/>
        <v>223.63565009928246</v>
      </c>
      <c r="Q76" s="480">
        <f t="shared" si="116"/>
        <v>240.0505520632139</v>
      </c>
      <c r="R76" s="480">
        <f t="shared" si="116"/>
        <v>257.67881684729355</v>
      </c>
      <c r="S76" s="480">
        <f t="shared" ref="S76:W76" si="117">+S68+S72+S73+S75+S69+S70+S74</f>
        <v>276.61055986673745</v>
      </c>
      <c r="T76" s="480">
        <f t="shared" si="117"/>
        <v>296.9426108597653</v>
      </c>
      <c r="U76" s="480">
        <f t="shared" si="117"/>
        <v>276.61122405837182</v>
      </c>
      <c r="V76" s="480">
        <f t="shared" si="117"/>
        <v>342.2315729711533</v>
      </c>
      <c r="W76" s="481">
        <f t="shared" si="117"/>
        <v>367.42041766074829</v>
      </c>
    </row>
    <row r="77" spans="3:23">
      <c r="C77" s="129"/>
      <c r="D77" s="130"/>
      <c r="E77" s="130"/>
      <c r="F77" s="130"/>
      <c r="G77" s="130"/>
      <c r="H77" s="130"/>
      <c r="I77" s="130"/>
      <c r="J77" s="130"/>
      <c r="K77" s="130"/>
      <c r="L77" s="130"/>
      <c r="M77" s="130"/>
      <c r="N77" s="130"/>
      <c r="O77" s="130"/>
      <c r="P77" s="130"/>
      <c r="Q77" s="130"/>
      <c r="R77" s="130"/>
      <c r="S77" s="130"/>
      <c r="T77" s="130"/>
      <c r="U77" s="130"/>
      <c r="V77" s="130"/>
      <c r="W77" s="130"/>
    </row>
    <row r="78" spans="3:23">
      <c r="C78" s="131"/>
      <c r="D78" s="132"/>
      <c r="E78" s="132"/>
      <c r="F78" s="132"/>
      <c r="G78" s="132"/>
      <c r="H78" s="132"/>
      <c r="I78" s="132"/>
      <c r="J78" s="132"/>
      <c r="K78" s="132"/>
      <c r="L78" s="132"/>
      <c r="M78" s="132"/>
      <c r="N78" s="132"/>
      <c r="O78" s="132"/>
      <c r="P78" s="132"/>
      <c r="Q78" s="132"/>
      <c r="R78" s="132"/>
      <c r="S78" s="132"/>
      <c r="T78" s="132"/>
      <c r="U78" s="132"/>
      <c r="V78" s="132"/>
      <c r="W78" s="132"/>
    </row>
    <row r="79" spans="3:23">
      <c r="C79" s="133" t="s">
        <v>353</v>
      </c>
      <c r="D79" s="134"/>
      <c r="E79" s="134"/>
      <c r="F79" s="134"/>
      <c r="G79" s="134"/>
      <c r="H79" s="134"/>
      <c r="I79" s="134"/>
      <c r="J79" s="134"/>
      <c r="K79" s="134"/>
      <c r="L79" s="134"/>
      <c r="M79" s="134"/>
      <c r="N79" s="134"/>
      <c r="O79" s="134"/>
      <c r="P79" s="134"/>
      <c r="Q79" s="134"/>
      <c r="R79" s="134"/>
      <c r="S79" s="134"/>
      <c r="T79" s="134"/>
      <c r="U79" s="134"/>
      <c r="V79" s="134"/>
      <c r="W79" s="134"/>
    </row>
    <row r="80" spans="3:23">
      <c r="C80" s="133" t="s">
        <v>354</v>
      </c>
      <c r="D80" s="219"/>
      <c r="E80" s="219"/>
      <c r="F80" s="219"/>
      <c r="G80" s="219"/>
      <c r="H80" s="219"/>
      <c r="I80" s="219"/>
      <c r="J80" s="219"/>
      <c r="K80" s="219"/>
      <c r="L80" s="219"/>
      <c r="M80" s="219"/>
      <c r="N80" s="219"/>
      <c r="O80" s="219"/>
      <c r="P80" s="219"/>
      <c r="Q80" s="219"/>
      <c r="R80" s="219"/>
      <c r="S80" s="219"/>
      <c r="T80" s="219"/>
      <c r="U80" s="219"/>
      <c r="V80" s="219"/>
      <c r="W80" s="219"/>
    </row>
    <row r="81" spans="3:23">
      <c r="C81" s="135" t="s">
        <v>355</v>
      </c>
      <c r="D81" s="219"/>
      <c r="E81" s="219"/>
      <c r="F81" s="219"/>
      <c r="G81" s="219"/>
      <c r="H81" s="219"/>
      <c r="I81" s="219"/>
      <c r="J81" s="219"/>
      <c r="K81" s="219"/>
      <c r="L81" s="219"/>
      <c r="M81" s="219"/>
      <c r="N81" s="219"/>
      <c r="O81" s="219"/>
      <c r="P81" s="219"/>
      <c r="Q81" s="219"/>
      <c r="R81" s="219"/>
      <c r="S81" s="219"/>
      <c r="T81" s="219"/>
      <c r="U81" s="219"/>
      <c r="V81" s="219"/>
      <c r="W81" s="219"/>
    </row>
    <row r="82" spans="3:23">
      <c r="C82" s="135" t="s">
        <v>356</v>
      </c>
      <c r="D82" s="219"/>
      <c r="E82" s="219"/>
      <c r="F82" s="219"/>
      <c r="G82" s="219"/>
      <c r="H82" s="219"/>
      <c r="I82" s="219"/>
      <c r="J82" s="219"/>
      <c r="K82" s="219"/>
      <c r="L82" s="219"/>
      <c r="M82" s="219"/>
      <c r="N82" s="219"/>
      <c r="O82" s="219"/>
      <c r="P82" s="219"/>
      <c r="Q82" s="219"/>
      <c r="R82" s="219"/>
      <c r="S82" s="219"/>
      <c r="T82" s="219"/>
      <c r="U82" s="219"/>
      <c r="V82" s="219"/>
      <c r="W82" s="219"/>
    </row>
    <row r="83" spans="3:23">
      <c r="D83" s="136"/>
      <c r="E83" s="136"/>
      <c r="F83" s="136"/>
      <c r="G83" s="136"/>
      <c r="H83" s="136"/>
      <c r="I83" s="136"/>
      <c r="J83" s="136"/>
      <c r="K83" s="136"/>
      <c r="L83" s="136"/>
      <c r="M83" s="136"/>
      <c r="N83" s="136"/>
      <c r="O83" s="136"/>
      <c r="P83" s="136"/>
      <c r="Q83" s="136"/>
      <c r="R83" s="136"/>
      <c r="S83" s="136"/>
      <c r="T83" s="136"/>
      <c r="U83" s="136"/>
      <c r="V83" s="136"/>
      <c r="W83" s="136"/>
    </row>
    <row r="84" spans="3:23">
      <c r="D84" s="136"/>
      <c r="E84" s="136"/>
      <c r="F84" s="136"/>
      <c r="G84" s="136"/>
      <c r="H84" s="136"/>
      <c r="I84" s="136"/>
      <c r="J84" s="136"/>
      <c r="K84" s="136"/>
      <c r="L84" s="136"/>
      <c r="M84" s="136"/>
      <c r="N84" s="136"/>
      <c r="O84" s="136"/>
      <c r="P84" s="136"/>
      <c r="Q84" s="136"/>
      <c r="R84" s="136"/>
      <c r="S84" s="136"/>
      <c r="T84" s="136"/>
      <c r="U84" s="136"/>
      <c r="V84" s="136"/>
      <c r="W84" s="136"/>
    </row>
    <row r="85" spans="3:23" customFormat="1"/>
    <row r="86" spans="3:23">
      <c r="D86" s="136"/>
      <c r="E86" s="136"/>
      <c r="F86" s="136"/>
      <c r="G86" s="136"/>
      <c r="H86" s="136"/>
      <c r="I86" s="136"/>
      <c r="J86" s="136"/>
      <c r="K86" s="136"/>
      <c r="L86" s="136"/>
      <c r="M86" s="136"/>
      <c r="N86" s="136"/>
      <c r="O86" s="136"/>
      <c r="P86" s="136"/>
      <c r="Q86" s="136"/>
      <c r="R86" s="136"/>
      <c r="S86" s="136"/>
      <c r="T86" s="136"/>
      <c r="U86" s="136"/>
      <c r="V86" s="136"/>
      <c r="W86" s="136"/>
    </row>
    <row r="87" spans="3:23">
      <c r="D87" s="136"/>
      <c r="E87" s="136"/>
      <c r="F87" s="136"/>
      <c r="G87" s="136"/>
      <c r="H87" s="136"/>
      <c r="I87" s="136"/>
      <c r="J87" s="136"/>
      <c r="K87" s="136"/>
      <c r="L87" s="136"/>
      <c r="M87" s="136"/>
      <c r="N87" s="136"/>
      <c r="O87" s="136"/>
      <c r="P87" s="136"/>
      <c r="Q87" s="136"/>
      <c r="R87" s="136"/>
      <c r="S87" s="136"/>
      <c r="T87" s="136"/>
      <c r="U87" s="136"/>
      <c r="V87" s="136"/>
      <c r="W87" s="136"/>
    </row>
    <row r="88" spans="3:23">
      <c r="D88" s="136"/>
      <c r="E88" s="136"/>
      <c r="F88" s="136"/>
      <c r="G88" s="136"/>
      <c r="H88" s="136"/>
      <c r="I88" s="136"/>
      <c r="J88" s="136"/>
      <c r="K88" s="136"/>
      <c r="L88" s="136"/>
      <c r="M88" s="136"/>
      <c r="N88" s="136"/>
      <c r="O88" s="136"/>
      <c r="P88" s="136"/>
      <c r="Q88" s="136"/>
      <c r="R88" s="136"/>
      <c r="S88" s="136"/>
      <c r="T88" s="136"/>
      <c r="U88" s="136"/>
      <c r="V88" s="136"/>
      <c r="W88" s="136"/>
    </row>
    <row r="89" spans="3:23">
      <c r="D89" s="136"/>
      <c r="E89" s="136"/>
      <c r="F89" s="136"/>
      <c r="G89" s="136"/>
      <c r="H89" s="136"/>
      <c r="I89" s="136"/>
      <c r="J89" s="136"/>
      <c r="K89" s="136"/>
      <c r="L89" s="136"/>
      <c r="M89" s="136"/>
      <c r="N89" s="136"/>
      <c r="O89" s="136"/>
      <c r="P89" s="136"/>
      <c r="Q89" s="136"/>
      <c r="R89" s="136"/>
      <c r="S89" s="136"/>
      <c r="T89" s="136"/>
      <c r="U89" s="136"/>
      <c r="V89" s="136"/>
      <c r="W89" s="136"/>
    </row>
    <row r="90" spans="3:23">
      <c r="D90" s="136"/>
      <c r="E90" s="136"/>
      <c r="F90" s="136"/>
      <c r="G90" s="136"/>
      <c r="H90" s="136"/>
      <c r="I90" s="136"/>
      <c r="J90" s="136"/>
      <c r="K90" s="136"/>
      <c r="L90" s="136"/>
      <c r="M90" s="136"/>
      <c r="N90" s="136"/>
      <c r="O90" s="136"/>
      <c r="P90" s="136"/>
      <c r="Q90" s="136"/>
      <c r="R90" s="136"/>
      <c r="S90" s="136"/>
      <c r="T90" s="136"/>
      <c r="U90" s="136"/>
      <c r="V90" s="136"/>
      <c r="W90" s="136"/>
    </row>
    <row r="91" spans="3:23">
      <c r="D91" s="136"/>
      <c r="E91" s="136"/>
      <c r="F91" s="136"/>
      <c r="G91" s="136"/>
      <c r="H91" s="136"/>
      <c r="I91" s="136"/>
      <c r="J91" s="136"/>
      <c r="K91" s="136"/>
      <c r="L91" s="136"/>
      <c r="M91" s="136"/>
      <c r="N91" s="136"/>
      <c r="O91" s="136"/>
      <c r="P91" s="136"/>
      <c r="Q91" s="136"/>
      <c r="R91" s="136"/>
      <c r="S91" s="136"/>
      <c r="T91" s="136"/>
      <c r="U91" s="136"/>
      <c r="V91" s="136"/>
      <c r="W91" s="136"/>
    </row>
    <row r="92" spans="3:23">
      <c r="D92" s="136"/>
      <c r="E92" s="136"/>
      <c r="F92" s="136"/>
      <c r="G92" s="136"/>
      <c r="H92" s="136"/>
      <c r="I92" s="136"/>
      <c r="J92" s="136"/>
      <c r="K92" s="136"/>
      <c r="L92" s="136"/>
      <c r="M92" s="136"/>
      <c r="N92" s="136"/>
      <c r="O92" s="136"/>
      <c r="P92" s="136"/>
      <c r="Q92" s="136"/>
      <c r="R92" s="136"/>
      <c r="S92" s="136"/>
      <c r="T92" s="136"/>
      <c r="U92" s="136"/>
      <c r="V92" s="136"/>
      <c r="W92" s="136"/>
    </row>
    <row r="93" spans="3:23">
      <c r="D93" s="136"/>
      <c r="E93" s="136"/>
      <c r="F93" s="136"/>
      <c r="G93" s="136"/>
      <c r="H93" s="136"/>
      <c r="I93" s="136"/>
      <c r="J93" s="136"/>
      <c r="K93" s="136"/>
      <c r="L93" s="136"/>
      <c r="M93" s="136"/>
      <c r="N93" s="136"/>
      <c r="O93" s="136"/>
      <c r="P93" s="136"/>
      <c r="Q93" s="136"/>
      <c r="R93" s="136"/>
      <c r="S93" s="136"/>
      <c r="T93" s="136"/>
      <c r="U93" s="136"/>
      <c r="V93" s="136"/>
      <c r="W93" s="136"/>
    </row>
    <row r="94" spans="3:23">
      <c r="D94" s="136"/>
      <c r="E94" s="136"/>
      <c r="F94" s="136"/>
      <c r="G94" s="136"/>
      <c r="H94" s="136"/>
      <c r="I94" s="136"/>
      <c r="J94" s="136"/>
      <c r="K94" s="136"/>
      <c r="L94" s="136"/>
      <c r="M94" s="136"/>
      <c r="N94" s="136"/>
      <c r="O94" s="136"/>
      <c r="P94" s="136"/>
      <c r="Q94" s="136"/>
      <c r="R94" s="136"/>
      <c r="S94" s="136"/>
      <c r="T94" s="136"/>
      <c r="U94" s="136"/>
      <c r="V94" s="136"/>
      <c r="W94" s="136"/>
    </row>
    <row r="95" spans="3:23">
      <c r="D95" s="136"/>
      <c r="E95" s="136"/>
      <c r="F95" s="136"/>
      <c r="G95" s="136"/>
      <c r="H95" s="136"/>
      <c r="I95" s="136"/>
      <c r="J95" s="136"/>
      <c r="K95" s="136"/>
      <c r="L95" s="136"/>
      <c r="M95" s="136"/>
      <c r="N95" s="136"/>
      <c r="O95" s="136"/>
      <c r="P95" s="136"/>
      <c r="Q95" s="136"/>
      <c r="R95" s="136"/>
      <c r="S95" s="136"/>
      <c r="T95" s="136"/>
      <c r="U95" s="136"/>
      <c r="V95" s="136"/>
      <c r="W95" s="136"/>
    </row>
    <row r="96" spans="3:23">
      <c r="D96" s="136"/>
      <c r="E96" s="136"/>
      <c r="F96" s="136"/>
      <c r="G96" s="136"/>
      <c r="H96" s="136"/>
      <c r="I96" s="136"/>
      <c r="J96" s="136"/>
      <c r="K96" s="136"/>
      <c r="L96" s="136"/>
      <c r="M96" s="136"/>
      <c r="N96" s="136"/>
      <c r="O96" s="136"/>
      <c r="P96" s="136"/>
      <c r="Q96" s="136"/>
      <c r="R96" s="136"/>
      <c r="S96" s="136"/>
      <c r="T96" s="136"/>
      <c r="U96" s="136"/>
      <c r="V96" s="136"/>
      <c r="W96" s="136"/>
    </row>
    <row r="97" spans="4:23">
      <c r="D97" s="136"/>
      <c r="E97" s="136"/>
      <c r="F97" s="136"/>
      <c r="G97" s="136"/>
      <c r="H97" s="136"/>
      <c r="I97" s="136"/>
      <c r="J97" s="136"/>
      <c r="K97" s="136"/>
      <c r="L97" s="136"/>
      <c r="M97" s="136"/>
      <c r="N97" s="136"/>
      <c r="O97" s="136"/>
      <c r="P97" s="136"/>
      <c r="Q97" s="136"/>
      <c r="R97" s="136"/>
      <c r="S97" s="136"/>
      <c r="T97" s="136"/>
      <c r="U97" s="136"/>
      <c r="V97" s="136"/>
      <c r="W97" s="136"/>
    </row>
    <row r="98" spans="4:23">
      <c r="D98" s="136"/>
      <c r="E98" s="136"/>
      <c r="F98" s="136"/>
      <c r="G98" s="136"/>
      <c r="H98" s="136"/>
      <c r="I98" s="136"/>
      <c r="J98" s="136"/>
      <c r="K98" s="136"/>
      <c r="L98" s="136"/>
      <c r="M98" s="136"/>
      <c r="N98" s="136"/>
      <c r="O98" s="136"/>
      <c r="P98" s="136"/>
      <c r="Q98" s="136"/>
      <c r="R98" s="136"/>
      <c r="S98" s="136"/>
      <c r="T98" s="136"/>
      <c r="U98" s="136"/>
      <c r="V98" s="136"/>
      <c r="W98" s="136"/>
    </row>
    <row r="99" spans="4:23">
      <c r="D99" s="136"/>
      <c r="E99" s="136"/>
      <c r="F99" s="136"/>
      <c r="G99" s="136"/>
      <c r="H99" s="136"/>
      <c r="I99" s="136"/>
      <c r="J99" s="136"/>
      <c r="K99" s="136"/>
      <c r="L99" s="136"/>
      <c r="M99" s="136"/>
      <c r="N99" s="136"/>
      <c r="O99" s="136"/>
      <c r="P99" s="136"/>
      <c r="Q99" s="136"/>
      <c r="R99" s="136"/>
      <c r="S99" s="136"/>
      <c r="T99" s="136"/>
      <c r="U99" s="136"/>
      <c r="V99" s="136"/>
      <c r="W99" s="136"/>
    </row>
    <row r="100" spans="4:23">
      <c r="D100" s="136"/>
      <c r="E100" s="136"/>
      <c r="F100" s="136"/>
      <c r="G100" s="136"/>
      <c r="H100" s="136"/>
      <c r="I100" s="136"/>
      <c r="J100" s="136"/>
      <c r="K100" s="136"/>
      <c r="L100" s="136"/>
      <c r="M100" s="136"/>
      <c r="N100" s="136"/>
      <c r="O100" s="136"/>
      <c r="P100" s="136"/>
      <c r="Q100" s="136"/>
      <c r="R100" s="136"/>
      <c r="S100" s="136"/>
      <c r="T100" s="136"/>
      <c r="U100" s="136"/>
      <c r="V100" s="136"/>
      <c r="W100" s="136"/>
    </row>
    <row r="101" spans="4:23">
      <c r="D101" s="136"/>
      <c r="E101" s="136"/>
      <c r="F101" s="136"/>
      <c r="G101" s="136"/>
      <c r="H101" s="136"/>
      <c r="I101" s="136"/>
      <c r="J101" s="136"/>
      <c r="K101" s="136"/>
      <c r="L101" s="136"/>
      <c r="M101" s="136"/>
      <c r="N101" s="136"/>
      <c r="O101" s="136"/>
      <c r="P101" s="136"/>
      <c r="Q101" s="136"/>
      <c r="R101" s="136"/>
      <c r="S101" s="136"/>
      <c r="T101" s="136"/>
      <c r="U101" s="136"/>
      <c r="V101" s="136"/>
      <c r="W101" s="136"/>
    </row>
    <row r="102" spans="4:23">
      <c r="D102" s="136"/>
      <c r="E102" s="136"/>
      <c r="F102" s="136"/>
      <c r="G102" s="136"/>
      <c r="H102" s="136"/>
      <c r="I102" s="136"/>
      <c r="J102" s="136"/>
      <c r="K102" s="136"/>
      <c r="L102" s="136"/>
      <c r="M102" s="136"/>
      <c r="N102" s="136"/>
      <c r="O102" s="136"/>
      <c r="P102" s="136"/>
      <c r="Q102" s="136"/>
      <c r="R102" s="136"/>
      <c r="S102" s="136"/>
      <c r="T102" s="136"/>
      <c r="U102" s="136"/>
      <c r="V102" s="136"/>
      <c r="W102" s="136"/>
    </row>
    <row r="103" spans="4:23">
      <c r="D103" s="136"/>
      <c r="E103" s="136"/>
      <c r="F103" s="136"/>
      <c r="G103" s="136"/>
      <c r="H103" s="136"/>
      <c r="I103" s="136"/>
      <c r="J103" s="136"/>
      <c r="K103" s="136"/>
      <c r="L103" s="136"/>
      <c r="M103" s="136"/>
      <c r="N103" s="136"/>
      <c r="O103" s="136"/>
      <c r="P103" s="136"/>
      <c r="Q103" s="136"/>
      <c r="R103" s="136"/>
      <c r="S103" s="136"/>
      <c r="T103" s="136"/>
      <c r="U103" s="136"/>
      <c r="V103" s="136"/>
      <c r="W103" s="136"/>
    </row>
    <row r="104" spans="4:23">
      <c r="D104" s="136"/>
      <c r="E104" s="136"/>
      <c r="F104" s="136"/>
      <c r="G104" s="136"/>
      <c r="H104" s="136"/>
      <c r="I104" s="136"/>
      <c r="J104" s="136"/>
      <c r="K104" s="136"/>
      <c r="L104" s="136"/>
      <c r="M104" s="136"/>
      <c r="N104" s="136"/>
      <c r="O104" s="136"/>
      <c r="P104" s="136"/>
      <c r="Q104" s="136"/>
      <c r="R104" s="136"/>
      <c r="S104" s="136"/>
      <c r="T104" s="136"/>
      <c r="U104" s="136"/>
      <c r="V104" s="136"/>
      <c r="W104" s="136"/>
    </row>
    <row r="105" spans="4:23">
      <c r="D105" s="136"/>
      <c r="E105" s="136"/>
      <c r="F105" s="136"/>
      <c r="G105" s="136"/>
      <c r="H105" s="136"/>
      <c r="I105" s="136"/>
      <c r="J105" s="136"/>
      <c r="K105" s="136"/>
      <c r="L105" s="136"/>
      <c r="M105" s="136"/>
      <c r="N105" s="136"/>
      <c r="O105" s="136"/>
      <c r="P105" s="136"/>
      <c r="Q105" s="136"/>
      <c r="R105" s="136"/>
      <c r="S105" s="136"/>
      <c r="T105" s="136"/>
      <c r="U105" s="136"/>
      <c r="V105" s="136"/>
      <c r="W105" s="136"/>
    </row>
    <row r="106" spans="4:23">
      <c r="D106" s="136"/>
      <c r="E106" s="136"/>
      <c r="F106" s="136"/>
      <c r="G106" s="136"/>
      <c r="H106" s="136"/>
      <c r="I106" s="136"/>
      <c r="J106" s="136"/>
      <c r="K106" s="136"/>
      <c r="L106" s="136"/>
      <c r="M106" s="136"/>
      <c r="N106" s="136"/>
      <c r="O106" s="136"/>
      <c r="P106" s="136"/>
      <c r="Q106" s="136"/>
      <c r="R106" s="136"/>
      <c r="S106" s="136"/>
      <c r="T106" s="136"/>
      <c r="U106" s="136"/>
      <c r="V106" s="136"/>
      <c r="W106" s="136"/>
    </row>
    <row r="107" spans="4:23">
      <c r="D107" s="136"/>
      <c r="E107" s="136"/>
      <c r="F107" s="136"/>
      <c r="G107" s="136"/>
      <c r="H107" s="136"/>
      <c r="I107" s="136"/>
      <c r="J107" s="136"/>
      <c r="K107" s="136"/>
      <c r="L107" s="136"/>
      <c r="M107" s="136"/>
      <c r="N107" s="136"/>
      <c r="O107" s="136"/>
      <c r="P107" s="136"/>
      <c r="Q107" s="136"/>
      <c r="R107" s="136"/>
      <c r="S107" s="136"/>
      <c r="T107" s="136"/>
      <c r="U107" s="136"/>
      <c r="V107" s="136"/>
      <c r="W107" s="136"/>
    </row>
    <row r="108" spans="4:23">
      <c r="D108" s="136"/>
      <c r="E108" s="136"/>
      <c r="F108" s="136"/>
      <c r="G108" s="136"/>
      <c r="H108" s="136"/>
      <c r="I108" s="136"/>
      <c r="J108" s="136"/>
      <c r="K108" s="136"/>
      <c r="L108" s="136"/>
      <c r="M108" s="136"/>
      <c r="N108" s="136"/>
      <c r="O108" s="136"/>
      <c r="P108" s="136"/>
      <c r="Q108" s="136"/>
      <c r="R108" s="136"/>
      <c r="S108" s="136"/>
      <c r="T108" s="136"/>
      <c r="U108" s="136"/>
      <c r="V108" s="136"/>
      <c r="W108" s="136"/>
    </row>
    <row r="109" spans="4:23">
      <c r="D109" s="136"/>
      <c r="E109" s="136"/>
      <c r="F109" s="136"/>
      <c r="G109" s="136"/>
      <c r="H109" s="136"/>
      <c r="I109" s="136"/>
      <c r="J109" s="136"/>
      <c r="K109" s="136"/>
      <c r="L109" s="136"/>
      <c r="M109" s="136"/>
      <c r="N109" s="136"/>
      <c r="O109" s="136"/>
      <c r="P109" s="136"/>
      <c r="Q109" s="136"/>
      <c r="R109" s="136"/>
      <c r="S109" s="136"/>
      <c r="T109" s="136"/>
      <c r="U109" s="136"/>
      <c r="V109" s="136"/>
      <c r="W109" s="136"/>
    </row>
    <row r="110" spans="4:23">
      <c r="D110" s="136"/>
      <c r="E110" s="136"/>
      <c r="F110" s="136"/>
      <c r="G110" s="136"/>
      <c r="H110" s="136"/>
      <c r="I110" s="136"/>
      <c r="J110" s="136"/>
      <c r="K110" s="136"/>
      <c r="L110" s="136"/>
      <c r="M110" s="136"/>
      <c r="N110" s="136"/>
      <c r="O110" s="136"/>
      <c r="P110" s="136"/>
      <c r="Q110" s="136"/>
      <c r="R110" s="136"/>
      <c r="S110" s="136"/>
      <c r="T110" s="136"/>
      <c r="U110" s="136"/>
      <c r="V110" s="136"/>
      <c r="W110" s="136"/>
    </row>
    <row r="111" spans="4:23">
      <c r="D111" s="136"/>
      <c r="E111" s="136"/>
      <c r="F111" s="136"/>
      <c r="G111" s="136"/>
      <c r="H111" s="136"/>
      <c r="I111" s="136"/>
      <c r="J111" s="136"/>
      <c r="K111" s="136"/>
      <c r="L111" s="136"/>
      <c r="M111" s="136"/>
      <c r="N111" s="136"/>
      <c r="O111" s="136"/>
      <c r="P111" s="136"/>
      <c r="Q111" s="136"/>
      <c r="R111" s="136"/>
      <c r="S111" s="136"/>
      <c r="T111" s="136"/>
      <c r="U111" s="136"/>
      <c r="V111" s="136"/>
      <c r="W111" s="136"/>
    </row>
    <row r="112" spans="4:23">
      <c r="D112" s="136"/>
      <c r="E112" s="136"/>
      <c r="F112" s="136"/>
      <c r="G112" s="136"/>
      <c r="H112" s="136"/>
      <c r="I112" s="136"/>
      <c r="J112" s="136"/>
      <c r="K112" s="136"/>
      <c r="L112" s="136"/>
      <c r="M112" s="136"/>
      <c r="N112" s="136"/>
      <c r="O112" s="136"/>
      <c r="P112" s="136"/>
      <c r="Q112" s="136"/>
      <c r="R112" s="136"/>
      <c r="S112" s="136"/>
      <c r="T112" s="136"/>
      <c r="U112" s="136"/>
      <c r="V112" s="136"/>
      <c r="W112" s="136"/>
    </row>
    <row r="113" spans="4:23">
      <c r="D113" s="136"/>
      <c r="E113" s="136"/>
      <c r="F113" s="136"/>
      <c r="G113" s="136"/>
      <c r="H113" s="136"/>
      <c r="I113" s="136"/>
      <c r="J113" s="136"/>
      <c r="K113" s="136"/>
      <c r="L113" s="136"/>
      <c r="M113" s="136"/>
      <c r="N113" s="136"/>
      <c r="O113" s="136"/>
      <c r="P113" s="136"/>
      <c r="Q113" s="136"/>
      <c r="R113" s="136"/>
      <c r="S113" s="136"/>
      <c r="T113" s="136"/>
      <c r="U113" s="136"/>
      <c r="V113" s="136"/>
      <c r="W113" s="136"/>
    </row>
    <row r="114" spans="4:23">
      <c r="D114" s="136"/>
      <c r="E114" s="136"/>
      <c r="F114" s="136"/>
      <c r="G114" s="136"/>
      <c r="H114" s="136"/>
      <c r="I114" s="136"/>
      <c r="J114" s="136"/>
      <c r="K114" s="136"/>
      <c r="L114" s="136"/>
      <c r="M114" s="136"/>
      <c r="N114" s="136"/>
      <c r="O114" s="136"/>
      <c r="P114" s="136"/>
      <c r="Q114" s="136"/>
      <c r="R114" s="136"/>
      <c r="S114" s="136"/>
      <c r="T114" s="136"/>
      <c r="U114" s="136"/>
      <c r="V114" s="136"/>
      <c r="W114" s="136"/>
    </row>
    <row r="115" spans="4:23">
      <c r="D115" s="136"/>
      <c r="E115" s="136"/>
      <c r="F115" s="136"/>
      <c r="G115" s="136"/>
      <c r="H115" s="136"/>
      <c r="I115" s="136"/>
      <c r="J115" s="136"/>
      <c r="K115" s="136"/>
      <c r="L115" s="136"/>
      <c r="M115" s="136"/>
      <c r="N115" s="136"/>
      <c r="O115" s="136"/>
      <c r="P115" s="136"/>
      <c r="Q115" s="136"/>
      <c r="R115" s="136"/>
      <c r="S115" s="136"/>
      <c r="T115" s="136"/>
      <c r="U115" s="136"/>
      <c r="V115" s="136"/>
      <c r="W115" s="136"/>
    </row>
    <row r="116" spans="4:23">
      <c r="D116" s="136"/>
      <c r="E116" s="136"/>
      <c r="F116" s="136"/>
      <c r="G116" s="136"/>
      <c r="H116" s="136"/>
      <c r="I116" s="136"/>
      <c r="J116" s="136"/>
      <c r="K116" s="136"/>
      <c r="L116" s="136"/>
      <c r="M116" s="136"/>
      <c r="N116" s="136"/>
      <c r="O116" s="136"/>
      <c r="P116" s="136"/>
      <c r="Q116" s="136"/>
      <c r="R116" s="136"/>
      <c r="S116" s="136"/>
      <c r="T116" s="136"/>
      <c r="U116" s="136"/>
      <c r="V116" s="136"/>
      <c r="W116" s="136"/>
    </row>
    <row r="117" spans="4:23">
      <c r="D117" s="136"/>
      <c r="E117" s="136"/>
      <c r="F117" s="136"/>
      <c r="G117" s="136"/>
      <c r="H117" s="136"/>
      <c r="I117" s="136"/>
      <c r="J117" s="136"/>
      <c r="K117" s="136"/>
      <c r="L117" s="136"/>
      <c r="M117" s="136"/>
      <c r="N117" s="136"/>
      <c r="O117" s="136"/>
      <c r="P117" s="136"/>
      <c r="Q117" s="136"/>
      <c r="R117" s="136"/>
      <c r="S117" s="136"/>
      <c r="T117" s="136"/>
      <c r="U117" s="136"/>
      <c r="V117" s="136"/>
      <c r="W117" s="136"/>
    </row>
    <row r="118" spans="4:23">
      <c r="D118" s="136"/>
      <c r="E118" s="136"/>
      <c r="F118" s="136"/>
      <c r="G118" s="136"/>
      <c r="H118" s="136"/>
      <c r="I118" s="136"/>
      <c r="J118" s="136"/>
      <c r="K118" s="136"/>
      <c r="L118" s="136"/>
      <c r="M118" s="136"/>
      <c r="N118" s="136"/>
      <c r="O118" s="136"/>
      <c r="P118" s="136"/>
      <c r="Q118" s="136"/>
      <c r="R118" s="136"/>
      <c r="S118" s="136"/>
      <c r="T118" s="136"/>
      <c r="U118" s="136"/>
      <c r="V118" s="136"/>
      <c r="W118" s="136"/>
    </row>
    <row r="119" spans="4:23">
      <c r="D119" s="136"/>
      <c r="E119" s="136"/>
      <c r="F119" s="136"/>
      <c r="G119" s="136"/>
      <c r="H119" s="136"/>
      <c r="I119" s="136"/>
      <c r="J119" s="136"/>
      <c r="K119" s="136"/>
      <c r="L119" s="136"/>
      <c r="M119" s="136"/>
      <c r="N119" s="136"/>
      <c r="O119" s="136"/>
      <c r="P119" s="136"/>
      <c r="Q119" s="136"/>
      <c r="R119" s="136"/>
      <c r="S119" s="136"/>
      <c r="T119" s="136"/>
      <c r="U119" s="136"/>
      <c r="V119" s="136"/>
      <c r="W119" s="136"/>
    </row>
    <row r="120" spans="4:23">
      <c r="D120" s="136"/>
      <c r="E120" s="136"/>
      <c r="F120" s="136"/>
      <c r="G120" s="136"/>
      <c r="H120" s="136"/>
      <c r="I120" s="136"/>
      <c r="J120" s="136"/>
      <c r="K120" s="136"/>
      <c r="L120" s="136"/>
      <c r="M120" s="136"/>
      <c r="N120" s="136"/>
      <c r="O120" s="136"/>
      <c r="P120" s="136"/>
      <c r="Q120" s="136"/>
      <c r="R120" s="136"/>
      <c r="S120" s="136"/>
      <c r="T120" s="136"/>
      <c r="U120" s="136"/>
      <c r="V120" s="136"/>
      <c r="W120" s="136"/>
    </row>
    <row r="121" spans="4:23">
      <c r="D121" s="136"/>
      <c r="E121" s="136"/>
      <c r="F121" s="136"/>
      <c r="G121" s="136"/>
      <c r="H121" s="136"/>
      <c r="I121" s="136"/>
      <c r="J121" s="136"/>
      <c r="K121" s="136"/>
      <c r="L121" s="136"/>
      <c r="M121" s="136"/>
      <c r="N121" s="136"/>
      <c r="O121" s="136"/>
      <c r="P121" s="136"/>
      <c r="Q121" s="136"/>
      <c r="R121" s="136"/>
      <c r="S121" s="136"/>
      <c r="T121" s="136"/>
      <c r="U121" s="136"/>
      <c r="V121" s="136"/>
      <c r="W121" s="136"/>
    </row>
    <row r="122" spans="4:23">
      <c r="D122" s="136"/>
      <c r="E122" s="136"/>
      <c r="F122" s="136"/>
      <c r="G122" s="136"/>
      <c r="H122" s="136"/>
      <c r="I122" s="136"/>
      <c r="J122" s="136"/>
      <c r="K122" s="136"/>
      <c r="L122" s="136"/>
      <c r="M122" s="136"/>
      <c r="N122" s="136"/>
      <c r="O122" s="136"/>
      <c r="P122" s="136"/>
      <c r="Q122" s="136"/>
      <c r="R122" s="136"/>
      <c r="S122" s="136"/>
      <c r="T122" s="136"/>
      <c r="U122" s="136"/>
      <c r="V122" s="136"/>
      <c r="W122" s="136"/>
    </row>
    <row r="123" spans="4:23">
      <c r="D123" s="136"/>
      <c r="E123" s="136"/>
      <c r="F123" s="136"/>
      <c r="G123" s="136"/>
      <c r="H123" s="136"/>
      <c r="I123" s="136"/>
      <c r="J123" s="136"/>
      <c r="K123" s="136"/>
      <c r="L123" s="136"/>
      <c r="M123" s="136"/>
      <c r="N123" s="136"/>
      <c r="O123" s="136"/>
      <c r="P123" s="136"/>
      <c r="Q123" s="136"/>
      <c r="R123" s="136"/>
      <c r="S123" s="136"/>
      <c r="T123" s="136"/>
      <c r="U123" s="136"/>
      <c r="V123" s="136"/>
      <c r="W123" s="136"/>
    </row>
    <row r="124" spans="4:23">
      <c r="D124" s="136"/>
      <c r="E124" s="136"/>
      <c r="F124" s="136"/>
      <c r="G124" s="136"/>
      <c r="H124" s="136"/>
      <c r="I124" s="136"/>
      <c r="J124" s="136"/>
      <c r="K124" s="136"/>
      <c r="L124" s="136"/>
      <c r="M124" s="136"/>
      <c r="N124" s="136"/>
      <c r="O124" s="136"/>
      <c r="P124" s="136"/>
      <c r="Q124" s="136"/>
      <c r="R124" s="136"/>
      <c r="S124" s="136"/>
      <c r="T124" s="136"/>
      <c r="U124" s="136"/>
      <c r="V124" s="136"/>
      <c r="W124" s="136"/>
    </row>
    <row r="125" spans="4:23">
      <c r="D125" s="136"/>
      <c r="E125" s="136"/>
      <c r="F125" s="136"/>
      <c r="G125" s="136"/>
      <c r="H125" s="136"/>
      <c r="I125" s="136"/>
      <c r="J125" s="136"/>
      <c r="K125" s="136"/>
      <c r="L125" s="136"/>
      <c r="M125" s="136"/>
      <c r="N125" s="136"/>
      <c r="O125" s="136"/>
      <c r="P125" s="136"/>
      <c r="Q125" s="136"/>
      <c r="R125" s="136"/>
      <c r="S125" s="136"/>
      <c r="T125" s="136"/>
      <c r="U125" s="136"/>
      <c r="V125" s="136"/>
      <c r="W125" s="136"/>
    </row>
    <row r="126" spans="4:23">
      <c r="D126" s="136"/>
      <c r="E126" s="136"/>
      <c r="F126" s="136"/>
      <c r="G126" s="136"/>
      <c r="H126" s="136"/>
      <c r="I126" s="136"/>
      <c r="J126" s="136"/>
      <c r="K126" s="136"/>
      <c r="L126" s="136"/>
      <c r="M126" s="136"/>
      <c r="N126" s="136"/>
      <c r="O126" s="136"/>
      <c r="P126" s="136"/>
      <c r="Q126" s="136"/>
      <c r="R126" s="136"/>
      <c r="S126" s="136"/>
      <c r="T126" s="136"/>
      <c r="U126" s="136"/>
      <c r="V126" s="136"/>
      <c r="W126" s="136"/>
    </row>
    <row r="127" spans="4:23">
      <c r="D127" s="136"/>
      <c r="E127" s="136"/>
      <c r="F127" s="136"/>
      <c r="G127" s="136"/>
      <c r="H127" s="136"/>
      <c r="I127" s="136"/>
      <c r="J127" s="136"/>
      <c r="K127" s="136"/>
      <c r="L127" s="136"/>
      <c r="M127" s="136"/>
      <c r="N127" s="136"/>
      <c r="O127" s="136"/>
      <c r="P127" s="136"/>
      <c r="Q127" s="136"/>
      <c r="R127" s="136"/>
      <c r="S127" s="136"/>
      <c r="T127" s="136"/>
      <c r="U127" s="136"/>
      <c r="V127" s="136"/>
      <c r="W127" s="136"/>
    </row>
    <row r="128" spans="4:23">
      <c r="D128" s="136"/>
      <c r="E128" s="136"/>
      <c r="F128" s="136"/>
      <c r="G128" s="136"/>
      <c r="H128" s="136"/>
      <c r="I128" s="136"/>
      <c r="J128" s="136"/>
      <c r="K128" s="136"/>
      <c r="L128" s="136"/>
      <c r="M128" s="136"/>
      <c r="N128" s="136"/>
      <c r="O128" s="136"/>
      <c r="P128" s="136"/>
      <c r="Q128" s="136"/>
      <c r="R128" s="136"/>
      <c r="S128" s="136"/>
      <c r="T128" s="136"/>
      <c r="U128" s="136"/>
      <c r="V128" s="136"/>
      <c r="W128" s="136"/>
    </row>
    <row r="129" spans="4:23">
      <c r="D129" s="136"/>
      <c r="E129" s="136"/>
      <c r="F129" s="136"/>
      <c r="G129" s="136"/>
      <c r="H129" s="136"/>
      <c r="I129" s="136"/>
      <c r="J129" s="136"/>
      <c r="K129" s="136"/>
      <c r="L129" s="136"/>
      <c r="M129" s="136"/>
      <c r="N129" s="136"/>
      <c r="O129" s="136"/>
      <c r="P129" s="136"/>
      <c r="Q129" s="136"/>
      <c r="R129" s="136"/>
      <c r="S129" s="136"/>
      <c r="T129" s="136"/>
      <c r="U129" s="136"/>
      <c r="V129" s="136"/>
      <c r="W129" s="136"/>
    </row>
    <row r="130" spans="4:23">
      <c r="D130" s="136"/>
      <c r="E130" s="136"/>
      <c r="F130" s="136"/>
      <c r="G130" s="136"/>
      <c r="H130" s="136"/>
      <c r="I130" s="136"/>
      <c r="J130" s="136"/>
      <c r="K130" s="136"/>
      <c r="L130" s="136"/>
      <c r="M130" s="136"/>
      <c r="N130" s="136"/>
      <c r="O130" s="136"/>
      <c r="P130" s="136"/>
      <c r="Q130" s="136"/>
      <c r="R130" s="136"/>
      <c r="S130" s="136"/>
      <c r="T130" s="136"/>
      <c r="U130" s="136"/>
      <c r="V130" s="136"/>
      <c r="W130" s="136"/>
    </row>
    <row r="131" spans="4:23">
      <c r="D131" s="136"/>
      <c r="E131" s="136"/>
      <c r="F131" s="136"/>
      <c r="G131" s="136"/>
      <c r="H131" s="136"/>
      <c r="I131" s="136"/>
      <c r="J131" s="136"/>
      <c r="K131" s="136"/>
      <c r="L131" s="136"/>
      <c r="M131" s="136"/>
      <c r="N131" s="136"/>
      <c r="O131" s="136"/>
      <c r="P131" s="136"/>
      <c r="Q131" s="136"/>
      <c r="R131" s="136"/>
      <c r="S131" s="136"/>
      <c r="T131" s="136"/>
      <c r="U131" s="136"/>
      <c r="V131" s="136"/>
      <c r="W131" s="136"/>
    </row>
    <row r="132" spans="4:23">
      <c r="D132" s="136"/>
      <c r="E132" s="136"/>
      <c r="F132" s="136"/>
      <c r="G132" s="136"/>
      <c r="H132" s="136"/>
      <c r="I132" s="136"/>
      <c r="J132" s="136"/>
      <c r="K132" s="136"/>
      <c r="L132" s="136"/>
      <c r="M132" s="136"/>
      <c r="N132" s="136"/>
      <c r="O132" s="136"/>
      <c r="P132" s="136"/>
      <c r="Q132" s="136"/>
      <c r="R132" s="136"/>
      <c r="S132" s="136"/>
      <c r="T132" s="136"/>
      <c r="U132" s="136"/>
      <c r="V132" s="136"/>
      <c r="W132" s="136"/>
    </row>
    <row r="133" spans="4:23">
      <c r="D133" s="136"/>
      <c r="E133" s="136"/>
      <c r="F133" s="136"/>
      <c r="G133" s="136"/>
      <c r="H133" s="136"/>
      <c r="I133" s="136"/>
      <c r="J133" s="136"/>
      <c r="K133" s="136"/>
      <c r="L133" s="136"/>
      <c r="M133" s="136"/>
      <c r="N133" s="136"/>
      <c r="O133" s="136"/>
      <c r="P133" s="136"/>
      <c r="Q133" s="136"/>
      <c r="R133" s="136"/>
      <c r="S133" s="136"/>
      <c r="T133" s="136"/>
      <c r="U133" s="136"/>
      <c r="V133" s="136"/>
      <c r="W133" s="136"/>
    </row>
    <row r="134" spans="4:23">
      <c r="D134" s="136"/>
      <c r="E134" s="136"/>
      <c r="F134" s="136"/>
      <c r="G134" s="136"/>
      <c r="H134" s="136"/>
      <c r="I134" s="136"/>
      <c r="J134" s="136"/>
      <c r="K134" s="136"/>
      <c r="L134" s="136"/>
      <c r="M134" s="136"/>
      <c r="N134" s="136"/>
      <c r="O134" s="136"/>
      <c r="P134" s="136"/>
      <c r="Q134" s="136"/>
      <c r="R134" s="136"/>
      <c r="S134" s="136"/>
      <c r="T134" s="136"/>
      <c r="U134" s="136"/>
      <c r="V134" s="136"/>
      <c r="W134" s="136"/>
    </row>
    <row r="135" spans="4:23">
      <c r="D135" s="136"/>
      <c r="E135" s="136"/>
      <c r="F135" s="136"/>
      <c r="G135" s="136"/>
      <c r="H135" s="136"/>
      <c r="I135" s="136"/>
      <c r="J135" s="136"/>
      <c r="K135" s="136"/>
      <c r="L135" s="136"/>
      <c r="M135" s="136"/>
      <c r="N135" s="136"/>
      <c r="O135" s="136"/>
      <c r="P135" s="136"/>
      <c r="Q135" s="136"/>
      <c r="R135" s="136"/>
      <c r="S135" s="136"/>
      <c r="T135" s="136"/>
      <c r="U135" s="136"/>
      <c r="V135" s="136"/>
      <c r="W135" s="136"/>
    </row>
    <row r="136" spans="4:23">
      <c r="D136" s="136"/>
      <c r="E136" s="136"/>
      <c r="F136" s="136"/>
      <c r="G136" s="136"/>
      <c r="H136" s="136"/>
      <c r="I136" s="136"/>
      <c r="J136" s="136"/>
      <c r="K136" s="136"/>
      <c r="L136" s="136"/>
      <c r="M136" s="136"/>
      <c r="N136" s="136"/>
      <c r="O136" s="136"/>
      <c r="P136" s="136"/>
      <c r="Q136" s="136"/>
      <c r="R136" s="136"/>
      <c r="S136" s="136"/>
      <c r="T136" s="136"/>
      <c r="U136" s="136"/>
      <c r="V136" s="136"/>
      <c r="W136" s="136"/>
    </row>
    <row r="137" spans="4:23">
      <c r="D137" s="136"/>
      <c r="E137" s="136"/>
      <c r="F137" s="136"/>
      <c r="G137" s="136"/>
      <c r="H137" s="136"/>
      <c r="I137" s="136"/>
      <c r="J137" s="136"/>
      <c r="K137" s="136"/>
      <c r="L137" s="136"/>
      <c r="M137" s="136"/>
      <c r="N137" s="136"/>
      <c r="O137" s="136"/>
      <c r="P137" s="136"/>
      <c r="Q137" s="136"/>
      <c r="R137" s="136"/>
      <c r="S137" s="136"/>
      <c r="T137" s="136"/>
      <c r="U137" s="136"/>
      <c r="V137" s="136"/>
      <c r="W137" s="136"/>
    </row>
    <row r="138" spans="4:23">
      <c r="D138" s="136"/>
      <c r="E138" s="136"/>
      <c r="F138" s="136"/>
      <c r="G138" s="136"/>
      <c r="H138" s="136"/>
      <c r="I138" s="136"/>
      <c r="J138" s="136"/>
      <c r="K138" s="136"/>
      <c r="L138" s="136"/>
      <c r="M138" s="136"/>
      <c r="N138" s="136"/>
      <c r="O138" s="136"/>
      <c r="P138" s="136"/>
      <c r="Q138" s="136"/>
      <c r="R138" s="136"/>
      <c r="S138" s="136"/>
      <c r="T138" s="136"/>
      <c r="U138" s="136"/>
      <c r="V138" s="136"/>
      <c r="W138" s="136"/>
    </row>
    <row r="139" spans="4:23">
      <c r="D139" s="136"/>
      <c r="E139" s="136"/>
      <c r="F139" s="136"/>
      <c r="G139" s="136"/>
      <c r="H139" s="136"/>
      <c r="I139" s="136"/>
      <c r="J139" s="136"/>
      <c r="K139" s="136"/>
      <c r="L139" s="136"/>
      <c r="M139" s="136"/>
      <c r="N139" s="136"/>
      <c r="O139" s="136"/>
      <c r="P139" s="136"/>
      <c r="Q139" s="136"/>
      <c r="R139" s="136"/>
      <c r="S139" s="136"/>
      <c r="T139" s="136"/>
      <c r="U139" s="136"/>
      <c r="V139" s="136"/>
      <c r="W139" s="136"/>
    </row>
    <row r="140" spans="4:23">
      <c r="D140" s="136"/>
      <c r="E140" s="136"/>
      <c r="F140" s="136"/>
      <c r="G140" s="136"/>
      <c r="H140" s="136"/>
      <c r="I140" s="136"/>
      <c r="J140" s="136"/>
      <c r="K140" s="136"/>
      <c r="L140" s="136"/>
      <c r="M140" s="136"/>
      <c r="N140" s="136"/>
      <c r="O140" s="136"/>
      <c r="P140" s="136"/>
      <c r="Q140" s="136"/>
      <c r="R140" s="136"/>
      <c r="S140" s="136"/>
      <c r="T140" s="136"/>
      <c r="U140" s="136"/>
      <c r="V140" s="136"/>
      <c r="W140" s="136"/>
    </row>
    <row r="141" spans="4:23">
      <c r="D141" s="136"/>
      <c r="E141" s="136"/>
      <c r="F141" s="136"/>
      <c r="G141" s="136"/>
      <c r="H141" s="136"/>
      <c r="I141" s="136"/>
      <c r="J141" s="136"/>
      <c r="K141" s="136"/>
      <c r="L141" s="136"/>
      <c r="M141" s="136"/>
      <c r="N141" s="136"/>
      <c r="O141" s="136"/>
      <c r="P141" s="136"/>
      <c r="Q141" s="136"/>
      <c r="R141" s="136"/>
      <c r="S141" s="136"/>
      <c r="T141" s="136"/>
      <c r="U141" s="136"/>
      <c r="V141" s="136"/>
      <c r="W141" s="136"/>
    </row>
    <row r="142" spans="4:23">
      <c r="D142" s="136"/>
      <c r="E142" s="136"/>
      <c r="F142" s="136"/>
      <c r="G142" s="136"/>
      <c r="H142" s="136"/>
      <c r="I142" s="136"/>
      <c r="J142" s="136"/>
      <c r="K142" s="136"/>
      <c r="L142" s="136"/>
      <c r="M142" s="136"/>
      <c r="N142" s="136"/>
      <c r="O142" s="136"/>
      <c r="P142" s="136"/>
      <c r="Q142" s="136"/>
      <c r="R142" s="136"/>
      <c r="S142" s="136"/>
      <c r="T142" s="136"/>
      <c r="U142" s="136"/>
      <c r="V142" s="136"/>
      <c r="W142" s="136"/>
    </row>
    <row r="143" spans="4:23">
      <c r="D143" s="136"/>
      <c r="E143" s="136"/>
      <c r="F143" s="136"/>
      <c r="G143" s="136"/>
      <c r="H143" s="136"/>
      <c r="I143" s="136"/>
      <c r="J143" s="136"/>
      <c r="K143" s="136"/>
      <c r="L143" s="136"/>
      <c r="M143" s="136"/>
      <c r="N143" s="136"/>
      <c r="O143" s="136"/>
      <c r="P143" s="136"/>
      <c r="Q143" s="136"/>
      <c r="R143" s="136"/>
      <c r="S143" s="136"/>
      <c r="T143" s="136"/>
      <c r="U143" s="136"/>
      <c r="V143" s="136"/>
      <c r="W143" s="136"/>
    </row>
    <row r="144" spans="4:23">
      <c r="D144" s="136"/>
      <c r="E144" s="136"/>
      <c r="F144" s="136"/>
      <c r="G144" s="136"/>
      <c r="H144" s="136"/>
      <c r="I144" s="136"/>
      <c r="J144" s="136"/>
      <c r="K144" s="136"/>
      <c r="L144" s="136"/>
      <c r="M144" s="136"/>
      <c r="N144" s="136"/>
      <c r="O144" s="136"/>
      <c r="P144" s="136"/>
      <c r="Q144" s="136"/>
      <c r="R144" s="136"/>
      <c r="S144" s="136"/>
      <c r="T144" s="136"/>
      <c r="U144" s="136"/>
      <c r="V144" s="136"/>
      <c r="W144" s="136"/>
    </row>
    <row r="145" spans="4:23">
      <c r="D145" s="136"/>
      <c r="E145" s="136"/>
      <c r="F145" s="136"/>
      <c r="G145" s="136"/>
      <c r="H145" s="136"/>
      <c r="I145" s="136"/>
      <c r="J145" s="136"/>
      <c r="K145" s="136"/>
      <c r="L145" s="136"/>
      <c r="M145" s="136"/>
      <c r="N145" s="136"/>
      <c r="O145" s="136"/>
      <c r="P145" s="136"/>
      <c r="Q145" s="136"/>
      <c r="R145" s="136"/>
      <c r="S145" s="136"/>
      <c r="T145" s="136"/>
      <c r="U145" s="136"/>
      <c r="V145" s="136"/>
      <c r="W145" s="136"/>
    </row>
  </sheetData>
  <pageMargins left="0" right="0" top="0" bottom="0" header="0" footer="0"/>
  <pageSetup paperSize="5" scale="29"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
  <sheetViews>
    <sheetView showGridLines="0" zoomScaleNormal="100" workbookViewId="0"/>
  </sheetViews>
  <sheetFormatPr defaultRowHeight="13.5"/>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B2:CV92"/>
  <sheetViews>
    <sheetView zoomScale="85" zoomScaleNormal="85" workbookViewId="0">
      <pane xSplit="2" ySplit="5" topLeftCell="BE9" activePane="bottomRight" state="frozen"/>
      <selection pane="topRight" activeCell="D1" sqref="D1"/>
      <selection pane="bottomLeft" activeCell="A3" sqref="A3"/>
      <selection pane="bottomRight" activeCell="BE20" sqref="BE20"/>
    </sheetView>
  </sheetViews>
  <sheetFormatPr defaultColWidth="8" defaultRowHeight="12.75" outlineLevelRow="1" outlineLevelCol="1"/>
  <cols>
    <col min="1" max="1" width="4" style="240" customWidth="1"/>
    <col min="2" max="2" width="17.75" style="240" bestFit="1" customWidth="1"/>
    <col min="3" max="55" width="9.375" style="240" hidden="1" customWidth="1" outlineLevel="1"/>
    <col min="56" max="56" width="7.5" style="240" hidden="1" customWidth="1" outlineLevel="1"/>
    <col min="57" max="57" width="9.375" style="240" customWidth="1" collapsed="1"/>
    <col min="58" max="73" width="9.375" style="240" customWidth="1"/>
    <col min="74" max="74" width="8.5" style="240" bestFit="1" customWidth="1"/>
    <col min="75" max="16384" width="8" style="240"/>
  </cols>
  <sheetData>
    <row r="2" spans="2:100" ht="13.5" thickBot="1">
      <c r="BL2" s="241"/>
    </row>
    <row r="3" spans="2:100" ht="14.25" thickBot="1">
      <c r="B3" s="242" t="s">
        <v>167</v>
      </c>
      <c r="C3" s="243"/>
      <c r="D3" s="243"/>
      <c r="E3" s="243"/>
      <c r="F3" s="243"/>
      <c r="G3" s="243"/>
      <c r="H3" s="243"/>
      <c r="I3" s="243"/>
      <c r="J3" s="243"/>
      <c r="K3" s="243"/>
      <c r="L3" s="243"/>
      <c r="M3" s="243"/>
      <c r="N3" s="243"/>
      <c r="O3" s="243"/>
      <c r="P3" s="243"/>
      <c r="Q3" s="243"/>
      <c r="R3" s="243"/>
      <c r="S3" s="243"/>
      <c r="T3" s="243"/>
      <c r="U3" s="243"/>
      <c r="V3" s="243"/>
      <c r="W3" s="243"/>
      <c r="X3" s="243"/>
      <c r="Y3" s="243"/>
      <c r="Z3" s="243"/>
      <c r="AA3" s="243"/>
      <c r="AB3" s="243"/>
      <c r="AC3" s="243"/>
      <c r="AD3" s="243"/>
      <c r="AE3" s="243"/>
      <c r="AF3" s="243"/>
      <c r="AG3" s="243"/>
      <c r="AH3" s="243"/>
      <c r="AI3" s="243"/>
      <c r="AJ3" s="243"/>
      <c r="AK3" s="243"/>
      <c r="AL3" s="243"/>
      <c r="AM3" s="243"/>
      <c r="AN3" s="243"/>
      <c r="AO3" s="243"/>
      <c r="AP3" s="243"/>
      <c r="AQ3" s="243"/>
      <c r="AR3" s="243"/>
      <c r="AS3" s="243"/>
      <c r="AT3" s="243"/>
      <c r="AU3" s="243"/>
      <c r="AV3" s="243"/>
      <c r="AW3" s="243"/>
      <c r="AX3" s="243"/>
      <c r="AY3" s="243"/>
      <c r="AZ3" s="243"/>
      <c r="BA3" s="243"/>
      <c r="BB3" s="244"/>
      <c r="BC3" s="244"/>
      <c r="BD3" s="244"/>
      <c r="BE3" s="551">
        <f>DCF!C30</f>
        <v>2</v>
      </c>
    </row>
    <row r="4" spans="2:100" ht="15" customHeight="1"/>
    <row r="5" spans="2:100" s="245" customFormat="1" ht="15" customHeight="1">
      <c r="B5" s="220"/>
      <c r="C5" s="220">
        <v>1960</v>
      </c>
      <c r="D5" s="220">
        <v>1961</v>
      </c>
      <c r="E5" s="220">
        <v>1962</v>
      </c>
      <c r="F5" s="220">
        <v>1963</v>
      </c>
      <c r="G5" s="220">
        <v>1964</v>
      </c>
      <c r="H5" s="220">
        <v>1965</v>
      </c>
      <c r="I5" s="220">
        <v>1966</v>
      </c>
      <c r="J5" s="220">
        <v>1967</v>
      </c>
      <c r="K5" s="220">
        <v>1968</v>
      </c>
      <c r="L5" s="220">
        <v>1969</v>
      </c>
      <c r="M5" s="220">
        <v>1970</v>
      </c>
      <c r="N5" s="220">
        <v>1971</v>
      </c>
      <c r="O5" s="220">
        <v>1972</v>
      </c>
      <c r="P5" s="220">
        <v>1973</v>
      </c>
      <c r="Q5" s="220">
        <v>1974</v>
      </c>
      <c r="R5" s="220">
        <v>1975</v>
      </c>
      <c r="S5" s="220">
        <v>1976</v>
      </c>
      <c r="T5" s="220">
        <v>1977</v>
      </c>
      <c r="U5" s="220">
        <v>1978</v>
      </c>
      <c r="V5" s="220">
        <v>1979</v>
      </c>
      <c r="W5" s="220">
        <v>1980</v>
      </c>
      <c r="X5" s="220">
        <v>1981</v>
      </c>
      <c r="Y5" s="220">
        <v>1982</v>
      </c>
      <c r="Z5" s="220">
        <v>1983</v>
      </c>
      <c r="AA5" s="220">
        <v>1984</v>
      </c>
      <c r="AB5" s="220">
        <v>1985</v>
      </c>
      <c r="AC5" s="220">
        <v>1986</v>
      </c>
      <c r="AD5" s="220">
        <v>1987</v>
      </c>
      <c r="AE5" s="220">
        <v>1988</v>
      </c>
      <c r="AF5" s="220">
        <v>1989</v>
      </c>
      <c r="AG5" s="220">
        <v>1990</v>
      </c>
      <c r="AH5" s="220">
        <v>1991</v>
      </c>
      <c r="AI5" s="220">
        <v>1992</v>
      </c>
      <c r="AJ5" s="220">
        <v>1993</v>
      </c>
      <c r="AK5" s="220">
        <v>1994</v>
      </c>
      <c r="AL5" s="220">
        <v>1995</v>
      </c>
      <c r="AM5" s="220">
        <v>1996</v>
      </c>
      <c r="AN5" s="220">
        <v>1997</v>
      </c>
      <c r="AO5" s="220">
        <v>1998</v>
      </c>
      <c r="AP5" s="220">
        <v>1999</v>
      </c>
      <c r="AQ5" s="220">
        <v>2000</v>
      </c>
      <c r="AR5" s="220">
        <v>2001</v>
      </c>
      <c r="AS5" s="220">
        <v>2002</v>
      </c>
      <c r="AT5" s="220">
        <v>2003</v>
      </c>
      <c r="AU5" s="220">
        <v>2004</v>
      </c>
      <c r="AV5" s="220">
        <v>2005</v>
      </c>
      <c r="AW5" s="220">
        <v>2006</v>
      </c>
      <c r="AX5" s="220">
        <v>2007</v>
      </c>
      <c r="AY5" s="220">
        <v>2008</v>
      </c>
      <c r="AZ5" s="220">
        <v>2009</v>
      </c>
      <c r="BA5" s="220">
        <v>2010</v>
      </c>
      <c r="BB5" s="220">
        <v>2011</v>
      </c>
      <c r="BC5" s="220">
        <v>2012</v>
      </c>
      <c r="BD5" s="220">
        <v>2013</v>
      </c>
      <c r="BE5" s="220">
        <v>2014</v>
      </c>
      <c r="BF5" s="220">
        <v>2015</v>
      </c>
      <c r="BG5" s="220">
        <v>2016</v>
      </c>
      <c r="BH5" s="220">
        <v>2017</v>
      </c>
      <c r="BI5" s="220">
        <v>2018</v>
      </c>
      <c r="BJ5" s="220">
        <v>2019</v>
      </c>
      <c r="BK5" s="220">
        <v>2020</v>
      </c>
      <c r="BL5" s="220">
        <v>2021</v>
      </c>
      <c r="BM5" s="220">
        <v>2022</v>
      </c>
      <c r="BN5" s="220">
        <v>2023</v>
      </c>
      <c r="BO5" s="220">
        <v>2024</v>
      </c>
      <c r="BP5" s="220">
        <v>2025</v>
      </c>
      <c r="BQ5" s="220">
        <v>2026</v>
      </c>
      <c r="BR5" s="220">
        <v>2027</v>
      </c>
      <c r="BS5" s="220">
        <v>2028</v>
      </c>
      <c r="BT5" s="220">
        <v>2029</v>
      </c>
      <c r="BU5" s="220">
        <v>2030</v>
      </c>
    </row>
    <row r="6" spans="2:100" ht="15" hidden="1" customHeight="1" outlineLevel="1">
      <c r="B6" s="245" t="s">
        <v>195</v>
      </c>
      <c r="BB6" s="251"/>
      <c r="BC6" s="251"/>
      <c r="BD6" s="251"/>
      <c r="BE6" s="251"/>
      <c r="BF6" s="251"/>
      <c r="BG6" s="251"/>
      <c r="BH6" s="251"/>
      <c r="BI6" s="251"/>
      <c r="BJ6" s="251"/>
      <c r="BK6" s="251"/>
      <c r="BL6" s="251"/>
      <c r="BM6" s="251"/>
      <c r="BN6" s="251"/>
      <c r="BO6" s="251"/>
      <c r="BP6" s="251"/>
      <c r="BQ6" s="251"/>
      <c r="BR6" s="251"/>
      <c r="BS6" s="251"/>
      <c r="BT6" s="251"/>
      <c r="BU6" s="251"/>
    </row>
    <row r="7" spans="2:100" ht="15" hidden="1" customHeight="1" outlineLevel="1">
      <c r="B7" s="247" t="s">
        <v>24</v>
      </c>
      <c r="C7" s="248">
        <f t="shared" ref="C7:V7" si="0">D7/1.005</f>
        <v>3046464.2854409544</v>
      </c>
      <c r="D7" s="248">
        <f t="shared" si="0"/>
        <v>3061696.606868159</v>
      </c>
      <c r="E7" s="248">
        <f t="shared" si="0"/>
        <v>3077005.0899024997</v>
      </c>
      <c r="F7" s="248">
        <f t="shared" si="0"/>
        <v>3092390.1153520118</v>
      </c>
      <c r="G7" s="248">
        <f t="shared" si="0"/>
        <v>3107852.0659287716</v>
      </c>
      <c r="H7" s="248">
        <f t="shared" si="0"/>
        <v>3123391.3262584154</v>
      </c>
      <c r="I7" s="248">
        <f t="shared" si="0"/>
        <v>3139008.282889707</v>
      </c>
      <c r="J7" s="248">
        <f t="shared" si="0"/>
        <v>3154703.3243041551</v>
      </c>
      <c r="K7" s="248">
        <f t="shared" si="0"/>
        <v>3170476.8409256754</v>
      </c>
      <c r="L7" s="248">
        <f t="shared" si="0"/>
        <v>3186329.2251303033</v>
      </c>
      <c r="M7" s="248">
        <f t="shared" si="0"/>
        <v>3202260.8712559543</v>
      </c>
      <c r="N7" s="248">
        <f t="shared" si="0"/>
        <v>3218272.1756122336</v>
      </c>
      <c r="O7" s="248">
        <f t="shared" si="0"/>
        <v>3234363.5364902946</v>
      </c>
      <c r="P7" s="248">
        <f t="shared" si="0"/>
        <v>3250535.3541727457</v>
      </c>
      <c r="Q7" s="248">
        <f t="shared" si="0"/>
        <v>3266788.0309436093</v>
      </c>
      <c r="R7" s="248">
        <f t="shared" si="0"/>
        <v>3283121.9710983271</v>
      </c>
      <c r="S7" s="248">
        <f t="shared" si="0"/>
        <v>3299537.5809538183</v>
      </c>
      <c r="T7" s="248">
        <f t="shared" si="0"/>
        <v>3316035.2688585869</v>
      </c>
      <c r="U7" s="248">
        <f t="shared" si="0"/>
        <v>3332615.4452028796</v>
      </c>
      <c r="V7" s="248">
        <f t="shared" si="0"/>
        <v>3349278.5224288935</v>
      </c>
      <c r="W7" s="248">
        <f t="shared" ref="W7:BC7" si="1">X7/1.005</f>
        <v>3366024.9150410374</v>
      </c>
      <c r="X7" s="248">
        <f t="shared" si="1"/>
        <v>3382855.0396162421</v>
      </c>
      <c r="Y7" s="248">
        <f t="shared" si="1"/>
        <v>3399769.3148143231</v>
      </c>
      <c r="Z7" s="248">
        <f t="shared" si="1"/>
        <v>3416768.1613883944</v>
      </c>
      <c r="AA7" s="248">
        <f t="shared" si="1"/>
        <v>3433852.0021953359</v>
      </c>
      <c r="AB7" s="248">
        <f t="shared" si="1"/>
        <v>3451021.2622063123</v>
      </c>
      <c r="AC7" s="248">
        <f t="shared" si="1"/>
        <v>3468276.3685173434</v>
      </c>
      <c r="AD7" s="248">
        <f t="shared" si="1"/>
        <v>3485617.7503599296</v>
      </c>
      <c r="AE7" s="248">
        <f t="shared" si="1"/>
        <v>3503045.8391117291</v>
      </c>
      <c r="AF7" s="248">
        <f t="shared" si="1"/>
        <v>3520561.0683072875</v>
      </c>
      <c r="AG7" s="248">
        <f t="shared" si="1"/>
        <v>3538163.8736488237</v>
      </c>
      <c r="AH7" s="248">
        <f t="shared" si="1"/>
        <v>3555854.6930170674</v>
      </c>
      <c r="AI7" s="248">
        <f t="shared" si="1"/>
        <v>3573633.9664821522</v>
      </c>
      <c r="AJ7" s="248">
        <f t="shared" si="1"/>
        <v>3591502.1363145625</v>
      </c>
      <c r="AK7" s="248">
        <f t="shared" si="1"/>
        <v>3609459.6469961349</v>
      </c>
      <c r="AL7" s="248">
        <f t="shared" si="1"/>
        <v>3627506.945231115</v>
      </c>
      <c r="AM7" s="248">
        <f t="shared" si="1"/>
        <v>3645644.47995727</v>
      </c>
      <c r="AN7" s="248">
        <f t="shared" si="1"/>
        <v>3663872.7023570561</v>
      </c>
      <c r="AO7" s="248">
        <f t="shared" si="1"/>
        <v>3682192.065868841</v>
      </c>
      <c r="AP7" s="248">
        <f t="shared" si="1"/>
        <v>3700603.026198185</v>
      </c>
      <c r="AQ7" s="248">
        <f t="shared" si="1"/>
        <v>3719106.0413291757</v>
      </c>
      <c r="AR7" s="248">
        <f t="shared" si="1"/>
        <v>3737701.5715358211</v>
      </c>
      <c r="AS7" s="248">
        <f t="shared" si="1"/>
        <v>3756390.0793935</v>
      </c>
      <c r="AT7" s="248">
        <f t="shared" si="1"/>
        <v>3775172.0297904671</v>
      </c>
      <c r="AU7" s="248">
        <f t="shared" si="1"/>
        <v>3794047.889939419</v>
      </c>
      <c r="AV7" s="248">
        <f t="shared" si="1"/>
        <v>3813018.1293891156</v>
      </c>
      <c r="AW7" s="248">
        <f t="shared" si="1"/>
        <v>3832083.220036061</v>
      </c>
      <c r="AX7" s="248">
        <f t="shared" si="1"/>
        <v>3851243.6361362408</v>
      </c>
      <c r="AY7" s="248">
        <f t="shared" si="1"/>
        <v>3870499.8543169214</v>
      </c>
      <c r="AZ7" s="248">
        <f t="shared" si="1"/>
        <v>3889852.3535885056</v>
      </c>
      <c r="BA7" s="248">
        <f t="shared" si="1"/>
        <v>3909301.6153564476</v>
      </c>
      <c r="BB7" s="248">
        <f t="shared" si="1"/>
        <v>3928848.1234332295</v>
      </c>
      <c r="BC7" s="248">
        <f t="shared" si="1"/>
        <v>3948492.3640503953</v>
      </c>
      <c r="BD7" s="248">
        <f>BE7/1.005</f>
        <v>3968234.8258706471</v>
      </c>
      <c r="BE7" s="248">
        <f>'Brineura (BMN 190)'!Q7</f>
        <v>3988076</v>
      </c>
      <c r="BF7" s="248">
        <f>BE7*1.005</f>
        <v>4008016.3799999994</v>
      </c>
      <c r="BG7" s="248">
        <f t="shared" ref="BG7:BP7" si="2">BF7*1.005</f>
        <v>4028056.4618999991</v>
      </c>
      <c r="BH7" s="248">
        <f t="shared" si="2"/>
        <v>4048196.7442094986</v>
      </c>
      <c r="BI7" s="248">
        <f t="shared" si="2"/>
        <v>4068437.7279305458</v>
      </c>
      <c r="BJ7" s="248">
        <f t="shared" si="2"/>
        <v>4088779.9165701983</v>
      </c>
      <c r="BK7" s="248">
        <f t="shared" si="2"/>
        <v>4109223.816153049</v>
      </c>
      <c r="BL7" s="248">
        <f t="shared" si="2"/>
        <v>4129769.9352338137</v>
      </c>
      <c r="BM7" s="248">
        <f t="shared" si="2"/>
        <v>4150418.7849099822</v>
      </c>
      <c r="BN7" s="248">
        <f t="shared" si="2"/>
        <v>4171170.8788345316</v>
      </c>
      <c r="BO7" s="248">
        <f t="shared" si="2"/>
        <v>4192026.733228704</v>
      </c>
      <c r="BP7" s="248">
        <f t="shared" si="2"/>
        <v>4212986.8668948468</v>
      </c>
      <c r="BQ7" s="248">
        <f t="shared" ref="BQ7" si="3">BP7*1.005</f>
        <v>4234051.8012293205</v>
      </c>
      <c r="BR7" s="248">
        <f t="shared" ref="BR7" si="4">BQ7*1.005</f>
        <v>4255222.0602354668</v>
      </c>
      <c r="BS7" s="248">
        <f t="shared" ref="BS7" si="5">BR7*1.005</f>
        <v>4276498.1705366438</v>
      </c>
      <c r="BT7" s="248">
        <f t="shared" ref="BT7" si="6">BS7*1.005</f>
        <v>4297880.6613893267</v>
      </c>
      <c r="BU7" s="248">
        <f t="shared" ref="BU7" si="7">BT7*1.005</f>
        <v>4319370.0646962728</v>
      </c>
      <c r="BV7" s="253"/>
      <c r="BW7" s="253"/>
      <c r="BX7" s="253"/>
      <c r="BY7" s="253"/>
      <c r="BZ7" s="253"/>
      <c r="CA7" s="253"/>
      <c r="CB7" s="253"/>
      <c r="CC7" s="253"/>
      <c r="CD7" s="253"/>
      <c r="CE7" s="253"/>
      <c r="CF7" s="253"/>
      <c r="CG7" s="253"/>
      <c r="CH7" s="253"/>
      <c r="CI7" s="253"/>
      <c r="CJ7" s="253"/>
      <c r="CK7" s="253"/>
      <c r="CL7" s="253"/>
      <c r="CM7" s="253"/>
      <c r="CN7" s="253"/>
      <c r="CO7" s="253"/>
      <c r="CP7" s="253"/>
      <c r="CQ7" s="253"/>
      <c r="CR7" s="253"/>
      <c r="CS7" s="253"/>
      <c r="CT7" s="253"/>
      <c r="CU7" s="253"/>
      <c r="CV7" s="253"/>
    </row>
    <row r="8" spans="2:100" ht="15" hidden="1" customHeight="1" outlineLevel="1">
      <c r="B8" s="247" t="s">
        <v>25</v>
      </c>
      <c r="C8" s="248">
        <f t="shared" ref="C8:V8" si="8">D8/1.002</f>
        <v>4560296.6859375583</v>
      </c>
      <c r="D8" s="248">
        <f t="shared" si="8"/>
        <v>4569417.2793094339</v>
      </c>
      <c r="E8" s="248">
        <f t="shared" si="8"/>
        <v>4578556.1138680531</v>
      </c>
      <c r="F8" s="248">
        <f t="shared" si="8"/>
        <v>4587713.2260957891</v>
      </c>
      <c r="G8" s="248">
        <f t="shared" si="8"/>
        <v>4596888.6525479807</v>
      </c>
      <c r="H8" s="248">
        <f t="shared" si="8"/>
        <v>4606082.429853077</v>
      </c>
      <c r="I8" s="248">
        <f t="shared" si="8"/>
        <v>4615294.5947127836</v>
      </c>
      <c r="J8" s="248">
        <f t="shared" si="8"/>
        <v>4624525.1839022087</v>
      </c>
      <c r="K8" s="248">
        <f t="shared" si="8"/>
        <v>4633774.2342700129</v>
      </c>
      <c r="L8" s="248">
        <f t="shared" si="8"/>
        <v>4643041.7827385534</v>
      </c>
      <c r="M8" s="248">
        <f t="shared" si="8"/>
        <v>4652327.8663040306</v>
      </c>
      <c r="N8" s="248">
        <f t="shared" si="8"/>
        <v>4661632.522036639</v>
      </c>
      <c r="O8" s="248">
        <f t="shared" si="8"/>
        <v>4670955.7870807126</v>
      </c>
      <c r="P8" s="248">
        <f t="shared" si="8"/>
        <v>4680297.6986548742</v>
      </c>
      <c r="Q8" s="248">
        <f t="shared" si="8"/>
        <v>4689658.2940521836</v>
      </c>
      <c r="R8" s="248">
        <f t="shared" si="8"/>
        <v>4699037.6106402883</v>
      </c>
      <c r="S8" s="248">
        <f t="shared" si="8"/>
        <v>4708435.6858615689</v>
      </c>
      <c r="T8" s="248">
        <f t="shared" si="8"/>
        <v>4717852.5572332917</v>
      </c>
      <c r="U8" s="248">
        <f t="shared" si="8"/>
        <v>4727288.2623477578</v>
      </c>
      <c r="V8" s="248">
        <f t="shared" si="8"/>
        <v>4736742.8388724532</v>
      </c>
      <c r="W8" s="248">
        <f t="shared" ref="W8:BD8" si="9">X8/1.002</f>
        <v>4746216.3245501984</v>
      </c>
      <c r="X8" s="248">
        <f t="shared" si="9"/>
        <v>4755708.7571992986</v>
      </c>
      <c r="Y8" s="248">
        <f t="shared" si="9"/>
        <v>4765220.1747136973</v>
      </c>
      <c r="Z8" s="248">
        <f t="shared" si="9"/>
        <v>4774750.6150631243</v>
      </c>
      <c r="AA8" s="248">
        <f t="shared" si="9"/>
        <v>4784300.1162932506</v>
      </c>
      <c r="AB8" s="248">
        <f t="shared" si="9"/>
        <v>4793868.7165258368</v>
      </c>
      <c r="AC8" s="248">
        <f t="shared" si="9"/>
        <v>4803456.4539588885</v>
      </c>
      <c r="AD8" s="248">
        <f t="shared" si="9"/>
        <v>4813063.3668668065</v>
      </c>
      <c r="AE8" s="248">
        <f t="shared" si="9"/>
        <v>4822689.4936005399</v>
      </c>
      <c r="AF8" s="248">
        <f t="shared" si="9"/>
        <v>4832334.8725877414</v>
      </c>
      <c r="AG8" s="248">
        <f t="shared" si="9"/>
        <v>4841999.5423329165</v>
      </c>
      <c r="AH8" s="248">
        <f t="shared" si="9"/>
        <v>4851683.541417582</v>
      </c>
      <c r="AI8" s="248">
        <f t="shared" si="9"/>
        <v>4861386.9085004171</v>
      </c>
      <c r="AJ8" s="248">
        <f t="shared" si="9"/>
        <v>4871109.682317418</v>
      </c>
      <c r="AK8" s="248">
        <f t="shared" si="9"/>
        <v>4880851.9016820528</v>
      </c>
      <c r="AL8" s="248">
        <f t="shared" si="9"/>
        <v>4890613.6054854169</v>
      </c>
      <c r="AM8" s="248">
        <f t="shared" si="9"/>
        <v>4900394.8326963875</v>
      </c>
      <c r="AN8" s="248">
        <f t="shared" si="9"/>
        <v>4910195.6223617801</v>
      </c>
      <c r="AO8" s="248">
        <f t="shared" si="9"/>
        <v>4920016.0136065036</v>
      </c>
      <c r="AP8" s="248">
        <f t="shared" si="9"/>
        <v>4929856.0456337165</v>
      </c>
      <c r="AQ8" s="248">
        <f t="shared" si="9"/>
        <v>4939715.7577249836</v>
      </c>
      <c r="AR8" s="248">
        <f t="shared" si="9"/>
        <v>4949595.1892404333</v>
      </c>
      <c r="AS8" s="248">
        <f t="shared" si="9"/>
        <v>4959494.3796189139</v>
      </c>
      <c r="AT8" s="248">
        <f t="shared" si="9"/>
        <v>4969413.3683781521</v>
      </c>
      <c r="AU8" s="248">
        <f t="shared" si="9"/>
        <v>4979352.1951149087</v>
      </c>
      <c r="AV8" s="248">
        <f t="shared" si="9"/>
        <v>4989310.8995051384</v>
      </c>
      <c r="AW8" s="248">
        <f t="shared" si="9"/>
        <v>4999289.5213041482</v>
      </c>
      <c r="AX8" s="248">
        <f t="shared" si="9"/>
        <v>5009288.1003467562</v>
      </c>
      <c r="AY8" s="248">
        <f t="shared" si="9"/>
        <v>5019306.67654745</v>
      </c>
      <c r="AZ8" s="248">
        <f t="shared" si="9"/>
        <v>5029345.289900545</v>
      </c>
      <c r="BA8" s="248">
        <f t="shared" si="9"/>
        <v>5039403.9804803459</v>
      </c>
      <c r="BB8" s="248">
        <f t="shared" si="9"/>
        <v>5049482.7884413069</v>
      </c>
      <c r="BC8" s="248">
        <f t="shared" si="9"/>
        <v>5059581.7540181894</v>
      </c>
      <c r="BD8" s="248">
        <f t="shared" si="9"/>
        <v>5069700.9175262256</v>
      </c>
      <c r="BE8" s="248">
        <f>BF8/1.002</f>
        <v>5079840.3193612779</v>
      </c>
      <c r="BF8" s="248">
        <v>5090000</v>
      </c>
      <c r="BG8" s="248">
        <f>BF8*1.002</f>
        <v>5100180</v>
      </c>
      <c r="BH8" s="248">
        <f t="shared" ref="BH8:BP8" si="10">BG8*1.002</f>
        <v>5110380.3600000003</v>
      </c>
      <c r="BI8" s="248">
        <f t="shared" si="10"/>
        <v>5120601.12072</v>
      </c>
      <c r="BJ8" s="248">
        <f t="shared" si="10"/>
        <v>5130842.3229614403</v>
      </c>
      <c r="BK8" s="248">
        <f t="shared" si="10"/>
        <v>5141104.0076073632</v>
      </c>
      <c r="BL8" s="248">
        <f t="shared" si="10"/>
        <v>5151386.2156225778</v>
      </c>
      <c r="BM8" s="248">
        <f t="shared" si="10"/>
        <v>5161688.9880538229</v>
      </c>
      <c r="BN8" s="248">
        <f t="shared" si="10"/>
        <v>5172012.3660299303</v>
      </c>
      <c r="BO8" s="248">
        <f t="shared" si="10"/>
        <v>5182356.3907619901</v>
      </c>
      <c r="BP8" s="248">
        <f t="shared" si="10"/>
        <v>5192721.1035435144</v>
      </c>
      <c r="BQ8" s="248">
        <f t="shared" ref="BQ8" si="11">BP8*1.002</f>
        <v>5203106.5457506012</v>
      </c>
      <c r="BR8" s="248">
        <f t="shared" ref="BR8" si="12">BQ8*1.002</f>
        <v>5213512.7588421023</v>
      </c>
      <c r="BS8" s="248">
        <f t="shared" ref="BS8" si="13">BR8*1.002</f>
        <v>5223939.7843597867</v>
      </c>
      <c r="BT8" s="248">
        <f t="shared" ref="BT8" si="14">BS8*1.002</f>
        <v>5234387.663928506</v>
      </c>
      <c r="BU8" s="248">
        <f t="shared" ref="BU8" si="15">BT8*1.002</f>
        <v>5244856.4392563626</v>
      </c>
      <c r="BV8" s="253"/>
      <c r="BW8" s="253"/>
      <c r="BX8" s="253"/>
      <c r="BY8" s="253"/>
      <c r="BZ8" s="253"/>
      <c r="CA8" s="253"/>
      <c r="CB8" s="253"/>
      <c r="CC8" s="253"/>
      <c r="CD8" s="253"/>
      <c r="CE8" s="253"/>
      <c r="CF8" s="253"/>
      <c r="CG8" s="253"/>
      <c r="CH8" s="253"/>
      <c r="CI8" s="253"/>
      <c r="CJ8" s="253"/>
      <c r="CK8" s="253"/>
      <c r="CL8" s="253"/>
      <c r="CM8" s="253"/>
      <c r="CN8" s="253"/>
      <c r="CO8" s="253"/>
      <c r="CP8" s="253"/>
      <c r="CQ8" s="253"/>
      <c r="CR8" s="253"/>
      <c r="CS8" s="253"/>
      <c r="CT8" s="253"/>
      <c r="CU8" s="253"/>
      <c r="CV8" s="253"/>
    </row>
    <row r="9" spans="2:100" ht="15" hidden="1" customHeight="1" outlineLevel="1">
      <c r="B9" s="247" t="s">
        <v>68</v>
      </c>
      <c r="C9" s="248">
        <f t="shared" ref="C9:V9" si="16">D9*1.008</f>
        <v>1528536.8857795289</v>
      </c>
      <c r="D9" s="248">
        <f t="shared" si="16"/>
        <v>1516405.6406542945</v>
      </c>
      <c r="E9" s="248">
        <f t="shared" si="16"/>
        <v>1504370.6752522762</v>
      </c>
      <c r="F9" s="248">
        <f t="shared" si="16"/>
        <v>1492431.2254486866</v>
      </c>
      <c r="G9" s="248">
        <f t="shared" si="16"/>
        <v>1480586.5331832208</v>
      </c>
      <c r="H9" s="248">
        <f t="shared" si="16"/>
        <v>1468835.8464119253</v>
      </c>
      <c r="I9" s="248">
        <f t="shared" si="16"/>
        <v>1457178.4190594496</v>
      </c>
      <c r="J9" s="248">
        <f t="shared" si="16"/>
        <v>1445613.5109716761</v>
      </c>
      <c r="K9" s="248">
        <f t="shared" si="16"/>
        <v>1434140.3878687262</v>
      </c>
      <c r="L9" s="248">
        <f t="shared" si="16"/>
        <v>1422758.3212983394</v>
      </c>
      <c r="M9" s="248">
        <f t="shared" si="16"/>
        <v>1411466.5885896224</v>
      </c>
      <c r="N9" s="248">
        <f t="shared" si="16"/>
        <v>1400264.472807165</v>
      </c>
      <c r="O9" s="248">
        <f t="shared" si="16"/>
        <v>1389151.2627055207</v>
      </c>
      <c r="P9" s="248">
        <f t="shared" si="16"/>
        <v>1378126.2526840484</v>
      </c>
      <c r="Q9" s="248">
        <f t="shared" si="16"/>
        <v>1367188.7427421114</v>
      </c>
      <c r="R9" s="248">
        <f t="shared" si="16"/>
        <v>1356338.0384346345</v>
      </c>
      <c r="S9" s="248">
        <f t="shared" si="16"/>
        <v>1345573.4508280104</v>
      </c>
      <c r="T9" s="248">
        <f t="shared" si="16"/>
        <v>1334894.2964563596</v>
      </c>
      <c r="U9" s="248">
        <f t="shared" si="16"/>
        <v>1324299.8972781345</v>
      </c>
      <c r="V9" s="248">
        <f t="shared" si="16"/>
        <v>1313789.5806330699</v>
      </c>
      <c r="W9" s="248">
        <f t="shared" ref="W9:BB9" si="17">X9*1.008</f>
        <v>1303362.6791994742</v>
      </c>
      <c r="X9" s="248">
        <f t="shared" si="17"/>
        <v>1293018.5309518592</v>
      </c>
      <c r="Y9" s="248">
        <f t="shared" si="17"/>
        <v>1282756.4791189078</v>
      </c>
      <c r="Z9" s="248">
        <f t="shared" si="17"/>
        <v>1272575.8721417736</v>
      </c>
      <c r="AA9" s="248">
        <f t="shared" si="17"/>
        <v>1262476.0636327118</v>
      </c>
      <c r="AB9" s="248">
        <f t="shared" si="17"/>
        <v>1252456.4123340393</v>
      </c>
      <c r="AC9" s="248">
        <f t="shared" si="17"/>
        <v>1242516.28207742</v>
      </c>
      <c r="AD9" s="248">
        <f t="shared" si="17"/>
        <v>1232655.0417434722</v>
      </c>
      <c r="AE9" s="248">
        <f t="shared" si="17"/>
        <v>1222872.0652216987</v>
      </c>
      <c r="AF9" s="248">
        <f t="shared" si="17"/>
        <v>1213166.7313707329</v>
      </c>
      <c r="AG9" s="248">
        <f t="shared" si="17"/>
        <v>1203538.4239789017</v>
      </c>
      <c r="AH9" s="248">
        <f t="shared" si="17"/>
        <v>1193986.5317251009</v>
      </c>
      <c r="AI9" s="248">
        <f t="shared" si="17"/>
        <v>1184510.4481399811</v>
      </c>
      <c r="AJ9" s="248">
        <f t="shared" si="17"/>
        <v>1175109.5715674416</v>
      </c>
      <c r="AK9" s="248">
        <f t="shared" si="17"/>
        <v>1165783.3051264302</v>
      </c>
      <c r="AL9" s="248">
        <f t="shared" si="17"/>
        <v>1156531.056673046</v>
      </c>
      <c r="AM9" s="248">
        <f t="shared" si="17"/>
        <v>1147352.2387629424</v>
      </c>
      <c r="AN9" s="248">
        <f t="shared" si="17"/>
        <v>1138246.2686140302</v>
      </c>
      <c r="AO9" s="248">
        <f t="shared" si="17"/>
        <v>1129212.5680694743</v>
      </c>
      <c r="AP9" s="248">
        <f t="shared" si="17"/>
        <v>1120250.5635609864</v>
      </c>
      <c r="AQ9" s="248">
        <f t="shared" si="17"/>
        <v>1111359.6860724071</v>
      </c>
      <c r="AR9" s="248">
        <f t="shared" si="17"/>
        <v>1102539.3711035785</v>
      </c>
      <c r="AS9" s="248">
        <f t="shared" si="17"/>
        <v>1093789.0586345023</v>
      </c>
      <c r="AT9" s="248">
        <f t="shared" si="17"/>
        <v>1085108.1930897841</v>
      </c>
      <c r="AU9" s="248">
        <f t="shared" si="17"/>
        <v>1076496.2233033574</v>
      </c>
      <c r="AV9" s="248">
        <f t="shared" si="17"/>
        <v>1067952.6024834896</v>
      </c>
      <c r="AW9" s="248">
        <f t="shared" si="17"/>
        <v>1059476.7881780651</v>
      </c>
      <c r="AX9" s="248">
        <f t="shared" si="17"/>
        <v>1051068.2422401439</v>
      </c>
      <c r="AY9" s="248">
        <f t="shared" si="17"/>
        <v>1042726.4307937936</v>
      </c>
      <c r="AZ9" s="248">
        <f t="shared" si="17"/>
        <v>1034450.8242001921</v>
      </c>
      <c r="BA9" s="248">
        <f t="shared" si="17"/>
        <v>1026240.8970240001</v>
      </c>
      <c r="BB9" s="248">
        <f t="shared" si="17"/>
        <v>1018096.128</v>
      </c>
      <c r="BC9" s="248">
        <f>BD9*1.008</f>
        <v>1010016</v>
      </c>
      <c r="BD9" s="248">
        <f>BE9*1.002</f>
        <v>1002000</v>
      </c>
      <c r="BE9" s="248">
        <v>1000000</v>
      </c>
      <c r="BF9" s="248">
        <f>BE9*0.9999</f>
        <v>999900</v>
      </c>
      <c r="BG9" s="248">
        <f t="shared" ref="BG9:BP9" si="18">BF9*0.9999</f>
        <v>999800.01</v>
      </c>
      <c r="BH9" s="248">
        <f t="shared" si="18"/>
        <v>999700.02999900002</v>
      </c>
      <c r="BI9" s="248">
        <f t="shared" si="18"/>
        <v>999600.05999600014</v>
      </c>
      <c r="BJ9" s="248">
        <f t="shared" si="18"/>
        <v>999500.0999900006</v>
      </c>
      <c r="BK9" s="248">
        <f t="shared" si="18"/>
        <v>999400.14998000162</v>
      </c>
      <c r="BL9" s="248">
        <f t="shared" si="18"/>
        <v>999300.20996500365</v>
      </c>
      <c r="BM9" s="248">
        <f t="shared" si="18"/>
        <v>999200.27994400717</v>
      </c>
      <c r="BN9" s="248">
        <f t="shared" si="18"/>
        <v>999100.35991601273</v>
      </c>
      <c r="BO9" s="248">
        <f t="shared" si="18"/>
        <v>999000.44988002116</v>
      </c>
      <c r="BP9" s="248">
        <f t="shared" si="18"/>
        <v>998900.54983503313</v>
      </c>
      <c r="BQ9" s="248">
        <f t="shared" ref="BQ9" si="19">BP9*0.9999</f>
        <v>998800.6597800497</v>
      </c>
      <c r="BR9" s="248">
        <f t="shared" ref="BR9" si="20">BQ9*0.9999</f>
        <v>998700.77971407166</v>
      </c>
      <c r="BS9" s="248">
        <f t="shared" ref="BS9" si="21">BR9*0.9999</f>
        <v>998600.90963610029</v>
      </c>
      <c r="BT9" s="248">
        <f t="shared" ref="BT9" si="22">BS9*0.9999</f>
        <v>998501.04954513675</v>
      </c>
      <c r="BU9" s="248">
        <f t="shared" ref="BU9" si="23">BT9*0.9999</f>
        <v>998401.19944018219</v>
      </c>
      <c r="BV9" s="253"/>
      <c r="BW9" s="253"/>
      <c r="BX9" s="253"/>
      <c r="BY9" s="253"/>
      <c r="BZ9" s="253"/>
      <c r="CA9" s="253"/>
      <c r="CB9" s="253"/>
      <c r="CC9" s="253"/>
      <c r="CD9" s="253"/>
      <c r="CE9" s="253"/>
      <c r="CF9" s="253"/>
      <c r="CG9" s="253"/>
      <c r="CH9" s="253"/>
      <c r="CI9" s="253"/>
      <c r="CJ9" s="253"/>
      <c r="CK9" s="253"/>
      <c r="CL9" s="253"/>
      <c r="CM9" s="253"/>
      <c r="CN9" s="253"/>
      <c r="CO9" s="253"/>
      <c r="CP9" s="253"/>
      <c r="CQ9" s="253"/>
      <c r="CR9" s="253"/>
      <c r="CS9" s="253"/>
      <c r="CT9" s="253"/>
      <c r="CU9" s="253"/>
      <c r="CV9" s="253"/>
    </row>
    <row r="10" spans="2:100" ht="15" hidden="1" customHeight="1" outlineLevel="1">
      <c r="B10" s="247"/>
      <c r="C10" s="248"/>
      <c r="D10" s="248"/>
      <c r="E10" s="248"/>
      <c r="F10" s="248"/>
      <c r="G10" s="248"/>
      <c r="H10" s="248"/>
      <c r="I10" s="248"/>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248"/>
      <c r="AI10" s="248"/>
      <c r="AJ10" s="248"/>
      <c r="AK10" s="248"/>
      <c r="AL10" s="248"/>
      <c r="AM10" s="248"/>
      <c r="AN10" s="248"/>
      <c r="AO10" s="248"/>
      <c r="AP10" s="248"/>
      <c r="AQ10" s="248"/>
      <c r="AR10" s="248"/>
      <c r="AS10" s="248"/>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53"/>
      <c r="BW10" s="253"/>
      <c r="BX10" s="253"/>
      <c r="BY10" s="253"/>
      <c r="BZ10" s="253"/>
      <c r="CA10" s="253"/>
      <c r="CB10" s="253"/>
      <c r="CC10" s="253"/>
      <c r="CD10" s="253"/>
      <c r="CE10" s="253"/>
      <c r="CF10" s="253"/>
      <c r="CG10" s="253"/>
      <c r="CH10" s="253"/>
      <c r="CI10" s="253"/>
      <c r="CJ10" s="253"/>
      <c r="CK10" s="253"/>
      <c r="CL10" s="253"/>
      <c r="CM10" s="253"/>
      <c r="CN10" s="253"/>
      <c r="CO10" s="253"/>
      <c r="CP10" s="253"/>
      <c r="CQ10" s="253"/>
      <c r="CR10" s="253"/>
      <c r="CS10" s="253"/>
      <c r="CT10" s="253"/>
      <c r="CU10" s="253"/>
      <c r="CV10" s="253"/>
    </row>
    <row r="11" spans="2:100" ht="15" hidden="1" customHeight="1" outlineLevel="1">
      <c r="B11" s="245" t="s">
        <v>69</v>
      </c>
      <c r="BB11" s="251"/>
      <c r="BC11" s="251"/>
      <c r="BD11" s="251"/>
      <c r="BE11" s="251"/>
      <c r="BF11" s="251"/>
      <c r="BG11" s="251"/>
      <c r="BH11" s="251"/>
      <c r="BI11" s="251"/>
      <c r="BJ11" s="251"/>
      <c r="BK11" s="251"/>
      <c r="BL11" s="251"/>
      <c r="BM11" s="251"/>
      <c r="BN11" s="251"/>
      <c r="BO11" s="251"/>
      <c r="BP11" s="251"/>
      <c r="BQ11" s="251"/>
      <c r="BR11" s="251"/>
      <c r="BS11" s="251"/>
      <c r="BT11" s="251"/>
      <c r="BU11" s="251"/>
    </row>
    <row r="12" spans="2:100" ht="15" hidden="1" customHeight="1" outlineLevel="1">
      <c r="B12" s="247" t="s">
        <v>24</v>
      </c>
      <c r="C12" s="241">
        <f t="shared" ref="C12:V12" si="24">D12</f>
        <v>5.0000000000000004E-6</v>
      </c>
      <c r="D12" s="241">
        <f t="shared" si="24"/>
        <v>5.0000000000000004E-6</v>
      </c>
      <c r="E12" s="241">
        <f t="shared" si="24"/>
        <v>5.0000000000000004E-6</v>
      </c>
      <c r="F12" s="241">
        <f t="shared" si="24"/>
        <v>5.0000000000000004E-6</v>
      </c>
      <c r="G12" s="241">
        <f t="shared" si="24"/>
        <v>5.0000000000000004E-6</v>
      </c>
      <c r="H12" s="241">
        <f t="shared" si="24"/>
        <v>5.0000000000000004E-6</v>
      </c>
      <c r="I12" s="241">
        <f t="shared" si="24"/>
        <v>5.0000000000000004E-6</v>
      </c>
      <c r="J12" s="241">
        <f t="shared" si="24"/>
        <v>5.0000000000000004E-6</v>
      </c>
      <c r="K12" s="241">
        <f t="shared" si="24"/>
        <v>5.0000000000000004E-6</v>
      </c>
      <c r="L12" s="241">
        <f t="shared" si="24"/>
        <v>5.0000000000000004E-6</v>
      </c>
      <c r="M12" s="241">
        <f t="shared" si="24"/>
        <v>5.0000000000000004E-6</v>
      </c>
      <c r="N12" s="241">
        <f t="shared" si="24"/>
        <v>5.0000000000000004E-6</v>
      </c>
      <c r="O12" s="241">
        <f t="shared" si="24"/>
        <v>5.0000000000000004E-6</v>
      </c>
      <c r="P12" s="241">
        <f t="shared" si="24"/>
        <v>5.0000000000000004E-6</v>
      </c>
      <c r="Q12" s="241">
        <f t="shared" si="24"/>
        <v>5.0000000000000004E-6</v>
      </c>
      <c r="R12" s="241">
        <f t="shared" si="24"/>
        <v>5.0000000000000004E-6</v>
      </c>
      <c r="S12" s="241">
        <f t="shared" si="24"/>
        <v>5.0000000000000004E-6</v>
      </c>
      <c r="T12" s="241">
        <f t="shared" si="24"/>
        <v>5.0000000000000004E-6</v>
      </c>
      <c r="U12" s="241">
        <f t="shared" si="24"/>
        <v>5.0000000000000004E-6</v>
      </c>
      <c r="V12" s="241">
        <f t="shared" si="24"/>
        <v>5.0000000000000004E-6</v>
      </c>
      <c r="W12" s="241">
        <f t="shared" ref="W12:AF12" si="25">X12</f>
        <v>5.0000000000000004E-6</v>
      </c>
      <c r="X12" s="241">
        <f t="shared" si="25"/>
        <v>5.0000000000000004E-6</v>
      </c>
      <c r="Y12" s="241">
        <f t="shared" si="25"/>
        <v>5.0000000000000004E-6</v>
      </c>
      <c r="Z12" s="241">
        <f t="shared" si="25"/>
        <v>5.0000000000000004E-6</v>
      </c>
      <c r="AA12" s="241">
        <f t="shared" si="25"/>
        <v>5.0000000000000004E-6</v>
      </c>
      <c r="AB12" s="241">
        <f t="shared" si="25"/>
        <v>5.0000000000000004E-6</v>
      </c>
      <c r="AC12" s="241">
        <f t="shared" si="25"/>
        <v>5.0000000000000004E-6</v>
      </c>
      <c r="AD12" s="241">
        <f t="shared" si="25"/>
        <v>5.0000000000000004E-6</v>
      </c>
      <c r="AE12" s="241">
        <f t="shared" si="25"/>
        <v>5.0000000000000004E-6</v>
      </c>
      <c r="AF12" s="241">
        <f t="shared" si="25"/>
        <v>5.0000000000000004E-6</v>
      </c>
      <c r="AG12" s="241">
        <f t="shared" ref="AG12:AZ14" si="26">AH12</f>
        <v>5.0000000000000004E-6</v>
      </c>
      <c r="AH12" s="241">
        <f t="shared" si="26"/>
        <v>5.0000000000000004E-6</v>
      </c>
      <c r="AI12" s="241">
        <f t="shared" si="26"/>
        <v>5.0000000000000004E-6</v>
      </c>
      <c r="AJ12" s="241">
        <f t="shared" si="26"/>
        <v>5.0000000000000004E-6</v>
      </c>
      <c r="AK12" s="241">
        <f t="shared" si="26"/>
        <v>5.0000000000000004E-6</v>
      </c>
      <c r="AL12" s="241">
        <f t="shared" si="26"/>
        <v>5.0000000000000004E-6</v>
      </c>
      <c r="AM12" s="241">
        <f t="shared" si="26"/>
        <v>5.0000000000000004E-6</v>
      </c>
      <c r="AN12" s="241">
        <f t="shared" si="26"/>
        <v>5.0000000000000004E-6</v>
      </c>
      <c r="AO12" s="241">
        <f t="shared" si="26"/>
        <v>5.0000000000000004E-6</v>
      </c>
      <c r="AP12" s="241">
        <f t="shared" si="26"/>
        <v>5.0000000000000004E-6</v>
      </c>
      <c r="AQ12" s="241">
        <f t="shared" si="26"/>
        <v>5.0000000000000004E-6</v>
      </c>
      <c r="AR12" s="241">
        <f t="shared" si="26"/>
        <v>5.0000000000000004E-6</v>
      </c>
      <c r="AS12" s="241">
        <f t="shared" si="26"/>
        <v>5.0000000000000004E-6</v>
      </c>
      <c r="AT12" s="241">
        <f t="shared" si="26"/>
        <v>5.0000000000000004E-6</v>
      </c>
      <c r="AU12" s="241">
        <f t="shared" si="26"/>
        <v>5.0000000000000004E-6</v>
      </c>
      <c r="AV12" s="241">
        <f t="shared" si="26"/>
        <v>5.0000000000000004E-6</v>
      </c>
      <c r="AW12" s="241">
        <f t="shared" si="26"/>
        <v>5.0000000000000004E-6</v>
      </c>
      <c r="AX12" s="241">
        <f t="shared" si="26"/>
        <v>5.0000000000000004E-6</v>
      </c>
      <c r="AY12" s="241">
        <f t="shared" si="26"/>
        <v>5.0000000000000004E-6</v>
      </c>
      <c r="AZ12" s="241">
        <f t="shared" si="26"/>
        <v>5.0000000000000004E-6</v>
      </c>
      <c r="BA12" s="241">
        <f>BB12</f>
        <v>5.0000000000000004E-6</v>
      </c>
      <c r="BB12" s="241">
        <f>1/200000</f>
        <v>5.0000000000000004E-6</v>
      </c>
      <c r="BC12" s="241">
        <f>BB12</f>
        <v>5.0000000000000004E-6</v>
      </c>
      <c r="BD12" s="241">
        <f t="shared" ref="BD12:BP12" si="27">BC12</f>
        <v>5.0000000000000004E-6</v>
      </c>
      <c r="BE12" s="241">
        <f t="shared" si="27"/>
        <v>5.0000000000000004E-6</v>
      </c>
      <c r="BF12" s="241">
        <f t="shared" si="27"/>
        <v>5.0000000000000004E-6</v>
      </c>
      <c r="BG12" s="241">
        <f t="shared" si="27"/>
        <v>5.0000000000000004E-6</v>
      </c>
      <c r="BH12" s="241">
        <f t="shared" si="27"/>
        <v>5.0000000000000004E-6</v>
      </c>
      <c r="BI12" s="241">
        <f t="shared" si="27"/>
        <v>5.0000000000000004E-6</v>
      </c>
      <c r="BJ12" s="241">
        <f t="shared" si="27"/>
        <v>5.0000000000000004E-6</v>
      </c>
      <c r="BK12" s="241">
        <f t="shared" si="27"/>
        <v>5.0000000000000004E-6</v>
      </c>
      <c r="BL12" s="241">
        <f t="shared" si="27"/>
        <v>5.0000000000000004E-6</v>
      </c>
      <c r="BM12" s="241">
        <f t="shared" si="27"/>
        <v>5.0000000000000004E-6</v>
      </c>
      <c r="BN12" s="241">
        <f t="shared" si="27"/>
        <v>5.0000000000000004E-6</v>
      </c>
      <c r="BO12" s="241">
        <f t="shared" si="27"/>
        <v>5.0000000000000004E-6</v>
      </c>
      <c r="BP12" s="241">
        <f t="shared" si="27"/>
        <v>5.0000000000000004E-6</v>
      </c>
      <c r="BQ12" s="241">
        <f t="shared" ref="BQ12:BQ14" si="28">BP12</f>
        <v>5.0000000000000004E-6</v>
      </c>
      <c r="BR12" s="241">
        <f t="shared" ref="BR12:BR14" si="29">BQ12</f>
        <v>5.0000000000000004E-6</v>
      </c>
      <c r="BS12" s="241">
        <f t="shared" ref="BS12:BS14" si="30">BR12</f>
        <v>5.0000000000000004E-6</v>
      </c>
      <c r="BT12" s="241">
        <f t="shared" ref="BT12:BT14" si="31">BS12</f>
        <v>5.0000000000000004E-6</v>
      </c>
      <c r="BU12" s="241">
        <f t="shared" ref="BU12:BU14" si="32">BT12</f>
        <v>5.0000000000000004E-6</v>
      </c>
      <c r="BV12" s="253"/>
      <c r="BW12" s="253"/>
      <c r="BX12" s="253"/>
      <c r="BY12" s="253"/>
      <c r="BZ12" s="253"/>
      <c r="CA12" s="253"/>
      <c r="CB12" s="253"/>
      <c r="CC12" s="253"/>
      <c r="CD12" s="253"/>
      <c r="CE12" s="253"/>
      <c r="CF12" s="253"/>
      <c r="CG12" s="253"/>
      <c r="CH12" s="253"/>
      <c r="CI12" s="253"/>
      <c r="CJ12" s="253"/>
      <c r="CK12" s="253"/>
      <c r="CL12" s="253"/>
      <c r="CM12" s="253"/>
      <c r="CN12" s="253"/>
      <c r="CO12" s="253"/>
      <c r="CP12" s="253"/>
      <c r="CQ12" s="253"/>
      <c r="CR12" s="253"/>
      <c r="CS12" s="253"/>
      <c r="CT12" s="253"/>
      <c r="CU12" s="253"/>
      <c r="CV12" s="253"/>
    </row>
    <row r="13" spans="2:100" ht="15" hidden="1" customHeight="1" outlineLevel="1">
      <c r="B13" s="247" t="s">
        <v>25</v>
      </c>
      <c r="C13" s="241">
        <f t="shared" ref="C13:V13" si="33">D13</f>
        <v>5.0000000000000004E-6</v>
      </c>
      <c r="D13" s="241">
        <f t="shared" si="33"/>
        <v>5.0000000000000004E-6</v>
      </c>
      <c r="E13" s="241">
        <f t="shared" si="33"/>
        <v>5.0000000000000004E-6</v>
      </c>
      <c r="F13" s="241">
        <f t="shared" si="33"/>
        <v>5.0000000000000004E-6</v>
      </c>
      <c r="G13" s="241">
        <f t="shared" si="33"/>
        <v>5.0000000000000004E-6</v>
      </c>
      <c r="H13" s="241">
        <f t="shared" si="33"/>
        <v>5.0000000000000004E-6</v>
      </c>
      <c r="I13" s="241">
        <f t="shared" si="33"/>
        <v>5.0000000000000004E-6</v>
      </c>
      <c r="J13" s="241">
        <f t="shared" si="33"/>
        <v>5.0000000000000004E-6</v>
      </c>
      <c r="K13" s="241">
        <f t="shared" si="33"/>
        <v>5.0000000000000004E-6</v>
      </c>
      <c r="L13" s="241">
        <f t="shared" si="33"/>
        <v>5.0000000000000004E-6</v>
      </c>
      <c r="M13" s="241">
        <f t="shared" si="33"/>
        <v>5.0000000000000004E-6</v>
      </c>
      <c r="N13" s="241">
        <f t="shared" si="33"/>
        <v>5.0000000000000004E-6</v>
      </c>
      <c r="O13" s="241">
        <f t="shared" si="33"/>
        <v>5.0000000000000004E-6</v>
      </c>
      <c r="P13" s="241">
        <f t="shared" si="33"/>
        <v>5.0000000000000004E-6</v>
      </c>
      <c r="Q13" s="241">
        <f t="shared" si="33"/>
        <v>5.0000000000000004E-6</v>
      </c>
      <c r="R13" s="241">
        <f t="shared" si="33"/>
        <v>5.0000000000000004E-6</v>
      </c>
      <c r="S13" s="241">
        <f t="shared" si="33"/>
        <v>5.0000000000000004E-6</v>
      </c>
      <c r="T13" s="241">
        <f t="shared" si="33"/>
        <v>5.0000000000000004E-6</v>
      </c>
      <c r="U13" s="241">
        <f t="shared" si="33"/>
        <v>5.0000000000000004E-6</v>
      </c>
      <c r="V13" s="241">
        <f t="shared" si="33"/>
        <v>5.0000000000000004E-6</v>
      </c>
      <c r="W13" s="241">
        <f t="shared" ref="W13:AF13" si="34">X13</f>
        <v>5.0000000000000004E-6</v>
      </c>
      <c r="X13" s="241">
        <f t="shared" si="34"/>
        <v>5.0000000000000004E-6</v>
      </c>
      <c r="Y13" s="241">
        <f t="shared" si="34"/>
        <v>5.0000000000000004E-6</v>
      </c>
      <c r="Z13" s="241">
        <f t="shared" si="34"/>
        <v>5.0000000000000004E-6</v>
      </c>
      <c r="AA13" s="241">
        <f t="shared" si="34"/>
        <v>5.0000000000000004E-6</v>
      </c>
      <c r="AB13" s="241">
        <f t="shared" si="34"/>
        <v>5.0000000000000004E-6</v>
      </c>
      <c r="AC13" s="241">
        <f t="shared" si="34"/>
        <v>5.0000000000000004E-6</v>
      </c>
      <c r="AD13" s="241">
        <f t="shared" si="34"/>
        <v>5.0000000000000004E-6</v>
      </c>
      <c r="AE13" s="241">
        <f t="shared" si="34"/>
        <v>5.0000000000000004E-6</v>
      </c>
      <c r="AF13" s="241">
        <f t="shared" si="34"/>
        <v>5.0000000000000004E-6</v>
      </c>
      <c r="AG13" s="241">
        <f t="shared" si="26"/>
        <v>5.0000000000000004E-6</v>
      </c>
      <c r="AH13" s="241">
        <f t="shared" si="26"/>
        <v>5.0000000000000004E-6</v>
      </c>
      <c r="AI13" s="241">
        <f t="shared" si="26"/>
        <v>5.0000000000000004E-6</v>
      </c>
      <c r="AJ13" s="241">
        <f t="shared" si="26"/>
        <v>5.0000000000000004E-6</v>
      </c>
      <c r="AK13" s="241">
        <f t="shared" si="26"/>
        <v>5.0000000000000004E-6</v>
      </c>
      <c r="AL13" s="241">
        <f t="shared" si="26"/>
        <v>5.0000000000000004E-6</v>
      </c>
      <c r="AM13" s="241">
        <f t="shared" si="26"/>
        <v>5.0000000000000004E-6</v>
      </c>
      <c r="AN13" s="241">
        <f t="shared" si="26"/>
        <v>5.0000000000000004E-6</v>
      </c>
      <c r="AO13" s="241">
        <f t="shared" si="26"/>
        <v>5.0000000000000004E-6</v>
      </c>
      <c r="AP13" s="241">
        <f t="shared" si="26"/>
        <v>5.0000000000000004E-6</v>
      </c>
      <c r="AQ13" s="241">
        <f t="shared" si="26"/>
        <v>5.0000000000000004E-6</v>
      </c>
      <c r="AR13" s="241">
        <f t="shared" si="26"/>
        <v>5.0000000000000004E-6</v>
      </c>
      <c r="AS13" s="241">
        <f t="shared" si="26"/>
        <v>5.0000000000000004E-6</v>
      </c>
      <c r="AT13" s="241">
        <f t="shared" si="26"/>
        <v>5.0000000000000004E-6</v>
      </c>
      <c r="AU13" s="241">
        <f t="shared" si="26"/>
        <v>5.0000000000000004E-6</v>
      </c>
      <c r="AV13" s="241">
        <f t="shared" si="26"/>
        <v>5.0000000000000004E-6</v>
      </c>
      <c r="AW13" s="241">
        <f t="shared" si="26"/>
        <v>5.0000000000000004E-6</v>
      </c>
      <c r="AX13" s="241">
        <f t="shared" si="26"/>
        <v>5.0000000000000004E-6</v>
      </c>
      <c r="AY13" s="241">
        <f t="shared" si="26"/>
        <v>5.0000000000000004E-6</v>
      </c>
      <c r="AZ13" s="241">
        <f t="shared" si="26"/>
        <v>5.0000000000000004E-6</v>
      </c>
      <c r="BA13" s="241">
        <f>BB13</f>
        <v>5.0000000000000004E-6</v>
      </c>
      <c r="BB13" s="241">
        <f>BB12</f>
        <v>5.0000000000000004E-6</v>
      </c>
      <c r="BC13" s="241">
        <f>BB13</f>
        <v>5.0000000000000004E-6</v>
      </c>
      <c r="BD13" s="241">
        <f t="shared" ref="BD13:BP13" si="35">BC13</f>
        <v>5.0000000000000004E-6</v>
      </c>
      <c r="BE13" s="241">
        <f t="shared" si="35"/>
        <v>5.0000000000000004E-6</v>
      </c>
      <c r="BF13" s="241">
        <f t="shared" si="35"/>
        <v>5.0000000000000004E-6</v>
      </c>
      <c r="BG13" s="241">
        <f t="shared" si="35"/>
        <v>5.0000000000000004E-6</v>
      </c>
      <c r="BH13" s="241">
        <f t="shared" si="35"/>
        <v>5.0000000000000004E-6</v>
      </c>
      <c r="BI13" s="241">
        <f t="shared" si="35"/>
        <v>5.0000000000000004E-6</v>
      </c>
      <c r="BJ13" s="241">
        <f t="shared" si="35"/>
        <v>5.0000000000000004E-6</v>
      </c>
      <c r="BK13" s="241">
        <f t="shared" si="35"/>
        <v>5.0000000000000004E-6</v>
      </c>
      <c r="BL13" s="241">
        <f t="shared" si="35"/>
        <v>5.0000000000000004E-6</v>
      </c>
      <c r="BM13" s="241">
        <f t="shared" si="35"/>
        <v>5.0000000000000004E-6</v>
      </c>
      <c r="BN13" s="241">
        <f t="shared" si="35"/>
        <v>5.0000000000000004E-6</v>
      </c>
      <c r="BO13" s="241">
        <f t="shared" si="35"/>
        <v>5.0000000000000004E-6</v>
      </c>
      <c r="BP13" s="241">
        <f t="shared" si="35"/>
        <v>5.0000000000000004E-6</v>
      </c>
      <c r="BQ13" s="241">
        <f t="shared" si="28"/>
        <v>5.0000000000000004E-6</v>
      </c>
      <c r="BR13" s="241">
        <f t="shared" si="29"/>
        <v>5.0000000000000004E-6</v>
      </c>
      <c r="BS13" s="241">
        <f t="shared" si="30"/>
        <v>5.0000000000000004E-6</v>
      </c>
      <c r="BT13" s="241">
        <f t="shared" si="31"/>
        <v>5.0000000000000004E-6</v>
      </c>
      <c r="BU13" s="241">
        <f t="shared" si="32"/>
        <v>5.0000000000000004E-6</v>
      </c>
      <c r="BV13" s="253"/>
      <c r="BW13" s="253"/>
      <c r="BX13" s="253"/>
      <c r="BY13" s="253"/>
      <c r="BZ13" s="253"/>
      <c r="CA13" s="253"/>
      <c r="CB13" s="253"/>
      <c r="CC13" s="253"/>
      <c r="CD13" s="253"/>
      <c r="CE13" s="253"/>
      <c r="CF13" s="253"/>
      <c r="CG13" s="253"/>
      <c r="CH13" s="253"/>
      <c r="CI13" s="253"/>
      <c r="CJ13" s="253"/>
      <c r="CK13" s="253"/>
      <c r="CL13" s="253"/>
      <c r="CM13" s="253"/>
      <c r="CN13" s="253"/>
      <c r="CO13" s="253"/>
      <c r="CP13" s="253"/>
      <c r="CQ13" s="253"/>
      <c r="CR13" s="253"/>
      <c r="CS13" s="253"/>
      <c r="CT13" s="253"/>
      <c r="CU13" s="253"/>
      <c r="CV13" s="253"/>
    </row>
    <row r="14" spans="2:100" ht="15" hidden="1" customHeight="1" outlineLevel="1">
      <c r="B14" s="247" t="s">
        <v>68</v>
      </c>
      <c r="C14" s="241">
        <f t="shared" ref="C14:V14" si="36">D14</f>
        <v>5.0000000000000004E-6</v>
      </c>
      <c r="D14" s="241">
        <f t="shared" si="36"/>
        <v>5.0000000000000004E-6</v>
      </c>
      <c r="E14" s="241">
        <f t="shared" si="36"/>
        <v>5.0000000000000004E-6</v>
      </c>
      <c r="F14" s="241">
        <f t="shared" si="36"/>
        <v>5.0000000000000004E-6</v>
      </c>
      <c r="G14" s="241">
        <f t="shared" si="36"/>
        <v>5.0000000000000004E-6</v>
      </c>
      <c r="H14" s="241">
        <f t="shared" si="36"/>
        <v>5.0000000000000004E-6</v>
      </c>
      <c r="I14" s="241">
        <f t="shared" si="36"/>
        <v>5.0000000000000004E-6</v>
      </c>
      <c r="J14" s="241">
        <f t="shared" si="36"/>
        <v>5.0000000000000004E-6</v>
      </c>
      <c r="K14" s="241">
        <f t="shared" si="36"/>
        <v>5.0000000000000004E-6</v>
      </c>
      <c r="L14" s="241">
        <f t="shared" si="36"/>
        <v>5.0000000000000004E-6</v>
      </c>
      <c r="M14" s="241">
        <f t="shared" si="36"/>
        <v>5.0000000000000004E-6</v>
      </c>
      <c r="N14" s="241">
        <f t="shared" si="36"/>
        <v>5.0000000000000004E-6</v>
      </c>
      <c r="O14" s="241">
        <f t="shared" si="36"/>
        <v>5.0000000000000004E-6</v>
      </c>
      <c r="P14" s="241">
        <f t="shared" si="36"/>
        <v>5.0000000000000004E-6</v>
      </c>
      <c r="Q14" s="241">
        <f t="shared" si="36"/>
        <v>5.0000000000000004E-6</v>
      </c>
      <c r="R14" s="241">
        <f t="shared" si="36"/>
        <v>5.0000000000000004E-6</v>
      </c>
      <c r="S14" s="241">
        <f t="shared" si="36"/>
        <v>5.0000000000000004E-6</v>
      </c>
      <c r="T14" s="241">
        <f t="shared" si="36"/>
        <v>5.0000000000000004E-6</v>
      </c>
      <c r="U14" s="241">
        <f t="shared" si="36"/>
        <v>5.0000000000000004E-6</v>
      </c>
      <c r="V14" s="241">
        <f t="shared" si="36"/>
        <v>5.0000000000000004E-6</v>
      </c>
      <c r="W14" s="241">
        <f t="shared" ref="W14:AF14" si="37">X14</f>
        <v>5.0000000000000004E-6</v>
      </c>
      <c r="X14" s="241">
        <f t="shared" si="37"/>
        <v>5.0000000000000004E-6</v>
      </c>
      <c r="Y14" s="241">
        <f t="shared" si="37"/>
        <v>5.0000000000000004E-6</v>
      </c>
      <c r="Z14" s="241">
        <f t="shared" si="37"/>
        <v>5.0000000000000004E-6</v>
      </c>
      <c r="AA14" s="241">
        <f t="shared" si="37"/>
        <v>5.0000000000000004E-6</v>
      </c>
      <c r="AB14" s="241">
        <f t="shared" si="37"/>
        <v>5.0000000000000004E-6</v>
      </c>
      <c r="AC14" s="241">
        <f t="shared" si="37"/>
        <v>5.0000000000000004E-6</v>
      </c>
      <c r="AD14" s="241">
        <f t="shared" si="37"/>
        <v>5.0000000000000004E-6</v>
      </c>
      <c r="AE14" s="241">
        <f t="shared" si="37"/>
        <v>5.0000000000000004E-6</v>
      </c>
      <c r="AF14" s="241">
        <f t="shared" si="37"/>
        <v>5.0000000000000004E-6</v>
      </c>
      <c r="AG14" s="241">
        <f t="shared" si="26"/>
        <v>5.0000000000000004E-6</v>
      </c>
      <c r="AH14" s="241">
        <f t="shared" si="26"/>
        <v>5.0000000000000004E-6</v>
      </c>
      <c r="AI14" s="241">
        <f t="shared" si="26"/>
        <v>5.0000000000000004E-6</v>
      </c>
      <c r="AJ14" s="241">
        <f t="shared" si="26"/>
        <v>5.0000000000000004E-6</v>
      </c>
      <c r="AK14" s="241">
        <f t="shared" si="26"/>
        <v>5.0000000000000004E-6</v>
      </c>
      <c r="AL14" s="241">
        <f t="shared" si="26"/>
        <v>5.0000000000000004E-6</v>
      </c>
      <c r="AM14" s="241">
        <f t="shared" si="26"/>
        <v>5.0000000000000004E-6</v>
      </c>
      <c r="AN14" s="241">
        <f t="shared" si="26"/>
        <v>5.0000000000000004E-6</v>
      </c>
      <c r="AO14" s="241">
        <f t="shared" si="26"/>
        <v>5.0000000000000004E-6</v>
      </c>
      <c r="AP14" s="241">
        <f t="shared" si="26"/>
        <v>5.0000000000000004E-6</v>
      </c>
      <c r="AQ14" s="241">
        <f t="shared" si="26"/>
        <v>5.0000000000000004E-6</v>
      </c>
      <c r="AR14" s="241">
        <f t="shared" si="26"/>
        <v>5.0000000000000004E-6</v>
      </c>
      <c r="AS14" s="241">
        <f t="shared" si="26"/>
        <v>5.0000000000000004E-6</v>
      </c>
      <c r="AT14" s="241">
        <f t="shared" si="26"/>
        <v>5.0000000000000004E-6</v>
      </c>
      <c r="AU14" s="241">
        <f t="shared" si="26"/>
        <v>5.0000000000000004E-6</v>
      </c>
      <c r="AV14" s="241">
        <f t="shared" si="26"/>
        <v>5.0000000000000004E-6</v>
      </c>
      <c r="AW14" s="241">
        <f t="shared" si="26"/>
        <v>5.0000000000000004E-6</v>
      </c>
      <c r="AX14" s="241">
        <f t="shared" si="26"/>
        <v>5.0000000000000004E-6</v>
      </c>
      <c r="AY14" s="241">
        <f t="shared" si="26"/>
        <v>5.0000000000000004E-6</v>
      </c>
      <c r="AZ14" s="241">
        <f t="shared" si="26"/>
        <v>5.0000000000000004E-6</v>
      </c>
      <c r="BA14" s="241">
        <f>BB14</f>
        <v>5.0000000000000004E-6</v>
      </c>
      <c r="BB14" s="241">
        <f>BB13</f>
        <v>5.0000000000000004E-6</v>
      </c>
      <c r="BC14" s="241">
        <f>BB14</f>
        <v>5.0000000000000004E-6</v>
      </c>
      <c r="BD14" s="241">
        <f t="shared" ref="BD14:BP14" si="38">BC14</f>
        <v>5.0000000000000004E-6</v>
      </c>
      <c r="BE14" s="241">
        <f t="shared" si="38"/>
        <v>5.0000000000000004E-6</v>
      </c>
      <c r="BF14" s="241">
        <f t="shared" si="38"/>
        <v>5.0000000000000004E-6</v>
      </c>
      <c r="BG14" s="241">
        <f t="shared" si="38"/>
        <v>5.0000000000000004E-6</v>
      </c>
      <c r="BH14" s="241">
        <f t="shared" si="38"/>
        <v>5.0000000000000004E-6</v>
      </c>
      <c r="BI14" s="241">
        <f t="shared" si="38"/>
        <v>5.0000000000000004E-6</v>
      </c>
      <c r="BJ14" s="241">
        <f t="shared" si="38"/>
        <v>5.0000000000000004E-6</v>
      </c>
      <c r="BK14" s="241">
        <f t="shared" si="38"/>
        <v>5.0000000000000004E-6</v>
      </c>
      <c r="BL14" s="241">
        <f t="shared" si="38"/>
        <v>5.0000000000000004E-6</v>
      </c>
      <c r="BM14" s="241">
        <f t="shared" si="38"/>
        <v>5.0000000000000004E-6</v>
      </c>
      <c r="BN14" s="241">
        <f t="shared" si="38"/>
        <v>5.0000000000000004E-6</v>
      </c>
      <c r="BO14" s="241">
        <f t="shared" si="38"/>
        <v>5.0000000000000004E-6</v>
      </c>
      <c r="BP14" s="241">
        <f t="shared" si="38"/>
        <v>5.0000000000000004E-6</v>
      </c>
      <c r="BQ14" s="241">
        <f t="shared" si="28"/>
        <v>5.0000000000000004E-6</v>
      </c>
      <c r="BR14" s="241">
        <f t="shared" si="29"/>
        <v>5.0000000000000004E-6</v>
      </c>
      <c r="BS14" s="241">
        <f t="shared" si="30"/>
        <v>5.0000000000000004E-6</v>
      </c>
      <c r="BT14" s="241">
        <f t="shared" si="31"/>
        <v>5.0000000000000004E-6</v>
      </c>
      <c r="BU14" s="241">
        <f t="shared" si="32"/>
        <v>5.0000000000000004E-6</v>
      </c>
      <c r="BV14" s="253"/>
      <c r="BW14" s="253"/>
      <c r="BX14" s="253"/>
      <c r="BY14" s="253"/>
      <c r="BZ14" s="253"/>
      <c r="CA14" s="253"/>
      <c r="CB14" s="253"/>
      <c r="CC14" s="253"/>
      <c r="CD14" s="253"/>
      <c r="CE14" s="253"/>
      <c r="CF14" s="253"/>
      <c r="CG14" s="253"/>
      <c r="CH14" s="253"/>
      <c r="CI14" s="253"/>
      <c r="CJ14" s="253"/>
      <c r="CK14" s="253"/>
      <c r="CL14" s="253"/>
      <c r="CM14" s="253"/>
      <c r="CN14" s="253"/>
      <c r="CO14" s="253"/>
      <c r="CP14" s="253"/>
      <c r="CQ14" s="253"/>
      <c r="CR14" s="253"/>
      <c r="CS14" s="253"/>
      <c r="CT14" s="253"/>
      <c r="CU14" s="253"/>
      <c r="CV14" s="253"/>
    </row>
    <row r="15" spans="2:100" ht="15" hidden="1" customHeight="1" outlineLevel="1">
      <c r="B15" s="247"/>
      <c r="C15" s="248"/>
      <c r="D15" s="248"/>
      <c r="E15" s="248"/>
      <c r="F15" s="248"/>
      <c r="G15" s="248"/>
      <c r="H15" s="248"/>
      <c r="I15" s="248"/>
      <c r="J15" s="248"/>
      <c r="K15" s="248"/>
      <c r="L15" s="248"/>
      <c r="M15" s="248"/>
      <c r="N15" s="248"/>
      <c r="O15" s="248"/>
      <c r="P15" s="248"/>
      <c r="Q15" s="248"/>
      <c r="R15" s="248"/>
      <c r="S15" s="248"/>
      <c r="T15" s="248"/>
      <c r="U15" s="248"/>
      <c r="V15" s="248"/>
      <c r="W15" s="248"/>
      <c r="X15" s="248"/>
      <c r="Y15" s="248"/>
      <c r="Z15" s="248"/>
      <c r="AA15" s="248"/>
      <c r="AB15" s="248"/>
      <c r="AC15" s="248"/>
      <c r="AD15" s="248"/>
      <c r="AE15" s="248"/>
      <c r="AF15" s="248"/>
      <c r="AG15" s="248"/>
      <c r="AH15" s="248"/>
      <c r="AI15" s="248"/>
      <c r="AJ15" s="248"/>
      <c r="AK15" s="248"/>
      <c r="AL15" s="248"/>
      <c r="AM15" s="248"/>
      <c r="AN15" s="248"/>
      <c r="AO15" s="248"/>
      <c r="AP15" s="248"/>
      <c r="AQ15" s="248"/>
      <c r="AR15" s="248"/>
      <c r="AS15" s="248"/>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53"/>
      <c r="BW15" s="253"/>
      <c r="BX15" s="253"/>
      <c r="BY15" s="253"/>
      <c r="BZ15" s="253"/>
      <c r="CA15" s="253"/>
      <c r="CB15" s="253"/>
      <c r="CC15" s="253"/>
      <c r="CD15" s="253"/>
      <c r="CE15" s="253"/>
      <c r="CF15" s="253"/>
      <c r="CG15" s="253"/>
      <c r="CH15" s="253"/>
      <c r="CI15" s="253"/>
      <c r="CJ15" s="253"/>
      <c r="CK15" s="253"/>
      <c r="CL15" s="253"/>
      <c r="CM15" s="253"/>
      <c r="CN15" s="253"/>
      <c r="CO15" s="253"/>
      <c r="CP15" s="253"/>
      <c r="CQ15" s="253"/>
      <c r="CR15" s="253"/>
      <c r="CS15" s="253"/>
      <c r="CT15" s="253"/>
      <c r="CU15" s="253"/>
      <c r="CV15" s="253"/>
    </row>
    <row r="16" spans="2:100" ht="15" hidden="1" customHeight="1" outlineLevel="1">
      <c r="B16" s="247" t="s">
        <v>24</v>
      </c>
      <c r="C16" s="248">
        <f t="shared" ref="C16:L16" si="39">C7*C12</f>
        <v>15.232321427204774</v>
      </c>
      <c r="D16" s="248">
        <f t="shared" si="39"/>
        <v>15.308483034340796</v>
      </c>
      <c r="E16" s="248">
        <f t="shared" si="39"/>
        <v>15.385025449512499</v>
      </c>
      <c r="F16" s="248">
        <f t="shared" si="39"/>
        <v>15.46195057676006</v>
      </c>
      <c r="G16" s="248">
        <f t="shared" si="39"/>
        <v>15.539260329643859</v>
      </c>
      <c r="H16" s="248">
        <f t="shared" si="39"/>
        <v>15.616956631292078</v>
      </c>
      <c r="I16" s="248">
        <f t="shared" si="39"/>
        <v>15.695041414448536</v>
      </c>
      <c r="J16" s="248">
        <f t="shared" si="39"/>
        <v>15.773516621520777</v>
      </c>
      <c r="K16" s="248">
        <f t="shared" si="39"/>
        <v>15.852384204628379</v>
      </c>
      <c r="L16" s="248">
        <f t="shared" si="39"/>
        <v>15.931646125651518</v>
      </c>
      <c r="M16" s="248">
        <f t="shared" ref="M16:V16" si="40">M7*M12</f>
        <v>16.011304356279773</v>
      </c>
      <c r="N16" s="248">
        <f t="shared" si="40"/>
        <v>16.09136087806117</v>
      </c>
      <c r="O16" s="248">
        <f t="shared" si="40"/>
        <v>16.171817682451476</v>
      </c>
      <c r="P16" s="248">
        <f t="shared" si="40"/>
        <v>16.252676770863729</v>
      </c>
      <c r="Q16" s="248">
        <f t="shared" si="40"/>
        <v>16.333940154718047</v>
      </c>
      <c r="R16" s="248">
        <f t="shared" si="40"/>
        <v>16.415609855491638</v>
      </c>
      <c r="S16" s="248">
        <f t="shared" si="40"/>
        <v>16.497687904769094</v>
      </c>
      <c r="T16" s="248">
        <f t="shared" si="40"/>
        <v>16.580176344292937</v>
      </c>
      <c r="U16" s="248">
        <f t="shared" si="40"/>
        <v>16.663077226014398</v>
      </c>
      <c r="V16" s="248">
        <f t="shared" si="40"/>
        <v>16.746392612144469</v>
      </c>
      <c r="W16" s="248">
        <f t="shared" ref="W16:BP16" si="41">W7*W12</f>
        <v>16.83012457520519</v>
      </c>
      <c r="X16" s="248">
        <f t="shared" si="41"/>
        <v>16.91427519808121</v>
      </c>
      <c r="Y16" s="248">
        <f t="shared" si="41"/>
        <v>16.998846574071617</v>
      </c>
      <c r="Z16" s="248">
        <f t="shared" si="41"/>
        <v>17.083840806941975</v>
      </c>
      <c r="AA16" s="248">
        <f t="shared" si="41"/>
        <v>17.169260010976682</v>
      </c>
      <c r="AB16" s="248">
        <f t="shared" si="41"/>
        <v>17.255106311031561</v>
      </c>
      <c r="AC16" s="248">
        <f t="shared" si="41"/>
        <v>17.341381842586717</v>
      </c>
      <c r="AD16" s="248">
        <f t="shared" si="41"/>
        <v>17.428088751799649</v>
      </c>
      <c r="AE16" s="248">
        <f t="shared" si="41"/>
        <v>17.515229195558646</v>
      </c>
      <c r="AF16" s="248">
        <f t="shared" si="41"/>
        <v>17.602805341536438</v>
      </c>
      <c r="AG16" s="248">
        <f t="shared" si="41"/>
        <v>17.690819368244121</v>
      </c>
      <c r="AH16" s="248">
        <f t="shared" si="41"/>
        <v>17.779273465085339</v>
      </c>
      <c r="AI16" s="248">
        <f t="shared" si="41"/>
        <v>17.868169832410764</v>
      </c>
      <c r="AJ16" s="248">
        <f t="shared" si="41"/>
        <v>17.957510681572813</v>
      </c>
      <c r="AK16" s="248">
        <f t="shared" si="41"/>
        <v>18.047298234980676</v>
      </c>
      <c r="AL16" s="248">
        <f t="shared" si="41"/>
        <v>18.137534726155575</v>
      </c>
      <c r="AM16" s="248">
        <f t="shared" si="41"/>
        <v>18.22822239978635</v>
      </c>
      <c r="AN16" s="248">
        <f t="shared" si="41"/>
        <v>18.319363511785284</v>
      </c>
      <c r="AO16" s="248">
        <f t="shared" si="41"/>
        <v>18.410960329344206</v>
      </c>
      <c r="AP16" s="248">
        <f t="shared" si="41"/>
        <v>18.503015130990928</v>
      </c>
      <c r="AQ16" s="248">
        <f t="shared" si="41"/>
        <v>18.595530206645879</v>
      </c>
      <c r="AR16" s="248">
        <f t="shared" si="41"/>
        <v>18.688507857679106</v>
      </c>
      <c r="AS16" s="248">
        <f t="shared" si="41"/>
        <v>18.781950396967503</v>
      </c>
      <c r="AT16" s="248">
        <f t="shared" si="41"/>
        <v>18.875860148952338</v>
      </c>
      <c r="AU16" s="248">
        <f t="shared" si="41"/>
        <v>18.970239449697097</v>
      </c>
      <c r="AV16" s="248">
        <f t="shared" si="41"/>
        <v>19.065090646945581</v>
      </c>
      <c r="AW16" s="248">
        <f t="shared" si="41"/>
        <v>19.160416100180306</v>
      </c>
      <c r="AX16" s="248">
        <f t="shared" si="41"/>
        <v>19.256218180681206</v>
      </c>
      <c r="AY16" s="248">
        <f t="shared" si="41"/>
        <v>19.352499271584609</v>
      </c>
      <c r="AZ16" s="248">
        <f t="shared" si="41"/>
        <v>19.449261767942531</v>
      </c>
      <c r="BA16" s="248">
        <f t="shared" si="41"/>
        <v>19.546508076782239</v>
      </c>
      <c r="BB16" s="248">
        <f t="shared" si="41"/>
        <v>19.644240617166147</v>
      </c>
      <c r="BC16" s="248">
        <f t="shared" si="41"/>
        <v>19.742461820251979</v>
      </c>
      <c r="BD16" s="248">
        <f t="shared" si="41"/>
        <v>19.841174129353238</v>
      </c>
      <c r="BE16" s="248">
        <f t="shared" si="41"/>
        <v>19.940380000000001</v>
      </c>
      <c r="BF16" s="248">
        <f t="shared" si="41"/>
        <v>20.040081899999997</v>
      </c>
      <c r="BG16" s="248">
        <f t="shared" si="41"/>
        <v>20.140282309499998</v>
      </c>
      <c r="BH16" s="248">
        <f t="shared" si="41"/>
        <v>20.240983721047495</v>
      </c>
      <c r="BI16" s="248">
        <f t="shared" si="41"/>
        <v>20.342188639652729</v>
      </c>
      <c r="BJ16" s="248">
        <f t="shared" si="41"/>
        <v>20.443899582850992</v>
      </c>
      <c r="BK16" s="248">
        <f t="shared" si="41"/>
        <v>20.546119080765248</v>
      </c>
      <c r="BL16" s="248">
        <f t="shared" si="41"/>
        <v>20.648849676169071</v>
      </c>
      <c r="BM16" s="248">
        <f t="shared" si="41"/>
        <v>20.752093924549914</v>
      </c>
      <c r="BN16" s="248">
        <f t="shared" si="41"/>
        <v>20.85585439417266</v>
      </c>
      <c r="BO16" s="248">
        <f t="shared" si="41"/>
        <v>20.96013366614352</v>
      </c>
      <c r="BP16" s="248">
        <f t="shared" si="41"/>
        <v>21.064934334474234</v>
      </c>
      <c r="BQ16" s="248">
        <f t="shared" ref="BQ16:BU16" si="42">BQ7*BQ12</f>
        <v>21.170259006146605</v>
      </c>
      <c r="BR16" s="248">
        <f t="shared" si="42"/>
        <v>21.276110301177336</v>
      </c>
      <c r="BS16" s="248">
        <f t="shared" si="42"/>
        <v>21.382490852683222</v>
      </c>
      <c r="BT16" s="248">
        <f t="shared" si="42"/>
        <v>21.489403306946635</v>
      </c>
      <c r="BU16" s="248">
        <f t="shared" si="42"/>
        <v>21.596850323481366</v>
      </c>
      <c r="BV16" s="253"/>
      <c r="BW16" s="253"/>
      <c r="BX16" s="253"/>
      <c r="BY16" s="253"/>
      <c r="BZ16" s="253"/>
      <c r="CA16" s="253"/>
      <c r="CB16" s="253"/>
      <c r="CC16" s="253"/>
      <c r="CD16" s="253"/>
      <c r="CE16" s="253"/>
      <c r="CF16" s="253"/>
      <c r="CG16" s="253"/>
      <c r="CH16" s="253"/>
      <c r="CI16" s="253"/>
      <c r="CJ16" s="253"/>
      <c r="CK16" s="253"/>
      <c r="CL16" s="253"/>
      <c r="CM16" s="253"/>
      <c r="CN16" s="253"/>
      <c r="CO16" s="253"/>
      <c r="CP16" s="253"/>
      <c r="CQ16" s="253"/>
      <c r="CR16" s="253"/>
      <c r="CS16" s="253"/>
      <c r="CT16" s="253"/>
      <c r="CU16" s="253"/>
      <c r="CV16" s="253"/>
    </row>
    <row r="17" spans="2:100" ht="15" hidden="1" customHeight="1" outlineLevel="1">
      <c r="B17" s="247" t="s">
        <v>25</v>
      </c>
      <c r="C17" s="248">
        <f t="shared" ref="C17:L17" si="43">C8*C13</f>
        <v>22.801483429687792</v>
      </c>
      <c r="D17" s="248">
        <f t="shared" si="43"/>
        <v>22.847086396547173</v>
      </c>
      <c r="E17" s="248">
        <f t="shared" si="43"/>
        <v>22.892780569340268</v>
      </c>
      <c r="F17" s="248">
        <f t="shared" si="43"/>
        <v>22.938566130478947</v>
      </c>
      <c r="G17" s="248">
        <f t="shared" si="43"/>
        <v>22.984443262739905</v>
      </c>
      <c r="H17" s="248">
        <f t="shared" si="43"/>
        <v>23.030412149265388</v>
      </c>
      <c r="I17" s="248">
        <f t="shared" si="43"/>
        <v>23.07647297356392</v>
      </c>
      <c r="J17" s="248">
        <f t="shared" si="43"/>
        <v>23.122625919511044</v>
      </c>
      <c r="K17" s="248">
        <f t="shared" si="43"/>
        <v>23.168871171350066</v>
      </c>
      <c r="L17" s="248">
        <f t="shared" si="43"/>
        <v>23.21520891369277</v>
      </c>
      <c r="M17" s="248">
        <f t="shared" ref="M17:V17" si="44">M8*M13</f>
        <v>23.261639331520154</v>
      </c>
      <c r="N17" s="248">
        <f t="shared" si="44"/>
        <v>23.308162610183196</v>
      </c>
      <c r="O17" s="248">
        <f t="shared" si="44"/>
        <v>23.354778935403566</v>
      </c>
      <c r="P17" s="248">
        <f t="shared" si="44"/>
        <v>23.401488493274375</v>
      </c>
      <c r="Q17" s="248">
        <f t="shared" si="44"/>
        <v>23.448291470260919</v>
      </c>
      <c r="R17" s="248">
        <f t="shared" si="44"/>
        <v>23.495188053201442</v>
      </c>
      <c r="S17" s="248">
        <f t="shared" si="44"/>
        <v>23.542178429307846</v>
      </c>
      <c r="T17" s="248">
        <f t="shared" si="44"/>
        <v>23.589262786166461</v>
      </c>
      <c r="U17" s="248">
        <f t="shared" si="44"/>
        <v>23.636441311738793</v>
      </c>
      <c r="V17" s="248">
        <f t="shared" si="44"/>
        <v>23.683714194362267</v>
      </c>
      <c r="W17" s="248">
        <f t="shared" ref="W17:BP17" si="45">W8*W13</f>
        <v>23.731081622750995</v>
      </c>
      <c r="X17" s="248">
        <f t="shared" si="45"/>
        <v>23.778543785996494</v>
      </c>
      <c r="Y17" s="248">
        <f t="shared" si="45"/>
        <v>23.826100873568489</v>
      </c>
      <c r="Z17" s="248">
        <f t="shared" si="45"/>
        <v>23.873753075315623</v>
      </c>
      <c r="AA17" s="248">
        <f t="shared" si="45"/>
        <v>23.921500581466255</v>
      </c>
      <c r="AB17" s="248">
        <f t="shared" si="45"/>
        <v>23.969343582629186</v>
      </c>
      <c r="AC17" s="248">
        <f t="shared" si="45"/>
        <v>24.017282269794446</v>
      </c>
      <c r="AD17" s="248">
        <f t="shared" si="45"/>
        <v>24.065316834334034</v>
      </c>
      <c r="AE17" s="248">
        <f t="shared" si="45"/>
        <v>24.1134474680027</v>
      </c>
      <c r="AF17" s="248">
        <f t="shared" si="45"/>
        <v>24.161674362938708</v>
      </c>
      <c r="AG17" s="248">
        <f t="shared" si="45"/>
        <v>24.209997711664585</v>
      </c>
      <c r="AH17" s="248">
        <f t="shared" si="45"/>
        <v>24.258417707087911</v>
      </c>
      <c r="AI17" s="248">
        <f t="shared" si="45"/>
        <v>24.306934542502088</v>
      </c>
      <c r="AJ17" s="248">
        <f t="shared" si="45"/>
        <v>24.355548411587094</v>
      </c>
      <c r="AK17" s="248">
        <f t="shared" si="45"/>
        <v>24.404259508410266</v>
      </c>
      <c r="AL17" s="248">
        <f t="shared" si="45"/>
        <v>24.453068027427086</v>
      </c>
      <c r="AM17" s="248">
        <f t="shared" si="45"/>
        <v>24.50197416348194</v>
      </c>
      <c r="AN17" s="248">
        <f t="shared" si="45"/>
        <v>24.550978111808902</v>
      </c>
      <c r="AO17" s="248">
        <f t="shared" si="45"/>
        <v>24.600080068032518</v>
      </c>
      <c r="AP17" s="248">
        <f t="shared" si="45"/>
        <v>24.649280228168585</v>
      </c>
      <c r="AQ17" s="248">
        <f t="shared" si="45"/>
        <v>24.698578788624921</v>
      </c>
      <c r="AR17" s="248">
        <f t="shared" si="45"/>
        <v>24.747975946202168</v>
      </c>
      <c r="AS17" s="248">
        <f t="shared" si="45"/>
        <v>24.797471898094571</v>
      </c>
      <c r="AT17" s="248">
        <f t="shared" si="45"/>
        <v>24.847066841890761</v>
      </c>
      <c r="AU17" s="248">
        <f t="shared" si="45"/>
        <v>24.896760975574544</v>
      </c>
      <c r="AV17" s="248">
        <f t="shared" si="45"/>
        <v>24.946554497525693</v>
      </c>
      <c r="AW17" s="248">
        <f t="shared" si="45"/>
        <v>24.996447606520743</v>
      </c>
      <c r="AX17" s="248">
        <f t="shared" si="45"/>
        <v>25.046440501733784</v>
      </c>
      <c r="AY17" s="248">
        <f t="shared" si="45"/>
        <v>25.096533382737253</v>
      </c>
      <c r="AZ17" s="248">
        <f t="shared" si="45"/>
        <v>25.146726449502726</v>
      </c>
      <c r="BA17" s="248">
        <f t="shared" si="45"/>
        <v>25.197019902401731</v>
      </c>
      <c r="BB17" s="248">
        <f t="shared" si="45"/>
        <v>25.247413942206535</v>
      </c>
      <c r="BC17" s="248">
        <f t="shared" si="45"/>
        <v>25.297908770090949</v>
      </c>
      <c r="BD17" s="248">
        <f t="shared" si="45"/>
        <v>25.34850458763113</v>
      </c>
      <c r="BE17" s="248">
        <f t="shared" si="45"/>
        <v>25.399201596806392</v>
      </c>
      <c r="BF17" s="248">
        <f t="shared" si="45"/>
        <v>25.450000000000003</v>
      </c>
      <c r="BG17" s="248">
        <f t="shared" si="45"/>
        <v>25.500900000000001</v>
      </c>
      <c r="BH17" s="248">
        <f t="shared" si="45"/>
        <v>25.551901800000003</v>
      </c>
      <c r="BI17" s="248">
        <f t="shared" si="45"/>
        <v>25.603005603600003</v>
      </c>
      <c r="BJ17" s="248">
        <f t="shared" si="45"/>
        <v>25.654211614807203</v>
      </c>
      <c r="BK17" s="248">
        <f t="shared" si="45"/>
        <v>25.705520038036816</v>
      </c>
      <c r="BL17" s="248">
        <f t="shared" si="45"/>
        <v>25.756931078112892</v>
      </c>
      <c r="BM17" s="248">
        <f t="shared" si="45"/>
        <v>25.808444940269116</v>
      </c>
      <c r="BN17" s="248">
        <f t="shared" si="45"/>
        <v>25.860061830149654</v>
      </c>
      <c r="BO17" s="248">
        <f t="shared" si="45"/>
        <v>25.911781953809953</v>
      </c>
      <c r="BP17" s="248">
        <f t="shared" si="45"/>
        <v>25.963605517717575</v>
      </c>
      <c r="BQ17" s="248">
        <f t="shared" ref="BQ17:BU17" si="46">BQ8*BQ13</f>
        <v>26.015532728753008</v>
      </c>
      <c r="BR17" s="248">
        <f t="shared" si="46"/>
        <v>26.067563794210514</v>
      </c>
      <c r="BS17" s="248">
        <f t="shared" si="46"/>
        <v>26.119698921798935</v>
      </c>
      <c r="BT17" s="248">
        <f t="shared" si="46"/>
        <v>26.171938319642532</v>
      </c>
      <c r="BU17" s="248">
        <f t="shared" si="46"/>
        <v>26.224282196281816</v>
      </c>
      <c r="BV17" s="253"/>
      <c r="BW17" s="253"/>
      <c r="BX17" s="253"/>
      <c r="BY17" s="253"/>
      <c r="BZ17" s="253"/>
      <c r="CA17" s="253"/>
      <c r="CB17" s="253"/>
      <c r="CC17" s="253"/>
      <c r="CD17" s="253"/>
      <c r="CE17" s="253"/>
      <c r="CF17" s="253"/>
      <c r="CG17" s="253"/>
      <c r="CH17" s="253"/>
      <c r="CI17" s="253"/>
      <c r="CJ17" s="253"/>
      <c r="CK17" s="253"/>
      <c r="CL17" s="253"/>
      <c r="CM17" s="253"/>
      <c r="CN17" s="253"/>
      <c r="CO17" s="253"/>
      <c r="CP17" s="253"/>
      <c r="CQ17" s="253"/>
      <c r="CR17" s="253"/>
      <c r="CS17" s="253"/>
      <c r="CT17" s="253"/>
      <c r="CU17" s="253"/>
      <c r="CV17" s="253"/>
    </row>
    <row r="18" spans="2:100" ht="15" hidden="1" customHeight="1" outlineLevel="1">
      <c r="B18" s="247" t="s">
        <v>68</v>
      </c>
      <c r="C18" s="248">
        <f t="shared" ref="C18:L18" si="47">C9*C14</f>
        <v>7.6426844288976454</v>
      </c>
      <c r="D18" s="248">
        <f t="shared" si="47"/>
        <v>7.5820282032714736</v>
      </c>
      <c r="E18" s="248">
        <f t="shared" si="47"/>
        <v>7.5218533762613822</v>
      </c>
      <c r="F18" s="248">
        <f t="shared" si="47"/>
        <v>7.4621561272434338</v>
      </c>
      <c r="G18" s="248">
        <f t="shared" si="47"/>
        <v>7.4029326659161043</v>
      </c>
      <c r="H18" s="248">
        <f t="shared" si="47"/>
        <v>7.3441792320596271</v>
      </c>
      <c r="I18" s="248">
        <f t="shared" si="47"/>
        <v>7.2858920952972488</v>
      </c>
      <c r="J18" s="248">
        <f t="shared" si="47"/>
        <v>7.2280675548583808</v>
      </c>
      <c r="K18" s="248">
        <f t="shared" si="47"/>
        <v>7.1707019393436315</v>
      </c>
      <c r="L18" s="248">
        <f t="shared" si="47"/>
        <v>7.1137916064916977</v>
      </c>
      <c r="M18" s="248">
        <f t="shared" ref="M18:V18" si="48">M9*M14</f>
        <v>7.0573329429481122</v>
      </c>
      <c r="N18" s="248">
        <f t="shared" si="48"/>
        <v>7.0013223640358255</v>
      </c>
      <c r="O18" s="248">
        <f t="shared" si="48"/>
        <v>6.9457563135276041</v>
      </c>
      <c r="P18" s="248">
        <f t="shared" si="48"/>
        <v>6.890631263420242</v>
      </c>
      <c r="Q18" s="248">
        <f t="shared" si="48"/>
        <v>6.8359437137105576</v>
      </c>
      <c r="R18" s="248">
        <f t="shared" si="48"/>
        <v>6.7816901921731727</v>
      </c>
      <c r="S18" s="248">
        <f t="shared" si="48"/>
        <v>6.7278672541400528</v>
      </c>
      <c r="T18" s="248">
        <f t="shared" si="48"/>
        <v>6.6744714822817981</v>
      </c>
      <c r="U18" s="248">
        <f t="shared" si="48"/>
        <v>6.6214994863906727</v>
      </c>
      <c r="V18" s="248">
        <f t="shared" si="48"/>
        <v>6.5689479031653502</v>
      </c>
      <c r="W18" s="248">
        <f t="shared" ref="W18:BP18" si="49">W9*W14</f>
        <v>6.5168133959973717</v>
      </c>
      <c r="X18" s="248">
        <f t="shared" si="49"/>
        <v>6.4650926547592968</v>
      </c>
      <c r="Y18" s="248">
        <f t="shared" si="49"/>
        <v>6.4137823955945397</v>
      </c>
      <c r="Z18" s="248">
        <f t="shared" si="49"/>
        <v>6.3628793607088685</v>
      </c>
      <c r="AA18" s="248">
        <f t="shared" si="49"/>
        <v>6.3123803181635596</v>
      </c>
      <c r="AB18" s="248">
        <f t="shared" si="49"/>
        <v>6.2622820616701969</v>
      </c>
      <c r="AC18" s="248">
        <f t="shared" si="49"/>
        <v>6.2125814103871004</v>
      </c>
      <c r="AD18" s="248">
        <f t="shared" si="49"/>
        <v>6.1632752087173612</v>
      </c>
      <c r="AE18" s="248">
        <f t="shared" si="49"/>
        <v>6.1143603261084944</v>
      </c>
      <c r="AF18" s="248">
        <f t="shared" si="49"/>
        <v>6.0658336568536653</v>
      </c>
      <c r="AG18" s="248">
        <f t="shared" si="49"/>
        <v>6.0176921198945088</v>
      </c>
      <c r="AH18" s="248">
        <f t="shared" si="49"/>
        <v>5.9699326586255053</v>
      </c>
      <c r="AI18" s="248">
        <f t="shared" si="49"/>
        <v>5.9225522406999058</v>
      </c>
      <c r="AJ18" s="248">
        <f t="shared" si="49"/>
        <v>5.8755478578372085</v>
      </c>
      <c r="AK18" s="248">
        <f t="shared" si="49"/>
        <v>5.8289165256321516</v>
      </c>
      <c r="AL18" s="248">
        <f t="shared" si="49"/>
        <v>5.78265528336523</v>
      </c>
      <c r="AM18" s="248">
        <f t="shared" si="49"/>
        <v>5.7367611938147123</v>
      </c>
      <c r="AN18" s="248">
        <f t="shared" si="49"/>
        <v>5.6912313430701511</v>
      </c>
      <c r="AO18" s="248">
        <f t="shared" si="49"/>
        <v>5.6460628403473718</v>
      </c>
      <c r="AP18" s="248">
        <f t="shared" si="49"/>
        <v>5.6012528178049328</v>
      </c>
      <c r="AQ18" s="248">
        <f t="shared" si="49"/>
        <v>5.5567984303620355</v>
      </c>
      <c r="AR18" s="248">
        <f t="shared" si="49"/>
        <v>5.512696855517893</v>
      </c>
      <c r="AS18" s="248">
        <f t="shared" si="49"/>
        <v>5.4689452931725118</v>
      </c>
      <c r="AT18" s="248">
        <f t="shared" si="49"/>
        <v>5.4255409654489206</v>
      </c>
      <c r="AU18" s="248">
        <f t="shared" si="49"/>
        <v>5.3824811165167876</v>
      </c>
      <c r="AV18" s="248">
        <f t="shared" si="49"/>
        <v>5.339763012417448</v>
      </c>
      <c r="AW18" s="248">
        <f t="shared" si="49"/>
        <v>5.2973839408903256</v>
      </c>
      <c r="AX18" s="248">
        <f t="shared" si="49"/>
        <v>5.2553412112007205</v>
      </c>
      <c r="AY18" s="248">
        <f t="shared" si="49"/>
        <v>5.2136321539689687</v>
      </c>
      <c r="AZ18" s="248">
        <f t="shared" si="49"/>
        <v>5.1722541210009609</v>
      </c>
      <c r="BA18" s="248">
        <f t="shared" si="49"/>
        <v>5.1312044851200005</v>
      </c>
      <c r="BB18" s="248">
        <f t="shared" si="49"/>
        <v>5.0904806400000009</v>
      </c>
      <c r="BC18" s="248">
        <f t="shared" si="49"/>
        <v>5.0500800000000003</v>
      </c>
      <c r="BD18" s="248">
        <f t="shared" si="49"/>
        <v>5.0100000000000007</v>
      </c>
      <c r="BE18" s="248">
        <f t="shared" si="49"/>
        <v>5</v>
      </c>
      <c r="BF18" s="248">
        <f t="shared" si="49"/>
        <v>4.9995000000000003</v>
      </c>
      <c r="BG18" s="248">
        <f t="shared" si="49"/>
        <v>4.9990000500000003</v>
      </c>
      <c r="BH18" s="248">
        <f t="shared" si="49"/>
        <v>4.9985001499950004</v>
      </c>
      <c r="BI18" s="248">
        <f t="shared" si="49"/>
        <v>4.9980002999800011</v>
      </c>
      <c r="BJ18" s="248">
        <f t="shared" si="49"/>
        <v>4.9975004999500037</v>
      </c>
      <c r="BK18" s="248">
        <f t="shared" si="49"/>
        <v>4.9970007499000086</v>
      </c>
      <c r="BL18" s="248">
        <f t="shared" si="49"/>
        <v>4.9965010498250191</v>
      </c>
      <c r="BM18" s="248">
        <f t="shared" si="49"/>
        <v>4.9960013997200363</v>
      </c>
      <c r="BN18" s="248">
        <f t="shared" si="49"/>
        <v>4.9955017995800644</v>
      </c>
      <c r="BO18" s="248">
        <f t="shared" si="49"/>
        <v>4.9950022494001063</v>
      </c>
      <c r="BP18" s="248">
        <f t="shared" si="49"/>
        <v>4.9945027491751661</v>
      </c>
      <c r="BQ18" s="248">
        <f t="shared" ref="BQ18:BU18" si="50">BQ9*BQ14</f>
        <v>4.9940032989002487</v>
      </c>
      <c r="BR18" s="248">
        <f t="shared" si="50"/>
        <v>4.993503898570359</v>
      </c>
      <c r="BS18" s="248">
        <f t="shared" si="50"/>
        <v>4.9930045481805019</v>
      </c>
      <c r="BT18" s="248">
        <f t="shared" si="50"/>
        <v>4.9925052477256839</v>
      </c>
      <c r="BU18" s="248">
        <f t="shared" si="50"/>
        <v>4.992005997200911</v>
      </c>
      <c r="BV18" s="253"/>
      <c r="BW18" s="253"/>
      <c r="BX18" s="253"/>
      <c r="BY18" s="253"/>
      <c r="BZ18" s="253"/>
      <c r="CA18" s="253"/>
      <c r="CB18" s="253"/>
      <c r="CC18" s="253"/>
      <c r="CD18" s="253"/>
      <c r="CE18" s="253"/>
      <c r="CF18" s="253"/>
      <c r="CG18" s="253"/>
      <c r="CH18" s="253"/>
      <c r="CI18" s="253"/>
      <c r="CJ18" s="253"/>
      <c r="CK18" s="253"/>
      <c r="CL18" s="253"/>
      <c r="CM18" s="253"/>
      <c r="CN18" s="253"/>
      <c r="CO18" s="253"/>
      <c r="CP18" s="253"/>
      <c r="CQ18" s="253"/>
      <c r="CR18" s="253"/>
      <c r="CS18" s="253"/>
      <c r="CT18" s="253"/>
      <c r="CU18" s="253"/>
      <c r="CV18" s="253"/>
    </row>
    <row r="19" spans="2:100" ht="15" hidden="1" customHeight="1" outlineLevel="1">
      <c r="B19" s="254"/>
      <c r="BB19" s="253"/>
      <c r="BC19" s="253"/>
      <c r="BD19" s="253"/>
      <c r="BE19" s="253"/>
      <c r="BF19" s="253"/>
      <c r="BG19" s="253"/>
      <c r="BI19" s="253"/>
      <c r="BJ19" s="253"/>
      <c r="BK19" s="253"/>
      <c r="BL19" s="253"/>
      <c r="BM19" s="253"/>
      <c r="BN19" s="253"/>
      <c r="BO19" s="253"/>
      <c r="BP19" s="253"/>
      <c r="BQ19" s="253"/>
      <c r="BR19" s="253"/>
      <c r="BS19" s="253"/>
      <c r="BT19" s="253"/>
      <c r="BU19" s="253"/>
    </row>
    <row r="20" spans="2:100" ht="15" customHeight="1" collapsed="1">
      <c r="B20" s="245" t="s">
        <v>70</v>
      </c>
      <c r="BB20" s="251"/>
      <c r="BC20" s="251"/>
      <c r="BD20" s="251"/>
      <c r="BE20" s="251"/>
      <c r="BF20" s="251"/>
      <c r="BG20" s="251"/>
      <c r="BH20" s="251"/>
      <c r="BI20" s="251"/>
      <c r="BJ20" s="251"/>
      <c r="BK20" s="251"/>
      <c r="BL20" s="251"/>
      <c r="BM20" s="251"/>
      <c r="BN20" s="251"/>
      <c r="BO20" s="251"/>
      <c r="BP20" s="251"/>
      <c r="BQ20" s="251"/>
      <c r="BR20" s="251"/>
      <c r="BS20" s="251"/>
      <c r="BT20" s="251"/>
      <c r="BU20" s="251"/>
    </row>
    <row r="21" spans="2:100" ht="15" customHeight="1">
      <c r="B21" s="247" t="s">
        <v>24</v>
      </c>
      <c r="C21" s="248"/>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c r="AJ21" s="248"/>
      <c r="AK21" s="248"/>
      <c r="AL21" s="248"/>
      <c r="AM21" s="248"/>
      <c r="AN21" s="248"/>
      <c r="AO21" s="248"/>
      <c r="AP21" s="248"/>
      <c r="AQ21" s="248"/>
      <c r="AR21" s="248"/>
      <c r="AS21" s="248"/>
      <c r="AT21" s="248"/>
      <c r="AU21" s="248"/>
      <c r="AV21" s="248">
        <f>SUM(C16:AU16)</f>
        <v>766.5538439481777</v>
      </c>
      <c r="AW21" s="248">
        <f t="shared" ref="AW21:BP21" si="51">SUM(D16:AV16)</f>
        <v>770.38661316791854</v>
      </c>
      <c r="AX21" s="248">
        <f t="shared" si="51"/>
        <v>774.23854623375803</v>
      </c>
      <c r="AY21" s="248">
        <f t="shared" si="51"/>
        <v>778.10973896492681</v>
      </c>
      <c r="AZ21" s="248">
        <f t="shared" si="51"/>
        <v>782.00028765975128</v>
      </c>
      <c r="BA21" s="248">
        <f t="shared" si="51"/>
        <v>785.91028909805004</v>
      </c>
      <c r="BB21" s="248">
        <f t="shared" si="51"/>
        <v>789.83984054354028</v>
      </c>
      <c r="BC21" s="248">
        <f t="shared" si="51"/>
        <v>793.78903974625803</v>
      </c>
      <c r="BD21" s="248">
        <f t="shared" si="51"/>
        <v>797.75798494498929</v>
      </c>
      <c r="BE21" s="248">
        <f t="shared" si="51"/>
        <v>801.74677486971405</v>
      </c>
      <c r="BF21" s="248">
        <f t="shared" si="51"/>
        <v>805.75550874406258</v>
      </c>
      <c r="BG21" s="248">
        <f t="shared" si="51"/>
        <v>809.78428628778283</v>
      </c>
      <c r="BH21" s="248">
        <f t="shared" si="51"/>
        <v>813.8332077192216</v>
      </c>
      <c r="BI21" s="248">
        <f t="shared" si="51"/>
        <v>817.90237375781771</v>
      </c>
      <c r="BJ21" s="248">
        <f t="shared" si="51"/>
        <v>821.99188562660652</v>
      </c>
      <c r="BK21" s="248">
        <f t="shared" si="51"/>
        <v>826.10184505473944</v>
      </c>
      <c r="BL21" s="248">
        <f t="shared" si="51"/>
        <v>830.23235428001306</v>
      </c>
      <c r="BM21" s="248">
        <f t="shared" si="51"/>
        <v>834.38351605141315</v>
      </c>
      <c r="BN21" s="248">
        <f t="shared" si="51"/>
        <v>838.5554336316701</v>
      </c>
      <c r="BO21" s="248">
        <f t="shared" si="51"/>
        <v>842.74821079982826</v>
      </c>
      <c r="BP21" s="248">
        <f t="shared" si="51"/>
        <v>846.96195185382737</v>
      </c>
      <c r="BQ21" s="248">
        <f t="shared" ref="BQ21:BQ23" si="52">SUM(X16:BP16)</f>
        <v>851.19676161309656</v>
      </c>
      <c r="BR21" s="248">
        <f t="shared" ref="BR21:BR23" si="53">SUM(Y16:BQ16)</f>
        <v>855.45274542116181</v>
      </c>
      <c r="BS21" s="248">
        <f t="shared" ref="BS21:BS23" si="54">SUM(Z16:BR16)</f>
        <v>859.73000914826753</v>
      </c>
      <c r="BT21" s="248">
        <f t="shared" ref="BT21:BT23" si="55">SUM(AA16:BS16)</f>
        <v>864.0286591940087</v>
      </c>
      <c r="BU21" s="248">
        <f t="shared" ref="BU21:BU23" si="56">SUM(AB16:BT16)</f>
        <v>868.34880248997865</v>
      </c>
      <c r="BV21" s="253"/>
      <c r="BW21" s="253"/>
      <c r="BX21" s="253"/>
      <c r="BY21" s="253"/>
      <c r="BZ21" s="253"/>
      <c r="CA21" s="253"/>
      <c r="CB21" s="253"/>
      <c r="CC21" s="253"/>
      <c r="CD21" s="253"/>
      <c r="CE21" s="253"/>
      <c r="CF21" s="253"/>
      <c r="CG21" s="253"/>
      <c r="CH21" s="253"/>
      <c r="CI21" s="253"/>
      <c r="CJ21" s="253"/>
      <c r="CK21" s="253"/>
      <c r="CL21" s="253"/>
      <c r="CM21" s="253"/>
      <c r="CN21" s="253"/>
      <c r="CO21" s="253"/>
      <c r="CP21" s="253"/>
      <c r="CQ21" s="253"/>
      <c r="CR21" s="253"/>
      <c r="CS21" s="253"/>
      <c r="CT21" s="253"/>
      <c r="CU21" s="253"/>
      <c r="CV21" s="253"/>
    </row>
    <row r="22" spans="2:100" ht="15" customHeight="1">
      <c r="B22" s="247" t="s">
        <v>25</v>
      </c>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c r="AS22" s="248"/>
      <c r="AT22" s="248"/>
      <c r="AU22" s="248"/>
      <c r="AV22" s="248">
        <f>SUM(C17:AU17)</f>
        <v>1072.5355339189512</v>
      </c>
      <c r="AW22" s="248">
        <f t="shared" ref="AW22:BP22" si="57">SUM(D17:AV17)</f>
        <v>1074.6806049867891</v>
      </c>
      <c r="AX22" s="248">
        <f t="shared" si="57"/>
        <v>1076.8299661967626</v>
      </c>
      <c r="AY22" s="248">
        <f t="shared" si="57"/>
        <v>1078.9836261291559</v>
      </c>
      <c r="AZ22" s="248">
        <f t="shared" si="57"/>
        <v>1081.1415933814144</v>
      </c>
      <c r="BA22" s="248">
        <f t="shared" si="57"/>
        <v>1083.3038765681772</v>
      </c>
      <c r="BB22" s="248">
        <f t="shared" si="57"/>
        <v>1085.4704843213135</v>
      </c>
      <c r="BC22" s="248">
        <f t="shared" si="57"/>
        <v>1087.6414252899563</v>
      </c>
      <c r="BD22" s="248">
        <f t="shared" si="57"/>
        <v>1089.8167081405359</v>
      </c>
      <c r="BE22" s="248">
        <f t="shared" si="57"/>
        <v>1091.996341556817</v>
      </c>
      <c r="BF22" s="248">
        <f t="shared" si="57"/>
        <v>1094.1803342399307</v>
      </c>
      <c r="BG22" s="248">
        <f t="shared" si="57"/>
        <v>1096.3686949084106</v>
      </c>
      <c r="BH22" s="248">
        <f t="shared" si="57"/>
        <v>1098.5614322982276</v>
      </c>
      <c r="BI22" s="248">
        <f t="shared" si="57"/>
        <v>1100.7585551628238</v>
      </c>
      <c r="BJ22" s="248">
        <f t="shared" si="57"/>
        <v>1102.9600722731495</v>
      </c>
      <c r="BK22" s="248">
        <f t="shared" si="57"/>
        <v>1105.1659924176961</v>
      </c>
      <c r="BL22" s="248">
        <f t="shared" si="57"/>
        <v>1107.3763244025313</v>
      </c>
      <c r="BM22" s="248">
        <f t="shared" si="57"/>
        <v>1109.5910770513365</v>
      </c>
      <c r="BN22" s="248">
        <f t="shared" si="57"/>
        <v>1111.810259205439</v>
      </c>
      <c r="BO22" s="248">
        <f t="shared" si="57"/>
        <v>1114.0338797238496</v>
      </c>
      <c r="BP22" s="248">
        <f t="shared" si="57"/>
        <v>1116.2619474832973</v>
      </c>
      <c r="BQ22" s="248">
        <f t="shared" si="52"/>
        <v>1118.4944713782638</v>
      </c>
      <c r="BR22" s="248">
        <f t="shared" si="53"/>
        <v>1120.7314603210204</v>
      </c>
      <c r="BS22" s="248">
        <f t="shared" si="54"/>
        <v>1122.9729232416626</v>
      </c>
      <c r="BT22" s="248">
        <f t="shared" si="55"/>
        <v>1125.218869088146</v>
      </c>
      <c r="BU22" s="248">
        <f t="shared" si="56"/>
        <v>1127.4693068263223</v>
      </c>
      <c r="BV22" s="253"/>
      <c r="BW22" s="253"/>
      <c r="BX22" s="253"/>
      <c r="BY22" s="253"/>
      <c r="BZ22" s="253"/>
      <c r="CA22" s="253"/>
      <c r="CB22" s="253"/>
      <c r="CC22" s="253"/>
      <c r="CD22" s="253"/>
      <c r="CE22" s="253"/>
      <c r="CF22" s="253"/>
      <c r="CG22" s="253"/>
      <c r="CH22" s="253"/>
      <c r="CI22" s="253"/>
      <c r="CJ22" s="253"/>
      <c r="CK22" s="253"/>
      <c r="CL22" s="253"/>
      <c r="CM22" s="253"/>
      <c r="CN22" s="253"/>
      <c r="CO22" s="253"/>
      <c r="CP22" s="253"/>
      <c r="CQ22" s="253"/>
      <c r="CR22" s="253"/>
      <c r="CS22" s="253"/>
      <c r="CT22" s="253"/>
      <c r="CU22" s="253"/>
      <c r="CV22" s="253"/>
    </row>
    <row r="23" spans="2:100" ht="15" customHeight="1">
      <c r="B23" s="247" t="s">
        <v>68</v>
      </c>
      <c r="C23" s="248"/>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248"/>
      <c r="AB23" s="248"/>
      <c r="AC23" s="248"/>
      <c r="AD23" s="248"/>
      <c r="AE23" s="248"/>
      <c r="AF23" s="248"/>
      <c r="AG23" s="248"/>
      <c r="AH23" s="248"/>
      <c r="AI23" s="248"/>
      <c r="AJ23" s="248"/>
      <c r="AK23" s="248"/>
      <c r="AL23" s="248"/>
      <c r="AM23" s="248"/>
      <c r="AN23" s="248"/>
      <c r="AO23" s="248"/>
      <c r="AP23" s="248"/>
      <c r="AQ23" s="248"/>
      <c r="AR23" s="248"/>
      <c r="AS23" s="248"/>
      <c r="AT23" s="248"/>
      <c r="AU23" s="248"/>
      <c r="AV23" s="248">
        <f>SUM(C18:AU18)</f>
        <v>290.16809847650427</v>
      </c>
      <c r="AW23" s="248">
        <f t="shared" ref="AW23:BP23" si="58">SUM(D18:AV18)</f>
        <v>287.86517706002405</v>
      </c>
      <c r="AX23" s="248">
        <f t="shared" si="58"/>
        <v>285.58053279764289</v>
      </c>
      <c r="AY23" s="248">
        <f t="shared" si="58"/>
        <v>283.31402063258224</v>
      </c>
      <c r="AZ23" s="248">
        <f t="shared" si="58"/>
        <v>281.06549665930777</v>
      </c>
      <c r="BA23" s="248">
        <f t="shared" si="58"/>
        <v>278.83481811439259</v>
      </c>
      <c r="BB23" s="248">
        <f t="shared" si="58"/>
        <v>276.62184336745298</v>
      </c>
      <c r="BC23" s="248">
        <f t="shared" si="58"/>
        <v>274.42643191215575</v>
      </c>
      <c r="BD23" s="248">
        <f t="shared" si="58"/>
        <v>272.24844435729744</v>
      </c>
      <c r="BE23" s="248">
        <f t="shared" si="58"/>
        <v>270.08774241795379</v>
      </c>
      <c r="BF23" s="248">
        <f t="shared" si="58"/>
        <v>267.97395081146209</v>
      </c>
      <c r="BG23" s="248">
        <f t="shared" si="58"/>
        <v>265.91611786851399</v>
      </c>
      <c r="BH23" s="248">
        <f t="shared" si="58"/>
        <v>263.91379555447816</v>
      </c>
      <c r="BI23" s="248">
        <f t="shared" si="58"/>
        <v>261.96653939094557</v>
      </c>
      <c r="BJ23" s="248">
        <f t="shared" si="58"/>
        <v>260.07390842750539</v>
      </c>
      <c r="BK23" s="248">
        <f t="shared" si="58"/>
        <v>258.23546521374476</v>
      </c>
      <c r="BL23" s="248">
        <f t="shared" si="58"/>
        <v>256.45077577147163</v>
      </c>
      <c r="BM23" s="248">
        <f t="shared" si="58"/>
        <v>254.71940956715662</v>
      </c>
      <c r="BN23" s="248">
        <f t="shared" si="58"/>
        <v>253.04093948459482</v>
      </c>
      <c r="BO23" s="248">
        <f t="shared" si="58"/>
        <v>251.41494179778425</v>
      </c>
      <c r="BP23" s="248">
        <f t="shared" si="58"/>
        <v>249.84099614401896</v>
      </c>
      <c r="BQ23" s="248">
        <f t="shared" si="52"/>
        <v>248.31868549719675</v>
      </c>
      <c r="BR23" s="248">
        <f t="shared" si="53"/>
        <v>246.8475961413377</v>
      </c>
      <c r="BS23" s="248">
        <f t="shared" si="54"/>
        <v>245.42731764431349</v>
      </c>
      <c r="BT23" s="248">
        <f t="shared" si="55"/>
        <v>244.05744283178512</v>
      </c>
      <c r="BU23" s="248">
        <f t="shared" si="56"/>
        <v>242.73756776134726</v>
      </c>
      <c r="BV23" s="253"/>
      <c r="BW23" s="253"/>
      <c r="BX23" s="253"/>
      <c r="BY23" s="253"/>
      <c r="BZ23" s="253"/>
      <c r="CA23" s="253"/>
      <c r="CB23" s="253"/>
      <c r="CC23" s="253"/>
      <c r="CD23" s="253"/>
      <c r="CE23" s="253"/>
      <c r="CF23" s="253"/>
      <c r="CG23" s="253"/>
      <c r="CH23" s="253"/>
      <c r="CI23" s="253"/>
      <c r="CJ23" s="253"/>
      <c r="CK23" s="253"/>
      <c r="CL23" s="253"/>
      <c r="CM23" s="253"/>
      <c r="CN23" s="253"/>
      <c r="CO23" s="253"/>
      <c r="CP23" s="253"/>
      <c r="CQ23" s="253"/>
      <c r="CR23" s="253"/>
      <c r="CS23" s="253"/>
      <c r="CT23" s="253"/>
      <c r="CU23" s="253"/>
      <c r="CV23" s="253"/>
    </row>
    <row r="24" spans="2:100" ht="15" customHeight="1">
      <c r="B24" s="247" t="s">
        <v>26</v>
      </c>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f t="shared" ref="AV24:BA24" si="59">(AV21+AV22+AV23)/((318.9+743+127)/7400)</f>
        <v>13253.01146012523</v>
      </c>
      <c r="AW24" s="248">
        <f t="shared" si="59"/>
        <v>13275.885040448324</v>
      </c>
      <c r="AX24" s="248">
        <f t="shared" si="59"/>
        <v>13299.018365454123</v>
      </c>
      <c r="AY24" s="248">
        <f t="shared" si="59"/>
        <v>13322.411182082025</v>
      </c>
      <c r="AZ24" s="248">
        <f t="shared" si="59"/>
        <v>13346.063247525866</v>
      </c>
      <c r="BA24" s="248">
        <f t="shared" si="59"/>
        <v>13369.974329192182</v>
      </c>
      <c r="BB24" s="248">
        <f>(BB21+BB22+BB23)/((318.9+743+127)/7400)</f>
        <v>13394.144204658985</v>
      </c>
      <c r="BC24" s="248">
        <f t="shared" ref="BC24:BP24" si="60">(BC21+BC22+BC23)/((318.9+743+127)/7400)</f>
        <v>13418.572661635071</v>
      </c>
      <c r="BD24" s="248">
        <f t="shared" si="60"/>
        <v>13443.259497919831</v>
      </c>
      <c r="BE24" s="248">
        <f t="shared" si="60"/>
        <v>13468.204521363601</v>
      </c>
      <c r="BF24" s="248">
        <f t="shared" si="60"/>
        <v>13493.592795093253</v>
      </c>
      <c r="BG24" s="248">
        <f t="shared" si="60"/>
        <v>13519.481313044691</v>
      </c>
      <c r="BH24" s="248">
        <f t="shared" si="60"/>
        <v>13545.867964700365</v>
      </c>
      <c r="BI24" s="248">
        <f t="shared" si="60"/>
        <v>13572.750664905159</v>
      </c>
      <c r="BJ24" s="248">
        <f t="shared" si="60"/>
        <v>13600.127353706564</v>
      </c>
      <c r="BK24" s="248">
        <f t="shared" si="60"/>
        <v>13627.99599619626</v>
      </c>
      <c r="BL24" s="248">
        <f t="shared" si="60"/>
        <v>13656.3545823532</v>
      </c>
      <c r="BM24" s="248">
        <f t="shared" si="60"/>
        <v>13685.201126888136</v>
      </c>
      <c r="BN24" s="248">
        <f t="shared" si="60"/>
        <v>13714.533669089586</v>
      </c>
      <c r="BO24" s="248">
        <f t="shared" si="60"/>
        <v>13744.350272671225</v>
      </c>
      <c r="BP24" s="248">
        <f t="shared" si="60"/>
        <v>13774.649025620709</v>
      </c>
      <c r="BQ24" s="248">
        <f t="shared" ref="BQ24:BU24" si="61">(BQ21+BQ22+BQ23)/((318.9+743+127)/7400)</f>
        <v>13805.428040049896</v>
      </c>
      <c r="BR24" s="248">
        <f t="shared" si="61"/>
        <v>13836.685452046469</v>
      </c>
      <c r="BS24" s="248">
        <f t="shared" si="61"/>
        <v>13868.419421526958</v>
      </c>
      <c r="BT24" s="248">
        <f t="shared" si="61"/>
        <v>13900.628132091137</v>
      </c>
      <c r="BU24" s="248">
        <f t="shared" si="61"/>
        <v>13933.309790877784</v>
      </c>
      <c r="BV24" s="253"/>
      <c r="BW24" s="253"/>
      <c r="BX24" s="253"/>
      <c r="BY24" s="253"/>
      <c r="BZ24" s="253"/>
      <c r="CA24" s="253"/>
      <c r="CB24" s="253"/>
      <c r="CC24" s="253"/>
      <c r="CD24" s="253"/>
      <c r="CE24" s="253"/>
      <c r="CF24" s="253"/>
      <c r="CG24" s="253"/>
      <c r="CH24" s="253"/>
      <c r="CI24" s="253"/>
      <c r="CJ24" s="253"/>
      <c r="CK24" s="253"/>
      <c r="CL24" s="253"/>
      <c r="CM24" s="253"/>
      <c r="CN24" s="253"/>
      <c r="CO24" s="253"/>
      <c r="CP24" s="253"/>
      <c r="CQ24" s="253"/>
      <c r="CR24" s="253"/>
      <c r="CS24" s="253"/>
      <c r="CT24" s="253"/>
      <c r="CU24" s="253"/>
      <c r="CV24" s="253"/>
    </row>
    <row r="25" spans="2:100" ht="15" customHeight="1">
      <c r="B25" s="254"/>
      <c r="BB25" s="253"/>
      <c r="BC25" s="253"/>
      <c r="BD25" s="253"/>
      <c r="BE25" s="253"/>
      <c r="BF25" s="253"/>
      <c r="BG25" s="253"/>
      <c r="BH25" s="253"/>
      <c r="BI25" s="253"/>
      <c r="BJ25" s="253"/>
      <c r="BK25" s="253"/>
      <c r="BL25" s="253"/>
      <c r="BM25" s="253"/>
      <c r="BN25" s="253"/>
      <c r="BO25" s="253"/>
      <c r="BP25" s="253"/>
      <c r="BQ25" s="253"/>
      <c r="BR25" s="253"/>
      <c r="BS25" s="253"/>
      <c r="BT25" s="253"/>
      <c r="BU25" s="253"/>
    </row>
    <row r="26" spans="2:100" ht="15" customHeight="1">
      <c r="B26" s="245" t="s">
        <v>81</v>
      </c>
      <c r="BB26" s="251"/>
      <c r="BC26" s="251"/>
      <c r="BD26" s="251"/>
      <c r="BE26" s="618"/>
      <c r="BF26" s="618"/>
      <c r="BG26" s="618"/>
      <c r="BH26" s="251"/>
      <c r="BI26" s="251"/>
      <c r="BJ26" s="251"/>
      <c r="BK26" s="251"/>
      <c r="BL26" s="251"/>
      <c r="BM26" s="251"/>
      <c r="BN26" s="251"/>
      <c r="BO26" s="251"/>
      <c r="BP26" s="251"/>
      <c r="BQ26" s="251"/>
      <c r="BR26" s="251"/>
      <c r="BS26" s="251"/>
      <c r="BT26" s="251"/>
      <c r="BU26" s="251"/>
    </row>
    <row r="27" spans="2:100" ht="15" hidden="1" customHeight="1" outlineLevel="1">
      <c r="B27" s="255" t="s">
        <v>108</v>
      </c>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7"/>
      <c r="BC27" s="257"/>
      <c r="BD27" s="257"/>
      <c r="BE27" s="568">
        <f>BE28</f>
        <v>0.1003</v>
      </c>
      <c r="BF27" s="568">
        <f>BF28</f>
        <v>0.1522</v>
      </c>
      <c r="BG27" s="568">
        <f>BG28</f>
        <v>0.23</v>
      </c>
      <c r="BH27" s="568">
        <f>BH28*1.1</f>
        <v>0.27830000000000005</v>
      </c>
      <c r="BI27" s="568">
        <f t="shared" ref="BI27:BU27" si="62">BI28*1.15</f>
        <v>0.32004500000000002</v>
      </c>
      <c r="BJ27" s="568">
        <f t="shared" si="62"/>
        <v>0.34404837500000007</v>
      </c>
      <c r="BK27" s="568">
        <f t="shared" si="62"/>
        <v>0.36985200312500005</v>
      </c>
      <c r="BL27" s="568">
        <f t="shared" si="62"/>
        <v>0.39759090335937503</v>
      </c>
      <c r="BM27" s="568">
        <f t="shared" si="62"/>
        <v>0.41747044852734377</v>
      </c>
      <c r="BN27" s="568">
        <f t="shared" si="62"/>
        <v>0.43834397095371103</v>
      </c>
      <c r="BO27" s="568">
        <f t="shared" si="62"/>
        <v>0.46026116950139656</v>
      </c>
      <c r="BP27" s="568">
        <f t="shared" si="62"/>
        <v>0.48327422797646641</v>
      </c>
      <c r="BQ27" s="568">
        <f t="shared" si="62"/>
        <v>0.49535608367587802</v>
      </c>
      <c r="BR27" s="568">
        <f t="shared" si="62"/>
        <v>0.5077399857677749</v>
      </c>
      <c r="BS27" s="568">
        <f t="shared" si="62"/>
        <v>0.51535608555429147</v>
      </c>
      <c r="BT27" s="568">
        <f t="shared" si="62"/>
        <v>0.52308642683760587</v>
      </c>
      <c r="BU27" s="568">
        <f t="shared" si="62"/>
        <v>0.53093272324016982</v>
      </c>
    </row>
    <row r="28" spans="2:100" ht="15" hidden="1" customHeight="1" outlineLevel="1">
      <c r="B28" s="255" t="s">
        <v>109</v>
      </c>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7"/>
      <c r="BC28" s="257"/>
      <c r="BD28" s="257"/>
      <c r="BE28" s="619">
        <v>0.1003</v>
      </c>
      <c r="BF28" s="619">
        <v>0.1522</v>
      </c>
      <c r="BG28" s="619">
        <v>0.23</v>
      </c>
      <c r="BH28" s="619">
        <v>0.253</v>
      </c>
      <c r="BI28" s="619">
        <f>BH28*1.1</f>
        <v>0.27830000000000005</v>
      </c>
      <c r="BJ28" s="619">
        <f>BI28*1.075</f>
        <v>0.29917250000000006</v>
      </c>
      <c r="BK28" s="619">
        <f>BJ28*1.075</f>
        <v>0.32161043750000007</v>
      </c>
      <c r="BL28" s="619">
        <f>BK28*1.075</f>
        <v>0.34573122031250003</v>
      </c>
      <c r="BM28" s="619">
        <f>BL28*1.05</f>
        <v>0.36301778132812507</v>
      </c>
      <c r="BN28" s="619">
        <f>BM28*1.05</f>
        <v>0.38116867039453134</v>
      </c>
      <c r="BO28" s="619">
        <f>BN28*1.05</f>
        <v>0.40022710391425792</v>
      </c>
      <c r="BP28" s="619">
        <f>BO28*1.05</f>
        <v>0.42023845910997082</v>
      </c>
      <c r="BQ28" s="619">
        <f>BP28*1.025</f>
        <v>0.43074442058772006</v>
      </c>
      <c r="BR28" s="619">
        <f>BQ28*1.025</f>
        <v>0.44151303110241302</v>
      </c>
      <c r="BS28" s="619">
        <f>BR28*1.015</f>
        <v>0.44813572656894918</v>
      </c>
      <c r="BT28" s="619">
        <f>BS28*1.015</f>
        <v>0.45485776246748338</v>
      </c>
      <c r="BU28" s="619">
        <f>BT28*1.015</f>
        <v>0.46168062890449557</v>
      </c>
    </row>
    <row r="29" spans="2:100" ht="15" hidden="1" customHeight="1" outlineLevel="1">
      <c r="B29" s="255" t="s">
        <v>110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7"/>
      <c r="BC29" s="257"/>
      <c r="BD29" s="257"/>
      <c r="BE29" s="568">
        <f>BE28</f>
        <v>0.1003</v>
      </c>
      <c r="BF29" s="568">
        <f>BF28</f>
        <v>0.1522</v>
      </c>
      <c r="BG29" s="568">
        <f>BG28</f>
        <v>0.23</v>
      </c>
      <c r="BH29" s="568">
        <f>BH28*0.9</f>
        <v>0.22770000000000001</v>
      </c>
      <c r="BI29" s="568">
        <f t="shared" ref="BI29:BU29" si="63">BI28*0.8</f>
        <v>0.22264000000000006</v>
      </c>
      <c r="BJ29" s="568">
        <f t="shared" si="63"/>
        <v>0.23933800000000005</v>
      </c>
      <c r="BK29" s="568">
        <f t="shared" si="63"/>
        <v>0.25728835000000005</v>
      </c>
      <c r="BL29" s="568">
        <f t="shared" si="63"/>
        <v>0.27658497625000006</v>
      </c>
      <c r="BM29" s="568">
        <f t="shared" si="63"/>
        <v>0.29041422506250009</v>
      </c>
      <c r="BN29" s="568">
        <f t="shared" si="63"/>
        <v>0.30493493631562507</v>
      </c>
      <c r="BO29" s="568">
        <f t="shared" si="63"/>
        <v>0.32018168313140638</v>
      </c>
      <c r="BP29" s="568">
        <f t="shared" si="63"/>
        <v>0.3361907672879767</v>
      </c>
      <c r="BQ29" s="568">
        <f t="shared" si="63"/>
        <v>0.34459553647017604</v>
      </c>
      <c r="BR29" s="568">
        <f t="shared" si="63"/>
        <v>0.35321042488193044</v>
      </c>
      <c r="BS29" s="568">
        <f t="shared" si="63"/>
        <v>0.35850858125515939</v>
      </c>
      <c r="BT29" s="568">
        <f t="shared" si="63"/>
        <v>0.36388620997398674</v>
      </c>
      <c r="BU29" s="568">
        <f t="shared" si="63"/>
        <v>0.36934450312359646</v>
      </c>
    </row>
    <row r="30" spans="2:100" s="245" customFormat="1" ht="15" customHeight="1" collapsed="1">
      <c r="B30" s="258" t="s">
        <v>24</v>
      </c>
      <c r="BB30" s="259"/>
      <c r="BC30" s="259"/>
      <c r="BD30" s="259"/>
      <c r="BE30" s="569">
        <f t="shared" ref="BE30:BP30" si="64">CHOOSE($BE$3,BE27,BE28,BE29)</f>
        <v>0.1003</v>
      </c>
      <c r="BF30" s="569">
        <f t="shared" si="64"/>
        <v>0.1522</v>
      </c>
      <c r="BG30" s="569">
        <f t="shared" si="64"/>
        <v>0.23</v>
      </c>
      <c r="BH30" s="569">
        <f t="shared" si="64"/>
        <v>0.253</v>
      </c>
      <c r="BI30" s="569">
        <f t="shared" si="64"/>
        <v>0.27830000000000005</v>
      </c>
      <c r="BJ30" s="569">
        <f t="shared" si="64"/>
        <v>0.29917250000000006</v>
      </c>
      <c r="BK30" s="569">
        <f t="shared" si="64"/>
        <v>0.32161043750000007</v>
      </c>
      <c r="BL30" s="569">
        <f t="shared" si="64"/>
        <v>0.34573122031250003</v>
      </c>
      <c r="BM30" s="569">
        <f t="shared" si="64"/>
        <v>0.36301778132812507</v>
      </c>
      <c r="BN30" s="569">
        <f t="shared" si="64"/>
        <v>0.38116867039453134</v>
      </c>
      <c r="BO30" s="569">
        <f t="shared" si="64"/>
        <v>0.40022710391425792</v>
      </c>
      <c r="BP30" s="569">
        <f t="shared" si="64"/>
        <v>0.42023845910997082</v>
      </c>
      <c r="BQ30" s="569">
        <f t="shared" ref="BQ30:BU30" si="65">CHOOSE($BE$3,BQ27,BQ28,BQ29)</f>
        <v>0.43074442058772006</v>
      </c>
      <c r="BR30" s="569">
        <f t="shared" si="65"/>
        <v>0.44151303110241302</v>
      </c>
      <c r="BS30" s="569">
        <f t="shared" si="65"/>
        <v>0.44813572656894918</v>
      </c>
      <c r="BT30" s="569">
        <f t="shared" si="65"/>
        <v>0.45485776246748338</v>
      </c>
      <c r="BU30" s="569">
        <f t="shared" si="65"/>
        <v>0.46168062890449557</v>
      </c>
    </row>
    <row r="31" spans="2:100" ht="15" hidden="1" customHeight="1" outlineLevel="1">
      <c r="B31" s="255" t="s">
        <v>108</v>
      </c>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7"/>
      <c r="BC31" s="257"/>
      <c r="BD31" s="257"/>
      <c r="BE31" s="568">
        <f>BE32</f>
        <v>4.3299999999999998E-2</v>
      </c>
      <c r="BF31" s="568">
        <f>BF32</f>
        <v>0.11</v>
      </c>
      <c r="BG31" s="568">
        <f>BG27*0.75</f>
        <v>0.17250000000000001</v>
      </c>
      <c r="BH31" s="568">
        <f t="shared" ref="BH31:BT31" si="66">BH27*0.75</f>
        <v>0.20872500000000005</v>
      </c>
      <c r="BI31" s="568">
        <f t="shared" si="66"/>
        <v>0.24003375000000002</v>
      </c>
      <c r="BJ31" s="568">
        <f t="shared" si="66"/>
        <v>0.25803628125000005</v>
      </c>
      <c r="BK31" s="568">
        <f t="shared" si="66"/>
        <v>0.27738900234375002</v>
      </c>
      <c r="BL31" s="568">
        <f t="shared" si="66"/>
        <v>0.29819317751953128</v>
      </c>
      <c r="BM31" s="568">
        <f t="shared" si="66"/>
        <v>0.31310283639550784</v>
      </c>
      <c r="BN31" s="568">
        <f t="shared" si="66"/>
        <v>0.3287579782152833</v>
      </c>
      <c r="BO31" s="568">
        <f t="shared" si="66"/>
        <v>0.34519587712604743</v>
      </c>
      <c r="BP31" s="568">
        <f t="shared" si="66"/>
        <v>0.36245567098234982</v>
      </c>
      <c r="BQ31" s="568">
        <f t="shared" si="66"/>
        <v>0.37151706275690854</v>
      </c>
      <c r="BR31" s="568">
        <f t="shared" si="66"/>
        <v>0.38080498932583118</v>
      </c>
      <c r="BS31" s="568">
        <f t="shared" si="66"/>
        <v>0.38651706416571863</v>
      </c>
      <c r="BT31" s="568">
        <f t="shared" si="66"/>
        <v>0.3923148201282044</v>
      </c>
      <c r="BU31" s="568">
        <f>BU27*0.75</f>
        <v>0.39819954243012734</v>
      </c>
    </row>
    <row r="32" spans="2:100" ht="15" hidden="1" customHeight="1" outlineLevel="1">
      <c r="B32" s="255" t="s">
        <v>109</v>
      </c>
      <c r="C32" s="256"/>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7"/>
      <c r="BC32" s="257"/>
      <c r="BD32" s="257"/>
      <c r="BE32" s="619">
        <v>4.3299999999999998E-2</v>
      </c>
      <c r="BF32" s="619">
        <v>0.11</v>
      </c>
      <c r="BG32" s="619">
        <f>BG28*0.75</f>
        <v>0.17250000000000001</v>
      </c>
      <c r="BH32" s="619">
        <v>0.1925</v>
      </c>
      <c r="BI32" s="619">
        <f>BH32*1.15</f>
        <v>0.22137499999999999</v>
      </c>
      <c r="BJ32" s="619">
        <f>BI32*1.15</f>
        <v>0.25458124999999998</v>
      </c>
      <c r="BK32" s="619">
        <f>BJ32*1.15</f>
        <v>0.29276843749999998</v>
      </c>
      <c r="BL32" s="619">
        <f>BK32*1.1</f>
        <v>0.32204528124999998</v>
      </c>
      <c r="BM32" s="619">
        <f>BL32*1.075</f>
        <v>0.34619867734374998</v>
      </c>
      <c r="BN32" s="619">
        <f>BM32*1.075</f>
        <v>0.37216357814453122</v>
      </c>
      <c r="BO32" s="619">
        <f>BN32*1.05</f>
        <v>0.39077175705175782</v>
      </c>
      <c r="BP32" s="619">
        <f t="shared" ref="BP32:BU32" si="67">BO32*1.025</f>
        <v>0.4005410509780517</v>
      </c>
      <c r="BQ32" s="619">
        <f t="shared" si="67"/>
        <v>0.41055457725250294</v>
      </c>
      <c r="BR32" s="619">
        <f t="shared" si="67"/>
        <v>0.42081844168381549</v>
      </c>
      <c r="BS32" s="619">
        <f t="shared" si="67"/>
        <v>0.43133890272591086</v>
      </c>
      <c r="BT32" s="619">
        <f t="shared" si="67"/>
        <v>0.44212237529405857</v>
      </c>
      <c r="BU32" s="619">
        <f t="shared" si="67"/>
        <v>0.45317543467640997</v>
      </c>
    </row>
    <row r="33" spans="2:73" ht="15" hidden="1" customHeight="1" outlineLevel="1">
      <c r="B33" s="255" t="s">
        <v>110</v>
      </c>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7"/>
      <c r="BC33" s="257"/>
      <c r="BD33" s="257"/>
      <c r="BE33" s="568">
        <f>BE32</f>
        <v>4.3299999999999998E-2</v>
      </c>
      <c r="BF33" s="568">
        <f>BF32</f>
        <v>0.11</v>
      </c>
      <c r="BG33" s="568">
        <f>BG29*0.75</f>
        <v>0.17250000000000001</v>
      </c>
      <c r="BH33" s="568">
        <f t="shared" ref="BH33:BT33" si="68">BH29*0.75</f>
        <v>0.17077500000000001</v>
      </c>
      <c r="BI33" s="568">
        <f t="shared" si="68"/>
        <v>0.16698000000000005</v>
      </c>
      <c r="BJ33" s="568">
        <f t="shared" si="68"/>
        <v>0.17950350000000004</v>
      </c>
      <c r="BK33" s="568">
        <f t="shared" si="68"/>
        <v>0.19296626250000004</v>
      </c>
      <c r="BL33" s="568">
        <f t="shared" si="68"/>
        <v>0.20743873218750003</v>
      </c>
      <c r="BM33" s="568">
        <f t="shared" si="68"/>
        <v>0.21781066879687505</v>
      </c>
      <c r="BN33" s="568">
        <f t="shared" si="68"/>
        <v>0.2287012022367188</v>
      </c>
      <c r="BO33" s="568">
        <f t="shared" si="68"/>
        <v>0.24013626234855479</v>
      </c>
      <c r="BP33" s="568">
        <f t="shared" si="68"/>
        <v>0.25214307546598252</v>
      </c>
      <c r="BQ33" s="568">
        <f t="shared" si="68"/>
        <v>0.25844665235263203</v>
      </c>
      <c r="BR33" s="568">
        <f t="shared" si="68"/>
        <v>0.26490781866144786</v>
      </c>
      <c r="BS33" s="568">
        <f t="shared" si="68"/>
        <v>0.26888143594136954</v>
      </c>
      <c r="BT33" s="568">
        <f t="shared" si="68"/>
        <v>0.27291465748049004</v>
      </c>
      <c r="BU33" s="568">
        <f>BU29*0.75</f>
        <v>0.27700837734269734</v>
      </c>
    </row>
    <row r="34" spans="2:73" s="245" customFormat="1" ht="15" customHeight="1" collapsed="1">
      <c r="B34" s="258" t="s">
        <v>25</v>
      </c>
      <c r="BB34" s="259"/>
      <c r="BC34" s="259"/>
      <c r="BD34" s="259"/>
      <c r="BE34" s="569">
        <f t="shared" ref="BE34:BP34" si="69">CHOOSE($BE$3,BE31,BE32,BE33)</f>
        <v>4.3299999999999998E-2</v>
      </c>
      <c r="BF34" s="569">
        <f t="shared" si="69"/>
        <v>0.11</v>
      </c>
      <c r="BG34" s="569">
        <f t="shared" si="69"/>
        <v>0.17250000000000001</v>
      </c>
      <c r="BH34" s="569">
        <f t="shared" si="69"/>
        <v>0.1925</v>
      </c>
      <c r="BI34" s="569">
        <f t="shared" si="69"/>
        <v>0.22137499999999999</v>
      </c>
      <c r="BJ34" s="569">
        <f t="shared" si="69"/>
        <v>0.25458124999999998</v>
      </c>
      <c r="BK34" s="569">
        <f t="shared" si="69"/>
        <v>0.29276843749999998</v>
      </c>
      <c r="BL34" s="569">
        <f t="shared" si="69"/>
        <v>0.32204528124999998</v>
      </c>
      <c r="BM34" s="569">
        <f t="shared" si="69"/>
        <v>0.34619867734374998</v>
      </c>
      <c r="BN34" s="569">
        <f t="shared" si="69"/>
        <v>0.37216357814453122</v>
      </c>
      <c r="BO34" s="569">
        <f t="shared" si="69"/>
        <v>0.39077175705175782</v>
      </c>
      <c r="BP34" s="569">
        <f t="shared" si="69"/>
        <v>0.4005410509780517</v>
      </c>
      <c r="BQ34" s="569">
        <f t="shared" ref="BQ34:BU34" si="70">CHOOSE($BE$3,BQ31,BQ32,BQ33)</f>
        <v>0.41055457725250294</v>
      </c>
      <c r="BR34" s="569">
        <f t="shared" si="70"/>
        <v>0.42081844168381549</v>
      </c>
      <c r="BS34" s="569">
        <f t="shared" si="70"/>
        <v>0.43133890272591086</v>
      </c>
      <c r="BT34" s="569">
        <f t="shared" si="70"/>
        <v>0.44212237529405857</v>
      </c>
      <c r="BU34" s="569">
        <f t="shared" si="70"/>
        <v>0.45317543467640997</v>
      </c>
    </row>
    <row r="35" spans="2:73" ht="15" hidden="1" customHeight="1" outlineLevel="1">
      <c r="B35" s="255" t="s">
        <v>108</v>
      </c>
      <c r="C35" s="256"/>
      <c r="D35" s="256"/>
      <c r="E35" s="256"/>
      <c r="F35" s="256"/>
      <c r="G35" s="256"/>
      <c r="H35" s="256"/>
      <c r="I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7"/>
      <c r="BC35" s="257"/>
      <c r="BD35" s="257"/>
      <c r="BE35" s="568">
        <f>BE36</f>
        <v>1.4999999999999999E-2</v>
      </c>
      <c r="BF35" s="568">
        <f>BF36</f>
        <v>0.06</v>
      </c>
      <c r="BG35" s="568">
        <f>BG36</f>
        <v>0.08</v>
      </c>
      <c r="BH35" s="568">
        <f>BH31*0.6</f>
        <v>0.12523500000000001</v>
      </c>
      <c r="BI35" s="568">
        <f t="shared" ref="BI35:BU35" si="71">BI31*0.6</f>
        <v>0.14402025000000002</v>
      </c>
      <c r="BJ35" s="568">
        <f t="shared" si="71"/>
        <v>0.15482176875000003</v>
      </c>
      <c r="BK35" s="568">
        <f t="shared" si="71"/>
        <v>0.16643340140625001</v>
      </c>
      <c r="BL35" s="568">
        <f t="shared" si="71"/>
        <v>0.17891590651171876</v>
      </c>
      <c r="BM35" s="568">
        <f t="shared" si="71"/>
        <v>0.18786170183730469</v>
      </c>
      <c r="BN35" s="568">
        <f t="shared" si="71"/>
        <v>0.19725478692916998</v>
      </c>
      <c r="BO35" s="568">
        <f t="shared" si="71"/>
        <v>0.20711752627562846</v>
      </c>
      <c r="BP35" s="568">
        <f t="shared" si="71"/>
        <v>0.21747340258940989</v>
      </c>
      <c r="BQ35" s="568">
        <f t="shared" si="71"/>
        <v>0.22291023765414511</v>
      </c>
      <c r="BR35" s="568">
        <f t="shared" si="71"/>
        <v>0.2284829935954987</v>
      </c>
      <c r="BS35" s="568">
        <f t="shared" si="71"/>
        <v>0.23191023849943115</v>
      </c>
      <c r="BT35" s="568">
        <f t="shared" si="71"/>
        <v>0.23538889207692262</v>
      </c>
      <c r="BU35" s="568">
        <f t="shared" si="71"/>
        <v>0.23891972545807638</v>
      </c>
    </row>
    <row r="36" spans="2:73" ht="15" hidden="1" customHeight="1" outlineLevel="1">
      <c r="B36" s="255" t="s">
        <v>109</v>
      </c>
      <c r="C36" s="256"/>
      <c r="D36" s="256"/>
      <c r="E36" s="256"/>
      <c r="F36" s="256"/>
      <c r="G36" s="256"/>
      <c r="H36" s="256"/>
      <c r="I36" s="256"/>
      <c r="J36" s="256"/>
      <c r="K36" s="256"/>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7"/>
      <c r="BC36" s="257"/>
      <c r="BD36" s="257"/>
      <c r="BE36" s="568">
        <v>1.4999999999999999E-2</v>
      </c>
      <c r="BF36" s="568">
        <v>0.06</v>
      </c>
      <c r="BG36" s="568">
        <v>0.08</v>
      </c>
      <c r="BH36" s="619">
        <v>9.7000000000000003E-2</v>
      </c>
      <c r="BI36" s="619">
        <f>BH36*1.15</f>
        <v>0.11155</v>
      </c>
      <c r="BJ36" s="619">
        <f>BI36*1.15</f>
        <v>0.12828249999999999</v>
      </c>
      <c r="BK36" s="619">
        <f>BJ36*1.15</f>
        <v>0.14752487499999997</v>
      </c>
      <c r="BL36" s="619">
        <f>BK36*1.1</f>
        <v>0.16227736249999999</v>
      </c>
      <c r="BM36" s="619">
        <f>BL36*1.075</f>
        <v>0.17444816468749999</v>
      </c>
      <c r="BN36" s="619">
        <f>BM36*1.075</f>
        <v>0.18753177703906249</v>
      </c>
      <c r="BO36" s="619">
        <f>BN36*1.05</f>
        <v>0.19690836589101562</v>
      </c>
      <c r="BP36" s="619">
        <f t="shared" ref="BP36:BU36" si="72">BO36*1.075</f>
        <v>0.21167649333284178</v>
      </c>
      <c r="BQ36" s="619">
        <f t="shared" si="72"/>
        <v>0.22755223033280489</v>
      </c>
      <c r="BR36" s="619">
        <f t="shared" si="72"/>
        <v>0.24461864760776525</v>
      </c>
      <c r="BS36" s="619">
        <f t="shared" si="72"/>
        <v>0.26296504617834765</v>
      </c>
      <c r="BT36" s="619">
        <f t="shared" si="72"/>
        <v>0.28268742464172369</v>
      </c>
      <c r="BU36" s="619">
        <f t="shared" si="72"/>
        <v>0.30388898148985294</v>
      </c>
    </row>
    <row r="37" spans="2:73" ht="15" hidden="1" customHeight="1" outlineLevel="1">
      <c r="B37" s="255" t="s">
        <v>110</v>
      </c>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7"/>
      <c r="BC37" s="257"/>
      <c r="BD37" s="257"/>
      <c r="BE37" s="568">
        <f>BE36</f>
        <v>1.4999999999999999E-2</v>
      </c>
      <c r="BF37" s="568">
        <f>BF36</f>
        <v>0.06</v>
      </c>
      <c r="BG37" s="568">
        <f>BG36</f>
        <v>0.08</v>
      </c>
      <c r="BH37" s="568">
        <f>BH33*0.6</f>
        <v>0.102465</v>
      </c>
      <c r="BI37" s="568">
        <f t="shared" ref="BI37:BU37" si="73">BI33*0.6</f>
        <v>0.10018800000000003</v>
      </c>
      <c r="BJ37" s="568">
        <f t="shared" si="73"/>
        <v>0.10770210000000002</v>
      </c>
      <c r="BK37" s="568">
        <f t="shared" si="73"/>
        <v>0.11577975750000002</v>
      </c>
      <c r="BL37" s="568">
        <f t="shared" si="73"/>
        <v>0.12446323931250002</v>
      </c>
      <c r="BM37" s="568">
        <f t="shared" si="73"/>
        <v>0.13068640127812503</v>
      </c>
      <c r="BN37" s="568">
        <f t="shared" si="73"/>
        <v>0.13722072134203128</v>
      </c>
      <c r="BO37" s="568">
        <f t="shared" si="73"/>
        <v>0.14408175740913287</v>
      </c>
      <c r="BP37" s="568">
        <f t="shared" si="73"/>
        <v>0.15128584527958952</v>
      </c>
      <c r="BQ37" s="568">
        <f t="shared" si="73"/>
        <v>0.1550679914115792</v>
      </c>
      <c r="BR37" s="568">
        <f t="shared" si="73"/>
        <v>0.15894469119686871</v>
      </c>
      <c r="BS37" s="568">
        <f t="shared" si="73"/>
        <v>0.16132886156482171</v>
      </c>
      <c r="BT37" s="568">
        <f t="shared" si="73"/>
        <v>0.16374879448829402</v>
      </c>
      <c r="BU37" s="568">
        <f t="shared" si="73"/>
        <v>0.16620502640561841</v>
      </c>
    </row>
    <row r="38" spans="2:73" s="245" customFormat="1" ht="15" customHeight="1" collapsed="1">
      <c r="B38" s="258" t="s">
        <v>68</v>
      </c>
      <c r="BB38" s="259"/>
      <c r="BC38" s="259"/>
      <c r="BD38" s="259"/>
      <c r="BE38" s="569">
        <f t="shared" ref="BE38:BP38" si="74">CHOOSE($BE$3,BE35,BE36,BE37)</f>
        <v>1.4999999999999999E-2</v>
      </c>
      <c r="BF38" s="569">
        <f t="shared" si="74"/>
        <v>0.06</v>
      </c>
      <c r="BG38" s="569">
        <f t="shared" si="74"/>
        <v>0.08</v>
      </c>
      <c r="BH38" s="569">
        <f t="shared" si="74"/>
        <v>9.7000000000000003E-2</v>
      </c>
      <c r="BI38" s="569">
        <f t="shared" si="74"/>
        <v>0.11155</v>
      </c>
      <c r="BJ38" s="569">
        <f t="shared" si="74"/>
        <v>0.12828249999999999</v>
      </c>
      <c r="BK38" s="569">
        <f t="shared" si="74"/>
        <v>0.14752487499999997</v>
      </c>
      <c r="BL38" s="569">
        <f t="shared" si="74"/>
        <v>0.16227736249999999</v>
      </c>
      <c r="BM38" s="569">
        <f t="shared" si="74"/>
        <v>0.17444816468749999</v>
      </c>
      <c r="BN38" s="569">
        <f t="shared" si="74"/>
        <v>0.18753177703906249</v>
      </c>
      <c r="BO38" s="569">
        <f t="shared" si="74"/>
        <v>0.19690836589101562</v>
      </c>
      <c r="BP38" s="569">
        <f t="shared" si="74"/>
        <v>0.21167649333284178</v>
      </c>
      <c r="BQ38" s="569">
        <f t="shared" ref="BQ38:BU38" si="75">CHOOSE($BE$3,BQ35,BQ36,BQ37)</f>
        <v>0.22755223033280489</v>
      </c>
      <c r="BR38" s="569">
        <f t="shared" si="75"/>
        <v>0.24461864760776525</v>
      </c>
      <c r="BS38" s="569">
        <f t="shared" si="75"/>
        <v>0.26296504617834765</v>
      </c>
      <c r="BT38" s="569">
        <f t="shared" si="75"/>
        <v>0.28268742464172369</v>
      </c>
      <c r="BU38" s="569">
        <f t="shared" si="75"/>
        <v>0.30388898148985294</v>
      </c>
    </row>
    <row r="39" spans="2:73" ht="15" hidden="1" customHeight="1" outlineLevel="1">
      <c r="B39" s="255" t="s">
        <v>108</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7"/>
      <c r="BC39" s="257"/>
      <c r="BD39" s="257"/>
      <c r="BE39" s="568">
        <f>BE40</f>
        <v>4.0000000000000001E-3</v>
      </c>
      <c r="BF39" s="568">
        <f>BF40</f>
        <v>1.362E-2</v>
      </c>
      <c r="BG39" s="568">
        <f>BG40</f>
        <v>1.7500000000000002E-2</v>
      </c>
      <c r="BH39" s="568">
        <f>(BG39/BG35)*BH35</f>
        <v>2.7395156250000007E-2</v>
      </c>
      <c r="BI39" s="568">
        <f t="shared" ref="BI39:BP39" si="76">(BH39/BH35)*BI35</f>
        <v>3.1504429687500009E-2</v>
      </c>
      <c r="BJ39" s="568">
        <f t="shared" si="76"/>
        <v>3.3867261914062509E-2</v>
      </c>
      <c r="BK39" s="568">
        <f t="shared" si="76"/>
        <v>3.6407306557617189E-2</v>
      </c>
      <c r="BL39" s="568">
        <f t="shared" si="76"/>
        <v>3.9137854549438481E-2</v>
      </c>
      <c r="BM39" s="568">
        <f t="shared" si="76"/>
        <v>4.1094747276910398E-2</v>
      </c>
      <c r="BN39" s="568">
        <f t="shared" si="76"/>
        <v>4.3149484640755936E-2</v>
      </c>
      <c r="BO39" s="568">
        <f t="shared" si="76"/>
        <v>4.5306958872793734E-2</v>
      </c>
      <c r="BP39" s="568">
        <f t="shared" si="76"/>
        <v>4.7572306816433423E-2</v>
      </c>
      <c r="BQ39" s="568">
        <f t="shared" ref="BQ39:BQ41" si="77">(BP39/BP35)*BQ35</f>
        <v>4.8761614486844247E-2</v>
      </c>
      <c r="BR39" s="568">
        <f t="shared" ref="BR39:BR41" si="78">(BQ39/BQ35)*BR35</f>
        <v>4.998065484901535E-2</v>
      </c>
      <c r="BS39" s="568">
        <f t="shared" ref="BS39:BS41" si="79">(BR39/BR35)*BS35</f>
        <v>5.0730364671750579E-2</v>
      </c>
      <c r="BT39" s="568">
        <f t="shared" ref="BT39:BT41" si="80">(BS39/BS35)*BT35</f>
        <v>5.1491320141826835E-2</v>
      </c>
      <c r="BU39" s="568">
        <f t="shared" ref="BU39:BU41" si="81">(BT39/BT35)*BU35</f>
        <v>5.2263689943954222E-2</v>
      </c>
    </row>
    <row r="40" spans="2:73" ht="15" hidden="1" customHeight="1" outlineLevel="1">
      <c r="B40" s="255" t="s">
        <v>109</v>
      </c>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7"/>
      <c r="BC40" s="257"/>
      <c r="BD40" s="257"/>
      <c r="BE40" s="568">
        <v>4.0000000000000001E-3</v>
      </c>
      <c r="BF40" s="568">
        <v>1.362E-2</v>
      </c>
      <c r="BG40" s="568">
        <v>1.7500000000000002E-2</v>
      </c>
      <c r="BH40" s="619">
        <f>BG40*1.25</f>
        <v>2.1875000000000002E-2</v>
      </c>
      <c r="BI40" s="619">
        <f>BH40*1.1</f>
        <v>2.4062500000000004E-2</v>
      </c>
      <c r="BJ40" s="619">
        <f>BI40*1.05</f>
        <v>2.5265625000000007E-2</v>
      </c>
      <c r="BK40" s="619">
        <f>BJ40*1.05</f>
        <v>2.6528906250000008E-2</v>
      </c>
      <c r="BL40" s="619">
        <f>BK40*1.05</f>
        <v>2.7855351562500009E-2</v>
      </c>
      <c r="BM40" s="619">
        <f t="shared" ref="BM40:BR40" si="82">BL40*1.025</f>
        <v>2.8551735351562506E-2</v>
      </c>
      <c r="BN40" s="619">
        <f t="shared" si="82"/>
        <v>2.9265528735351567E-2</v>
      </c>
      <c r="BO40" s="619">
        <f t="shared" si="82"/>
        <v>2.9997166953735353E-2</v>
      </c>
      <c r="BP40" s="619">
        <f t="shared" si="82"/>
        <v>3.0747096127578734E-2</v>
      </c>
      <c r="BQ40" s="619">
        <f t="shared" si="82"/>
        <v>3.1515773530768197E-2</v>
      </c>
      <c r="BR40" s="619">
        <f t="shared" si="82"/>
        <v>3.2303667869037399E-2</v>
      </c>
      <c r="BS40" s="619">
        <f>BR40*1.015</f>
        <v>3.2788222887072956E-2</v>
      </c>
      <c r="BT40" s="619">
        <f>BS40*1.015</f>
        <v>3.328004623037905E-2</v>
      </c>
      <c r="BU40" s="619">
        <f>BT40*1.015</f>
        <v>3.377924692383473E-2</v>
      </c>
    </row>
    <row r="41" spans="2:73" ht="15" hidden="1" customHeight="1" outlineLevel="1">
      <c r="B41" s="255" t="s">
        <v>110</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7"/>
      <c r="BC41" s="257"/>
      <c r="BD41" s="257"/>
      <c r="BE41" s="568">
        <f>BE40</f>
        <v>4.0000000000000001E-3</v>
      </c>
      <c r="BF41" s="568">
        <f>BF40</f>
        <v>1.362E-2</v>
      </c>
      <c r="BG41" s="568">
        <f>BG40</f>
        <v>1.7500000000000002E-2</v>
      </c>
      <c r="BH41" s="568">
        <f t="shared" ref="BH41:BP41" si="83">(BG41/BG37)*BH37</f>
        <v>2.2414218750000003E-2</v>
      </c>
      <c r="BI41" s="568">
        <f t="shared" si="83"/>
        <v>2.1916125000000009E-2</v>
      </c>
      <c r="BJ41" s="568">
        <f t="shared" si="83"/>
        <v>2.3559834375000008E-2</v>
      </c>
      <c r="BK41" s="568">
        <f t="shared" si="83"/>
        <v>2.5326821953125009E-2</v>
      </c>
      <c r="BL41" s="568">
        <f t="shared" si="83"/>
        <v>2.7226333599609381E-2</v>
      </c>
      <c r="BM41" s="568">
        <f t="shared" si="83"/>
        <v>2.8587650279589854E-2</v>
      </c>
      <c r="BN41" s="568">
        <f t="shared" si="83"/>
        <v>3.0017032793569348E-2</v>
      </c>
      <c r="BO41" s="568">
        <f t="shared" si="83"/>
        <v>3.1517884433247823E-2</v>
      </c>
      <c r="BP41" s="568">
        <f t="shared" si="83"/>
        <v>3.3093778654910214E-2</v>
      </c>
      <c r="BQ41" s="568">
        <f t="shared" si="77"/>
        <v>3.3921123121282953E-2</v>
      </c>
      <c r="BR41" s="568">
        <f t="shared" si="78"/>
        <v>3.4769151199315035E-2</v>
      </c>
      <c r="BS41" s="568">
        <f t="shared" si="79"/>
        <v>3.5290688467304751E-2</v>
      </c>
      <c r="BT41" s="568">
        <f t="shared" si="80"/>
        <v>3.5820048794314323E-2</v>
      </c>
      <c r="BU41" s="568">
        <f t="shared" si="81"/>
        <v>3.635734952622903E-2</v>
      </c>
    </row>
    <row r="42" spans="2:73" s="245" customFormat="1" ht="15" customHeight="1" collapsed="1">
      <c r="B42" s="258" t="s">
        <v>26</v>
      </c>
      <c r="BB42" s="259"/>
      <c r="BC42" s="259"/>
      <c r="BD42" s="259"/>
      <c r="BE42" s="569">
        <f t="shared" ref="BE42:BP42" si="84">CHOOSE($BE$3,BE39,BE40,BE41)</f>
        <v>4.0000000000000001E-3</v>
      </c>
      <c r="BF42" s="569">
        <f t="shared" si="84"/>
        <v>1.362E-2</v>
      </c>
      <c r="BG42" s="569">
        <f t="shared" si="84"/>
        <v>1.7500000000000002E-2</v>
      </c>
      <c r="BH42" s="569">
        <f t="shared" si="84"/>
        <v>2.1875000000000002E-2</v>
      </c>
      <c r="BI42" s="569">
        <f t="shared" si="84"/>
        <v>2.4062500000000004E-2</v>
      </c>
      <c r="BJ42" s="569">
        <f t="shared" si="84"/>
        <v>2.5265625000000007E-2</v>
      </c>
      <c r="BK42" s="569">
        <f t="shared" si="84"/>
        <v>2.6528906250000008E-2</v>
      </c>
      <c r="BL42" s="569">
        <f t="shared" si="84"/>
        <v>2.7855351562500009E-2</v>
      </c>
      <c r="BM42" s="569">
        <f t="shared" si="84"/>
        <v>2.8551735351562506E-2</v>
      </c>
      <c r="BN42" s="569">
        <f t="shared" si="84"/>
        <v>2.9265528735351567E-2</v>
      </c>
      <c r="BO42" s="569">
        <f t="shared" si="84"/>
        <v>2.9997166953735353E-2</v>
      </c>
      <c r="BP42" s="569">
        <f t="shared" si="84"/>
        <v>3.0747096127578734E-2</v>
      </c>
      <c r="BQ42" s="569">
        <f t="shared" ref="BQ42:BU42" si="85">CHOOSE($BE$3,BQ39,BQ40,BQ41)</f>
        <v>3.1515773530768197E-2</v>
      </c>
      <c r="BR42" s="569">
        <f t="shared" si="85"/>
        <v>3.2303667869037399E-2</v>
      </c>
      <c r="BS42" s="569">
        <f t="shared" si="85"/>
        <v>3.2788222887072956E-2</v>
      </c>
      <c r="BT42" s="569">
        <f t="shared" si="85"/>
        <v>3.328004623037905E-2</v>
      </c>
      <c r="BU42" s="569">
        <f t="shared" si="85"/>
        <v>3.377924692383473E-2</v>
      </c>
    </row>
    <row r="43" spans="2:73" ht="15" customHeight="1">
      <c r="B43" s="254"/>
      <c r="BB43" s="260"/>
      <c r="BC43" s="260"/>
      <c r="BD43" s="260"/>
      <c r="BE43" s="260"/>
      <c r="BF43" s="260"/>
      <c r="BG43" s="260"/>
      <c r="BH43" s="260"/>
      <c r="BI43" s="260"/>
      <c r="BJ43" s="260"/>
      <c r="BK43" s="260"/>
      <c r="BL43" s="260"/>
      <c r="BM43" s="260"/>
      <c r="BN43" s="260"/>
      <c r="BO43" s="260"/>
      <c r="BP43" s="260"/>
      <c r="BQ43" s="260"/>
      <c r="BR43" s="260"/>
      <c r="BS43" s="260"/>
      <c r="BT43" s="260"/>
      <c r="BU43" s="260"/>
    </row>
    <row r="44" spans="2:73" ht="15" customHeight="1">
      <c r="B44" s="261" t="s">
        <v>198</v>
      </c>
      <c r="BB44" s="262">
        <v>0.95</v>
      </c>
      <c r="BC44" s="250">
        <f>BB44</f>
        <v>0.95</v>
      </c>
      <c r="BD44" s="250">
        <f t="shared" ref="BD44:BP44" si="86">BC44</f>
        <v>0.95</v>
      </c>
      <c r="BE44" s="250">
        <f t="shared" si="86"/>
        <v>0.95</v>
      </c>
      <c r="BF44" s="250">
        <f t="shared" si="86"/>
        <v>0.95</v>
      </c>
      <c r="BG44" s="250">
        <f t="shared" si="86"/>
        <v>0.95</v>
      </c>
      <c r="BH44" s="250">
        <f t="shared" si="86"/>
        <v>0.95</v>
      </c>
      <c r="BI44" s="250">
        <f t="shared" si="86"/>
        <v>0.95</v>
      </c>
      <c r="BJ44" s="250">
        <f t="shared" si="86"/>
        <v>0.95</v>
      </c>
      <c r="BK44" s="250">
        <f t="shared" si="86"/>
        <v>0.95</v>
      </c>
      <c r="BL44" s="250">
        <f t="shared" si="86"/>
        <v>0.95</v>
      </c>
      <c r="BM44" s="250">
        <f t="shared" si="86"/>
        <v>0.95</v>
      </c>
      <c r="BN44" s="250">
        <f t="shared" si="86"/>
        <v>0.95</v>
      </c>
      <c r="BO44" s="250">
        <f t="shared" si="86"/>
        <v>0.95</v>
      </c>
      <c r="BP44" s="250">
        <f t="shared" si="86"/>
        <v>0.95</v>
      </c>
      <c r="BQ44" s="250">
        <f t="shared" ref="BQ44" si="87">BP44</f>
        <v>0.95</v>
      </c>
      <c r="BR44" s="250">
        <f t="shared" ref="BR44" si="88">BQ44</f>
        <v>0.95</v>
      </c>
      <c r="BS44" s="250">
        <f t="shared" ref="BS44" si="89">BR44</f>
        <v>0.95</v>
      </c>
      <c r="BT44" s="250">
        <f t="shared" ref="BT44" si="90">BS44</f>
        <v>0.95</v>
      </c>
      <c r="BU44" s="250">
        <f t="shared" ref="BU44" si="91">BT44</f>
        <v>0.95</v>
      </c>
    </row>
    <row r="45" spans="2:73" ht="15" customHeight="1">
      <c r="B45" s="254"/>
      <c r="BB45" s="263"/>
      <c r="BC45" s="263"/>
      <c r="BD45" s="263"/>
      <c r="BE45" s="263"/>
      <c r="BF45" s="263"/>
      <c r="BG45" s="263"/>
      <c r="BH45" s="263"/>
      <c r="BI45" s="263"/>
      <c r="BJ45" s="263"/>
      <c r="BK45" s="263"/>
      <c r="BL45" s="263"/>
      <c r="BM45" s="263"/>
      <c r="BN45" s="263"/>
      <c r="BO45" s="263"/>
      <c r="BP45" s="263"/>
      <c r="BQ45" s="263"/>
      <c r="BR45" s="263"/>
      <c r="BS45" s="263"/>
      <c r="BT45" s="263"/>
      <c r="BU45" s="263"/>
    </row>
    <row r="46" spans="2:73" ht="15" hidden="1" customHeight="1">
      <c r="B46" s="264" t="s">
        <v>169</v>
      </c>
      <c r="C46" s="264"/>
      <c r="D46" s="264"/>
      <c r="E46" s="264"/>
      <c r="F46" s="264"/>
      <c r="G46" s="264"/>
      <c r="H46" s="264"/>
      <c r="I46" s="264"/>
      <c r="J46" s="264"/>
      <c r="K46" s="264"/>
      <c r="L46" s="264"/>
      <c r="M46" s="264"/>
      <c r="N46" s="264"/>
      <c r="O46" s="264"/>
      <c r="P46" s="264"/>
      <c r="Q46" s="264"/>
      <c r="R46" s="264"/>
      <c r="S46" s="264"/>
      <c r="T46" s="264"/>
      <c r="U46" s="264"/>
      <c r="V46" s="264"/>
      <c r="W46" s="264"/>
      <c r="X46" s="264"/>
      <c r="Y46" s="264"/>
      <c r="Z46" s="264"/>
      <c r="AA46" s="264"/>
      <c r="AB46" s="264"/>
      <c r="AC46" s="264"/>
      <c r="AD46" s="264"/>
      <c r="AE46" s="264"/>
      <c r="AF46" s="264"/>
      <c r="AG46" s="264"/>
      <c r="AH46" s="264"/>
      <c r="AI46" s="264"/>
      <c r="AJ46" s="264"/>
      <c r="AK46" s="264"/>
      <c r="AL46" s="264"/>
      <c r="AM46" s="264"/>
      <c r="AN46" s="264"/>
      <c r="AO46" s="264"/>
      <c r="AP46" s="264"/>
      <c r="AQ46" s="264"/>
      <c r="AR46" s="264"/>
      <c r="AS46" s="264"/>
      <c r="AT46" s="264"/>
      <c r="AU46" s="264"/>
      <c r="AV46" s="264"/>
      <c r="AW46" s="264"/>
      <c r="AX46" s="264"/>
      <c r="AY46" s="264"/>
      <c r="AZ46" s="264"/>
      <c r="BA46" s="264"/>
      <c r="BB46" s="263"/>
      <c r="BC46" s="263"/>
      <c r="BD46" s="263"/>
      <c r="BE46" s="263"/>
      <c r="BF46" s="263"/>
      <c r="BG46" s="263"/>
      <c r="BH46" s="263"/>
      <c r="BI46" s="263"/>
      <c r="BJ46" s="263"/>
      <c r="BK46" s="263"/>
      <c r="BL46" s="263"/>
      <c r="BM46" s="263"/>
      <c r="BN46" s="263"/>
      <c r="BO46" s="263"/>
      <c r="BP46" s="263"/>
      <c r="BQ46" s="263"/>
      <c r="BR46" s="263"/>
      <c r="BS46" s="263"/>
      <c r="BT46" s="263"/>
      <c r="BU46" s="263"/>
    </row>
    <row r="47" spans="2:73" ht="15" hidden="1" customHeight="1">
      <c r="B47" s="247" t="s">
        <v>24</v>
      </c>
      <c r="BB47" s="263"/>
      <c r="BC47" s="263"/>
      <c r="BD47" s="263"/>
      <c r="BE47" s="263">
        <f>BE30*BE21</f>
        <v>80.415201519432316</v>
      </c>
      <c r="BF47" s="263">
        <f t="shared" ref="BF47:BP47" si="92">BF30*BF21</f>
        <v>122.63598843084633</v>
      </c>
      <c r="BG47" s="263">
        <f t="shared" si="92"/>
        <v>186.25038584619006</v>
      </c>
      <c r="BH47" s="263">
        <f t="shared" si="92"/>
        <v>205.89980155296305</v>
      </c>
      <c r="BI47" s="263">
        <f t="shared" si="92"/>
        <v>227.62223061680072</v>
      </c>
      <c r="BJ47" s="263">
        <f t="shared" si="92"/>
        <v>245.91736740262598</v>
      </c>
      <c r="BK47" s="263">
        <f t="shared" si="92"/>
        <v>265.68297580761202</v>
      </c>
      <c r="BL47" s="263">
        <f t="shared" si="92"/>
        <v>287.03724498814876</v>
      </c>
      <c r="BM47" s="263">
        <f t="shared" si="92"/>
        <v>302.89605277374403</v>
      </c>
      <c r="BN47" s="263">
        <f t="shared" si="92"/>
        <v>319.63105968949338</v>
      </c>
      <c r="BO47" s="263">
        <f t="shared" si="92"/>
        <v>337.29067573733778</v>
      </c>
      <c r="BP47" s="263">
        <f t="shared" si="92"/>
        <v>355.92598557182572</v>
      </c>
      <c r="BQ47" s="263">
        <f t="shared" ref="BQ47:BU47" si="93">BQ30*BQ21</f>
        <v>366.64825588717696</v>
      </c>
      <c r="BR47" s="263">
        <f t="shared" si="93"/>
        <v>377.69353459577803</v>
      </c>
      <c r="BS47" s="263">
        <f t="shared" si="93"/>
        <v>385.27573230278819</v>
      </c>
      <c r="BT47" s="263">
        <f t="shared" si="93"/>
        <v>393.01014262876657</v>
      </c>
      <c r="BU47" s="263">
        <f t="shared" si="93"/>
        <v>400.89982124203897</v>
      </c>
    </row>
    <row r="48" spans="2:73" ht="15" hidden="1" customHeight="1">
      <c r="B48" s="247" t="s">
        <v>25</v>
      </c>
      <c r="BB48" s="263"/>
      <c r="BC48" s="263"/>
      <c r="BD48" s="263"/>
      <c r="BE48" s="263">
        <f>BE22*BE34</f>
        <v>47.283441589410174</v>
      </c>
      <c r="BF48" s="263">
        <f t="shared" ref="BF48:BP48" si="94">BF22*BF34</f>
        <v>120.35983676639238</v>
      </c>
      <c r="BG48" s="263">
        <f t="shared" si="94"/>
        <v>189.12359987170083</v>
      </c>
      <c r="BH48" s="263">
        <f t="shared" si="94"/>
        <v>211.47307571740882</v>
      </c>
      <c r="BI48" s="263">
        <f t="shared" si="94"/>
        <v>243.68042514917011</v>
      </c>
      <c r="BJ48" s="263">
        <f t="shared" si="94"/>
        <v>280.79295389938875</v>
      </c>
      <c r="BK48" s="263">
        <f t="shared" si="94"/>
        <v>323.55772077826572</v>
      </c>
      <c r="BL48" s="263">
        <f t="shared" si="94"/>
        <v>356.62531984180441</v>
      </c>
      <c r="BM48" s="263">
        <f t="shared" si="94"/>
        <v>384.13896326759965</v>
      </c>
      <c r="BN48" s="263">
        <f t="shared" si="94"/>
        <v>413.77528428369493</v>
      </c>
      <c r="BO48" s="263">
        <f t="shared" si="94"/>
        <v>435.33297659487533</v>
      </c>
      <c r="BP48" s="263">
        <f t="shared" si="94"/>
        <v>447.10873361176664</v>
      </c>
      <c r="BQ48" s="263">
        <f t="shared" ref="BQ48:BU48" si="95">BQ22*BQ34</f>
        <v>459.20302485596483</v>
      </c>
      <c r="BR48" s="263">
        <f t="shared" si="95"/>
        <v>471.6244666783187</v>
      </c>
      <c r="BS48" s="263">
        <f t="shared" si="95"/>
        <v>484.38190850196725</v>
      </c>
      <c r="BT48" s="263">
        <f t="shared" si="95"/>
        <v>497.48443912694546</v>
      </c>
      <c r="BU48" s="263">
        <f t="shared" si="95"/>
        <v>510.94139320532923</v>
      </c>
    </row>
    <row r="49" spans="2:73" ht="15" hidden="1" customHeight="1">
      <c r="B49" s="247" t="s">
        <v>68</v>
      </c>
      <c r="BB49" s="263"/>
      <c r="BC49" s="263"/>
      <c r="BD49" s="263"/>
      <c r="BE49" s="263">
        <f>BE23*BE38</f>
        <v>4.0513161362693069</v>
      </c>
      <c r="BF49" s="263">
        <f t="shared" ref="BF49:BP49" si="96">BF23*BF38</f>
        <v>16.078437048687725</v>
      </c>
      <c r="BG49" s="263">
        <f t="shared" si="96"/>
        <v>21.273289429481121</v>
      </c>
      <c r="BH49" s="263">
        <f t="shared" si="96"/>
        <v>25.599638168784381</v>
      </c>
      <c r="BI49" s="263">
        <f t="shared" si="96"/>
        <v>29.222367469059979</v>
      </c>
      <c r="BJ49" s="263">
        <f t="shared" si="96"/>
        <v>33.362931157851456</v>
      </c>
      <c r="BK49" s="263">
        <f t="shared" si="96"/>
        <v>38.096154726224533</v>
      </c>
      <c r="BL49" s="263">
        <f t="shared" si="96"/>
        <v>41.616155503273319</v>
      </c>
      <c r="BM49" s="263">
        <f t="shared" si="96"/>
        <v>44.435333509274095</v>
      </c>
      <c r="BN49" s="263">
        <f t="shared" si="96"/>
        <v>47.45321704517994</v>
      </c>
      <c r="BO49" s="263">
        <f t="shared" si="96"/>
        <v>49.505705349986499</v>
      </c>
      <c r="BP49" s="263">
        <f t="shared" si="96"/>
        <v>52.885465954549979</v>
      </c>
      <c r="BQ49" s="263">
        <f t="shared" ref="BQ49:BU49" si="97">BQ23*BQ38</f>
        <v>56.505470718197451</v>
      </c>
      <c r="BR49" s="263">
        <f t="shared" si="97"/>
        <v>60.383525133321839</v>
      </c>
      <c r="BS49" s="263">
        <f t="shared" si="97"/>
        <v>64.53880591776489</v>
      </c>
      <c r="BT49" s="263">
        <f t="shared" si="97"/>
        <v>68.991969978762043</v>
      </c>
      <c r="BU49" s="263">
        <f t="shared" si="97"/>
        <v>73.765272236319987</v>
      </c>
    </row>
    <row r="50" spans="2:73" ht="15" hidden="1" customHeight="1">
      <c r="B50" s="247" t="s">
        <v>26</v>
      </c>
      <c r="BB50" s="263"/>
      <c r="BC50" s="263"/>
      <c r="BD50" s="263"/>
      <c r="BE50" s="263">
        <f>BE42*BE24</f>
        <v>53.872818085454405</v>
      </c>
      <c r="BF50" s="263">
        <f t="shared" ref="BF50:BP50" si="98">BF42*BF24</f>
        <v>183.7827338691701</v>
      </c>
      <c r="BG50" s="263">
        <f t="shared" si="98"/>
        <v>236.59092297828212</v>
      </c>
      <c r="BH50" s="263">
        <f t="shared" si="98"/>
        <v>296.3158617278205</v>
      </c>
      <c r="BI50" s="263">
        <f t="shared" si="98"/>
        <v>326.59431287428043</v>
      </c>
      <c r="BJ50" s="263">
        <f t="shared" si="98"/>
        <v>343.61571767099252</v>
      </c>
      <c r="BK50" s="263">
        <f t="shared" si="98"/>
        <v>361.53582815846602</v>
      </c>
      <c r="BL50" s="263">
        <f t="shared" si="98"/>
        <v>380.40255795360639</v>
      </c>
      <c r="BM50" s="263">
        <f t="shared" si="98"/>
        <v>390.73624080781502</v>
      </c>
      <c r="BN50" s="263">
        <f t="shared" si="98"/>
        <v>401.36307918468782</v>
      </c>
      <c r="BO50" s="263">
        <f t="shared" si="98"/>
        <v>412.29156979993678</v>
      </c>
      <c r="BP50" s="263">
        <f t="shared" si="98"/>
        <v>423.53045771441867</v>
      </c>
      <c r="BQ50" s="263">
        <f t="shared" ref="BQ50:BU50" si="99">BQ42*BQ24</f>
        <v>435.08874360552954</v>
      </c>
      <c r="BR50" s="263">
        <f t="shared" si="99"/>
        <v>446.97569125125074</v>
      </c>
      <c r="BS50" s="263">
        <f t="shared" si="99"/>
        <v>454.7208270844373</v>
      </c>
      <c r="BT50" s="263">
        <f t="shared" si="99"/>
        <v>462.61354686730061</v>
      </c>
      <c r="BU50" s="263">
        <f t="shared" si="99"/>
        <v>470.65671189234467</v>
      </c>
    </row>
    <row r="51" spans="2:73" ht="15" hidden="1" customHeight="1">
      <c r="B51" s="254"/>
      <c r="BB51" s="263"/>
      <c r="BC51" s="263"/>
      <c r="BD51" s="263"/>
      <c r="BE51" s="263"/>
      <c r="BF51" s="263"/>
      <c r="BG51" s="263"/>
      <c r="BH51" s="263"/>
      <c r="BI51" s="263"/>
      <c r="BJ51" s="263"/>
      <c r="BK51" s="263"/>
      <c r="BL51" s="263"/>
      <c r="BM51" s="263"/>
      <c r="BN51" s="263"/>
      <c r="BO51" s="263"/>
      <c r="BP51" s="263"/>
      <c r="BQ51" s="263"/>
      <c r="BR51" s="263"/>
      <c r="BS51" s="263"/>
      <c r="BT51" s="263"/>
      <c r="BU51" s="263"/>
    </row>
    <row r="52" spans="2:73" ht="15" hidden="1" customHeight="1">
      <c r="B52" s="245" t="s">
        <v>196</v>
      </c>
      <c r="BB52" s="250"/>
      <c r="BC52" s="250"/>
      <c r="BD52" s="250"/>
      <c r="BE52" s="250"/>
      <c r="BF52" s="250"/>
      <c r="BG52" s="250"/>
      <c r="BH52" s="250"/>
      <c r="BI52" s="250"/>
      <c r="BJ52" s="250"/>
      <c r="BK52" s="250"/>
      <c r="BL52" s="250"/>
      <c r="BM52" s="250"/>
      <c r="BN52" s="250"/>
      <c r="BO52" s="250"/>
      <c r="BP52" s="250"/>
      <c r="BQ52" s="250"/>
      <c r="BR52" s="250"/>
      <c r="BS52" s="250"/>
      <c r="BT52" s="250"/>
      <c r="BU52" s="250"/>
    </row>
    <row r="53" spans="2:73" ht="15" hidden="1" customHeight="1">
      <c r="B53" s="247" t="s">
        <v>24</v>
      </c>
      <c r="BB53" s="265"/>
      <c r="BC53" s="266"/>
      <c r="BD53" s="266"/>
      <c r="BE53" s="265">
        <f>52*(2*30/5)*1068/1000</f>
        <v>666.43200000000002</v>
      </c>
      <c r="BF53" s="266">
        <f>BE53</f>
        <v>666.43200000000002</v>
      </c>
      <c r="BG53" s="266">
        <f>BF53</f>
        <v>666.43200000000002</v>
      </c>
      <c r="BH53" s="265">
        <f>52*(2*30/5)*1089/1000</f>
        <v>679.53599999999994</v>
      </c>
      <c r="BI53" s="266">
        <f>BH53*1.01</f>
        <v>686.3313599999999</v>
      </c>
      <c r="BJ53" s="266">
        <f t="shared" ref="BJ53:BP53" si="100">BI53*1.015</f>
        <v>696.6263303999998</v>
      </c>
      <c r="BK53" s="266">
        <f t="shared" si="100"/>
        <v>707.07572535599968</v>
      </c>
      <c r="BL53" s="266">
        <f t="shared" si="100"/>
        <v>717.68186123633961</v>
      </c>
      <c r="BM53" s="266">
        <f t="shared" si="100"/>
        <v>728.44708915488468</v>
      </c>
      <c r="BN53" s="266">
        <f t="shared" si="100"/>
        <v>739.37379549220793</v>
      </c>
      <c r="BO53" s="266">
        <f t="shared" si="100"/>
        <v>750.46440242459096</v>
      </c>
      <c r="BP53" s="266">
        <f t="shared" si="100"/>
        <v>761.72136846095975</v>
      </c>
      <c r="BQ53" s="266">
        <f t="shared" ref="BQ53" si="101">BP53*1.015</f>
        <v>773.14718898787407</v>
      </c>
      <c r="BR53" s="266">
        <f t="shared" ref="BR53" si="102">BQ53*1.015</f>
        <v>784.74439682269212</v>
      </c>
      <c r="BS53" s="266">
        <f t="shared" ref="BS53" si="103">BR53*1.015</f>
        <v>796.51556277503244</v>
      </c>
      <c r="BT53" s="266">
        <f t="shared" ref="BT53" si="104">BS53*1.015</f>
        <v>808.4632962166578</v>
      </c>
      <c r="BU53" s="266">
        <f t="shared" ref="BU53" si="105">BT53*1.015</f>
        <v>820.59024565990762</v>
      </c>
    </row>
    <row r="54" spans="2:73" ht="15" hidden="1" customHeight="1">
      <c r="B54" s="247" t="s">
        <v>25</v>
      </c>
      <c r="BB54" s="265"/>
      <c r="BC54" s="266"/>
      <c r="BD54" s="266"/>
      <c r="BE54" s="266">
        <f>BE53*0.95</f>
        <v>633.11040000000003</v>
      </c>
      <c r="BF54" s="266">
        <f t="shared" ref="BF54:BP54" si="106">BF53*0.95</f>
        <v>633.11040000000003</v>
      </c>
      <c r="BG54" s="266">
        <f t="shared" si="106"/>
        <v>633.11040000000003</v>
      </c>
      <c r="BH54" s="266">
        <f t="shared" si="106"/>
        <v>645.55919999999992</v>
      </c>
      <c r="BI54" s="266">
        <f t="shared" si="106"/>
        <v>652.01479199999983</v>
      </c>
      <c r="BJ54" s="266">
        <f t="shared" si="106"/>
        <v>661.79501387999983</v>
      </c>
      <c r="BK54" s="266">
        <f t="shared" si="106"/>
        <v>671.72193908819963</v>
      </c>
      <c r="BL54" s="266">
        <f t="shared" si="106"/>
        <v>681.79776817452262</v>
      </c>
      <c r="BM54" s="266">
        <f t="shared" si="106"/>
        <v>692.02473469714039</v>
      </c>
      <c r="BN54" s="266">
        <f t="shared" si="106"/>
        <v>702.40510571759751</v>
      </c>
      <c r="BO54" s="266">
        <f t="shared" si="106"/>
        <v>712.94118230336142</v>
      </c>
      <c r="BP54" s="266">
        <f t="shared" si="106"/>
        <v>723.63530003791175</v>
      </c>
      <c r="BQ54" s="266">
        <f t="shared" ref="BQ54:BU54" si="107">BQ53*0.95</f>
        <v>734.48982953848031</v>
      </c>
      <c r="BR54" s="266">
        <f t="shared" si="107"/>
        <v>745.50717698155745</v>
      </c>
      <c r="BS54" s="266">
        <f t="shared" si="107"/>
        <v>756.68978463628082</v>
      </c>
      <c r="BT54" s="266">
        <f t="shared" si="107"/>
        <v>768.04013140582492</v>
      </c>
      <c r="BU54" s="266">
        <f t="shared" si="107"/>
        <v>779.56073337691225</v>
      </c>
    </row>
    <row r="55" spans="2:73" ht="15" hidden="1" customHeight="1">
      <c r="B55" s="247" t="s">
        <v>68</v>
      </c>
      <c r="BB55" s="265"/>
      <c r="BC55" s="266"/>
      <c r="BD55" s="266"/>
      <c r="BE55" s="266">
        <f>BE54</f>
        <v>633.11040000000003</v>
      </c>
      <c r="BF55" s="266">
        <f t="shared" ref="BF55:BP55" si="108">BF54</f>
        <v>633.11040000000003</v>
      </c>
      <c r="BG55" s="266">
        <f t="shared" si="108"/>
        <v>633.11040000000003</v>
      </c>
      <c r="BH55" s="266">
        <f t="shared" si="108"/>
        <v>645.55919999999992</v>
      </c>
      <c r="BI55" s="266">
        <f t="shared" si="108"/>
        <v>652.01479199999983</v>
      </c>
      <c r="BJ55" s="266">
        <f t="shared" si="108"/>
        <v>661.79501387999983</v>
      </c>
      <c r="BK55" s="266">
        <f t="shared" si="108"/>
        <v>671.72193908819963</v>
      </c>
      <c r="BL55" s="266">
        <f t="shared" si="108"/>
        <v>681.79776817452262</v>
      </c>
      <c r="BM55" s="266">
        <f t="shared" si="108"/>
        <v>692.02473469714039</v>
      </c>
      <c r="BN55" s="266">
        <f t="shared" si="108"/>
        <v>702.40510571759751</v>
      </c>
      <c r="BO55" s="266">
        <f t="shared" si="108"/>
        <v>712.94118230336142</v>
      </c>
      <c r="BP55" s="266">
        <f t="shared" si="108"/>
        <v>723.63530003791175</v>
      </c>
      <c r="BQ55" s="266">
        <f t="shared" ref="BQ55:BU55" si="109">BQ54</f>
        <v>734.48982953848031</v>
      </c>
      <c r="BR55" s="266">
        <f t="shared" si="109"/>
        <v>745.50717698155745</v>
      </c>
      <c r="BS55" s="266">
        <f t="shared" si="109"/>
        <v>756.68978463628082</v>
      </c>
      <c r="BT55" s="266">
        <f t="shared" si="109"/>
        <v>768.04013140582492</v>
      </c>
      <c r="BU55" s="266">
        <f t="shared" si="109"/>
        <v>779.56073337691225</v>
      </c>
    </row>
    <row r="56" spans="2:73" ht="15" hidden="1" customHeight="1">
      <c r="B56" s="247" t="s">
        <v>26</v>
      </c>
      <c r="BB56" s="265"/>
      <c r="BC56" s="266"/>
      <c r="BD56" s="266"/>
      <c r="BE56" s="266">
        <f>BE53*0.75</f>
        <v>499.82400000000001</v>
      </c>
      <c r="BF56" s="266">
        <f>BE56</f>
        <v>499.82400000000001</v>
      </c>
      <c r="BG56" s="266">
        <f t="shared" ref="BG56:BP56" si="110">BF56</f>
        <v>499.82400000000001</v>
      </c>
      <c r="BH56" s="266">
        <f t="shared" si="110"/>
        <v>499.82400000000001</v>
      </c>
      <c r="BI56" s="266">
        <f t="shared" si="110"/>
        <v>499.82400000000001</v>
      </c>
      <c r="BJ56" s="266">
        <f t="shared" si="110"/>
        <v>499.82400000000001</v>
      </c>
      <c r="BK56" s="266">
        <f t="shared" si="110"/>
        <v>499.82400000000001</v>
      </c>
      <c r="BL56" s="266">
        <f t="shared" si="110"/>
        <v>499.82400000000001</v>
      </c>
      <c r="BM56" s="266">
        <f t="shared" si="110"/>
        <v>499.82400000000001</v>
      </c>
      <c r="BN56" s="266">
        <f t="shared" si="110"/>
        <v>499.82400000000001</v>
      </c>
      <c r="BO56" s="266">
        <f t="shared" si="110"/>
        <v>499.82400000000001</v>
      </c>
      <c r="BP56" s="266">
        <f t="shared" si="110"/>
        <v>499.82400000000001</v>
      </c>
      <c r="BQ56" s="266">
        <f t="shared" ref="BQ56" si="111">BP56</f>
        <v>499.82400000000001</v>
      </c>
      <c r="BR56" s="266">
        <f t="shared" ref="BR56" si="112">BQ56</f>
        <v>499.82400000000001</v>
      </c>
      <c r="BS56" s="266">
        <f t="shared" ref="BS56" si="113">BR56</f>
        <v>499.82400000000001</v>
      </c>
      <c r="BT56" s="266">
        <f t="shared" ref="BT56" si="114">BS56</f>
        <v>499.82400000000001</v>
      </c>
      <c r="BU56" s="266">
        <f t="shared" ref="BU56" si="115">BT56</f>
        <v>499.82400000000001</v>
      </c>
    </row>
    <row r="57" spans="2:73" ht="15" customHeight="1">
      <c r="B57" s="247"/>
      <c r="BB57" s="265"/>
      <c r="BC57" s="266"/>
      <c r="BD57" s="266"/>
      <c r="BE57" s="266"/>
      <c r="BF57" s="266"/>
      <c r="BG57" s="266"/>
      <c r="BH57" s="266"/>
      <c r="BI57" s="266"/>
      <c r="BJ57" s="266"/>
      <c r="BK57" s="266"/>
      <c r="BL57" s="266"/>
      <c r="BM57" s="266"/>
      <c r="BN57" s="266"/>
      <c r="BO57" s="266"/>
      <c r="BP57" s="266"/>
      <c r="BQ57" s="266"/>
      <c r="BR57" s="266"/>
      <c r="BS57" s="266"/>
      <c r="BT57" s="266"/>
      <c r="BU57" s="266"/>
    </row>
    <row r="58" spans="2:73" ht="15" customHeight="1">
      <c r="B58" s="567" t="s">
        <v>480</v>
      </c>
      <c r="BB58" s="265"/>
      <c r="BC58" s="266"/>
      <c r="BD58" s="266"/>
      <c r="BE58" s="566">
        <v>0.8</v>
      </c>
      <c r="BF58" s="566">
        <f>BE58</f>
        <v>0.8</v>
      </c>
      <c r="BG58" s="566">
        <f t="shared" ref="BG58:BU59" si="116">BF58</f>
        <v>0.8</v>
      </c>
      <c r="BH58" s="566">
        <f t="shared" si="116"/>
        <v>0.8</v>
      </c>
      <c r="BI58" s="566">
        <f t="shared" si="116"/>
        <v>0.8</v>
      </c>
      <c r="BJ58" s="566">
        <f t="shared" si="116"/>
        <v>0.8</v>
      </c>
      <c r="BK58" s="566">
        <f t="shared" si="116"/>
        <v>0.8</v>
      </c>
      <c r="BL58" s="566">
        <f t="shared" si="116"/>
        <v>0.8</v>
      </c>
      <c r="BM58" s="566">
        <f t="shared" si="116"/>
        <v>0.8</v>
      </c>
      <c r="BN58" s="566">
        <f t="shared" si="116"/>
        <v>0.8</v>
      </c>
      <c r="BO58" s="566">
        <f t="shared" si="116"/>
        <v>0.8</v>
      </c>
      <c r="BP58" s="566">
        <f t="shared" si="116"/>
        <v>0.8</v>
      </c>
      <c r="BQ58" s="566">
        <f t="shared" si="116"/>
        <v>0.8</v>
      </c>
      <c r="BR58" s="566">
        <f t="shared" si="116"/>
        <v>0.8</v>
      </c>
      <c r="BS58" s="566">
        <f t="shared" si="116"/>
        <v>0.8</v>
      </c>
      <c r="BT58" s="566">
        <f t="shared" si="116"/>
        <v>0.8</v>
      </c>
      <c r="BU58" s="566">
        <f t="shared" si="116"/>
        <v>0.8</v>
      </c>
    </row>
    <row r="59" spans="2:73" ht="15" customHeight="1">
      <c r="B59" s="567" t="s">
        <v>113</v>
      </c>
      <c r="BB59" s="265"/>
      <c r="BC59" s="266"/>
      <c r="BD59" s="266"/>
      <c r="BE59" s="566">
        <v>0.9</v>
      </c>
      <c r="BF59" s="566">
        <f>BE59</f>
        <v>0.9</v>
      </c>
      <c r="BG59" s="566">
        <f t="shared" si="116"/>
        <v>0.9</v>
      </c>
      <c r="BH59" s="566">
        <f t="shared" si="116"/>
        <v>0.9</v>
      </c>
      <c r="BI59" s="566">
        <f t="shared" si="116"/>
        <v>0.9</v>
      </c>
      <c r="BJ59" s="566">
        <f t="shared" si="116"/>
        <v>0.9</v>
      </c>
      <c r="BK59" s="566">
        <f t="shared" si="116"/>
        <v>0.9</v>
      </c>
      <c r="BL59" s="566">
        <f t="shared" si="116"/>
        <v>0.9</v>
      </c>
      <c r="BM59" s="566">
        <f t="shared" si="116"/>
        <v>0.9</v>
      </c>
      <c r="BN59" s="566">
        <f t="shared" si="116"/>
        <v>0.9</v>
      </c>
      <c r="BO59" s="566">
        <f t="shared" si="116"/>
        <v>0.9</v>
      </c>
      <c r="BP59" s="566">
        <f t="shared" si="116"/>
        <v>0.9</v>
      </c>
      <c r="BQ59" s="566">
        <f t="shared" si="116"/>
        <v>0.9</v>
      </c>
      <c r="BR59" s="566">
        <f t="shared" si="116"/>
        <v>0.9</v>
      </c>
      <c r="BS59" s="566">
        <f t="shared" si="116"/>
        <v>0.9</v>
      </c>
      <c r="BT59" s="566">
        <f t="shared" si="116"/>
        <v>0.9</v>
      </c>
      <c r="BU59" s="566">
        <f t="shared" si="116"/>
        <v>0.9</v>
      </c>
    </row>
    <row r="60" spans="2:73" ht="15" customHeight="1">
      <c r="B60" s="254"/>
      <c r="BB60" s="266"/>
      <c r="BC60" s="266"/>
      <c r="BD60" s="266"/>
      <c r="BE60" s="266"/>
      <c r="BF60" s="266"/>
      <c r="BG60" s="266"/>
      <c r="BH60" s="266"/>
      <c r="BI60" s="266"/>
      <c r="BJ60" s="266"/>
      <c r="BK60" s="266"/>
      <c r="BL60" s="266"/>
      <c r="BM60" s="266"/>
      <c r="BN60" s="266"/>
      <c r="BO60" s="266"/>
      <c r="BP60" s="266"/>
      <c r="BQ60" s="266"/>
      <c r="BR60" s="266"/>
      <c r="BS60" s="266"/>
      <c r="BT60" s="266"/>
      <c r="BU60" s="266"/>
    </row>
    <row r="61" spans="2:73" ht="15" customHeight="1">
      <c r="B61" s="245" t="s">
        <v>82</v>
      </c>
      <c r="BB61" s="251">
        <v>2011</v>
      </c>
      <c r="BC61" s="251">
        <v>2012</v>
      </c>
      <c r="BD61" s="251">
        <v>2013</v>
      </c>
      <c r="BE61" s="251"/>
      <c r="BF61" s="251"/>
      <c r="BG61" s="251"/>
      <c r="BH61" s="251"/>
      <c r="BI61" s="251"/>
      <c r="BJ61" s="251"/>
      <c r="BK61" s="251"/>
      <c r="BL61" s="251"/>
      <c r="BM61" s="251"/>
      <c r="BN61" s="251"/>
      <c r="BO61" s="251"/>
      <c r="BP61" s="251"/>
      <c r="BQ61" s="251"/>
      <c r="BR61" s="251"/>
      <c r="BS61" s="251"/>
      <c r="BT61" s="251"/>
      <c r="BU61" s="251"/>
    </row>
    <row r="62" spans="2:73" ht="15" customHeight="1">
      <c r="B62" s="247" t="s">
        <v>24</v>
      </c>
      <c r="BB62" s="267"/>
      <c r="BC62" s="267"/>
      <c r="BD62" s="267"/>
      <c r="BE62" s="267">
        <f>BE53*BE47*$BE$44*BE58*BE59/1000</f>
        <v>36.656424288034856</v>
      </c>
      <c r="BF62" s="267">
        <f t="shared" ref="BF62:BU62" si="117">BF53*BF47*$BE$44/1000</f>
        <v>77.642119689848499</v>
      </c>
      <c r="BG62" s="267">
        <f t="shared" si="117"/>
        <v>117.91705628323572</v>
      </c>
      <c r="BH62" s="267">
        <f t="shared" si="117"/>
        <v>132.92051117068957</v>
      </c>
      <c r="BI62" s="267">
        <f t="shared" si="117"/>
        <v>148.41306135018934</v>
      </c>
      <c r="BJ62" s="267">
        <f t="shared" si="117"/>
        <v>162.74688757355386</v>
      </c>
      <c r="BK62" s="267">
        <f t="shared" si="117"/>
        <v>178.46508369221237</v>
      </c>
      <c r="BL62" s="267">
        <f t="shared" si="117"/>
        <v>195.70135301588351</v>
      </c>
      <c r="BM62" s="267">
        <f t="shared" si="117"/>
        <v>209.61156056156122</v>
      </c>
      <c r="BN62" s="267">
        <f t="shared" si="117"/>
        <v>224.51048827182632</v>
      </c>
      <c r="BO62" s="267">
        <f t="shared" si="117"/>
        <v>240.4684131400773</v>
      </c>
      <c r="BP62" s="267">
        <f t="shared" si="117"/>
        <v>257.56060736055753</v>
      </c>
      <c r="BQ62" s="267">
        <f t="shared" si="117"/>
        <v>269.29941496715367</v>
      </c>
      <c r="BR62" s="267">
        <f t="shared" si="117"/>
        <v>281.5732407406847</v>
      </c>
      <c r="BS62" s="267">
        <f t="shared" si="117"/>
        <v>291.53421090178216</v>
      </c>
      <c r="BT62" s="267">
        <f t="shared" si="117"/>
        <v>301.84756158841981</v>
      </c>
      <c r="BU62" s="267">
        <f t="shared" si="117"/>
        <v>312.5257586581169</v>
      </c>
    </row>
    <row r="63" spans="2:73" ht="15" customHeight="1">
      <c r="B63" s="247" t="s">
        <v>25</v>
      </c>
      <c r="BB63" s="267"/>
      <c r="BC63" s="267"/>
      <c r="BD63" s="267"/>
      <c r="BE63" s="267">
        <f>BE54*BE48*$BE$44*BE58*BE59/1000</f>
        <v>20.475976814744911</v>
      </c>
      <c r="BF63" s="267">
        <f t="shared" ref="BF63:BU63" si="118">BF54*BF48*$BE$44/1000</f>
        <v>72.391011179150112</v>
      </c>
      <c r="BG63" s="267">
        <f t="shared" si="118"/>
        <v>113.74931206600183</v>
      </c>
      <c r="BH63" s="267">
        <f t="shared" si="118"/>
        <v>129.69247010258636</v>
      </c>
      <c r="BI63" s="267">
        <f t="shared" si="118"/>
        <v>150.93907963220229</v>
      </c>
      <c r="BJ63" s="267">
        <f t="shared" si="118"/>
        <v>176.5360079820895</v>
      </c>
      <c r="BK63" s="267">
        <f t="shared" si="118"/>
        <v>206.47377862772817</v>
      </c>
      <c r="BL63" s="267">
        <f t="shared" si="118"/>
        <v>230.98902978553417</v>
      </c>
      <c r="BM63" s="267">
        <f t="shared" si="118"/>
        <v>252.54198093499042</v>
      </c>
      <c r="BN63" s="267">
        <f t="shared" si="118"/>
        <v>276.10597868558676</v>
      </c>
      <c r="BO63" s="267">
        <f t="shared" si="118"/>
        <v>294.84846667773235</v>
      </c>
      <c r="BP63" s="267">
        <f t="shared" si="118"/>
        <v>307.36647946688538</v>
      </c>
      <c r="BQ63" s="267">
        <f t="shared" si="118"/>
        <v>320.41595387751153</v>
      </c>
      <c r="BR63" s="267">
        <f t="shared" si="118"/>
        <v>334.01945351134668</v>
      </c>
      <c r="BS63" s="267">
        <f t="shared" si="118"/>
        <v>348.20049992476106</v>
      </c>
      <c r="BT63" s="267">
        <f t="shared" si="118"/>
        <v>362.98361329944169</v>
      </c>
      <c r="BU63" s="267">
        <f t="shared" si="118"/>
        <v>378.3943548397794</v>
      </c>
    </row>
    <row r="64" spans="2:73" ht="15" customHeight="1">
      <c r="B64" s="247" t="s">
        <v>68</v>
      </c>
      <c r="BB64" s="267"/>
      <c r="BC64" s="267"/>
      <c r="BD64" s="267"/>
      <c r="BE64" s="267">
        <f>BE55*BE49*$BE$44*BE58*BE59/1000</f>
        <v>1.7544123796189819</v>
      </c>
      <c r="BF64" s="267">
        <f t="shared" ref="BF64:BU64" si="119">BF55*BF49*$BE$44/1000</f>
        <v>9.6704544257060299</v>
      </c>
      <c r="BG64" s="267">
        <f t="shared" si="119"/>
        <v>12.794923741013836</v>
      </c>
      <c r="BH64" s="267">
        <f t="shared" si="119"/>
        <v>15.69977783970341</v>
      </c>
      <c r="BI64" s="267">
        <f t="shared" si="119"/>
        <v>18.100745054732368</v>
      </c>
      <c r="BJ64" s="267">
        <f t="shared" si="119"/>
        <v>20.975450414253391</v>
      </c>
      <c r="BK64" s="267">
        <f t="shared" si="119"/>
        <v>24.310521778278442</v>
      </c>
      <c r="BL64" s="267">
        <f t="shared" si="119"/>
        <v>26.955111845028846</v>
      </c>
      <c r="BM64" s="267">
        <f t="shared" si="119"/>
        <v>29.212832388787639</v>
      </c>
      <c r="BN64" s="267">
        <f t="shared" si="119"/>
        <v>31.664812838496722</v>
      </c>
      <c r="BO64" s="267">
        <f t="shared" si="119"/>
        <v>33.529923297832163</v>
      </c>
      <c r="BP64" s="267">
        <f t="shared" si="119"/>
        <v>36.356300522482265</v>
      </c>
      <c r="BQ64" s="267">
        <f t="shared" si="119"/>
        <v>39.427558878010409</v>
      </c>
      <c r="BR64" s="267">
        <f t="shared" si="119"/>
        <v>42.765533790420797</v>
      </c>
      <c r="BS64" s="267">
        <f t="shared" si="119"/>
        <v>46.39406239306642</v>
      </c>
      <c r="BT64" s="267">
        <f t="shared" si="119"/>
        <v>50.339171604013366</v>
      </c>
      <c r="BU64" s="267">
        <f t="shared" si="119"/>
        <v>54.629284236178528</v>
      </c>
    </row>
    <row r="65" spans="2:73" ht="15" customHeight="1">
      <c r="B65" s="247" t="s">
        <v>26</v>
      </c>
      <c r="BB65" s="267"/>
      <c r="BC65" s="267"/>
      <c r="BD65" s="267"/>
      <c r="BE65" s="267">
        <f>BE56*BE50*BE44*BE58*BE59/1000</f>
        <v>18.418018359893008</v>
      </c>
      <c r="BF65" s="267">
        <f t="shared" ref="BF65:BU65" si="120">BF56*BF50*BF44/1000</f>
        <v>87.266070114752864</v>
      </c>
      <c r="BG65" s="267">
        <f t="shared" si="120"/>
        <v>112.34113041236203</v>
      </c>
      <c r="BH65" s="267">
        <f t="shared" si="120"/>
        <v>140.70049030863382</v>
      </c>
      <c r="BI65" s="267">
        <f t="shared" si="120"/>
        <v>155.07769204617063</v>
      </c>
      <c r="BJ65" s="267">
        <f t="shared" si="120"/>
        <v>163.16001334572687</v>
      </c>
      <c r="BK65" s="267">
        <f t="shared" si="120"/>
        <v>171.66906958480328</v>
      </c>
      <c r="BL65" s="267">
        <f t="shared" si="120"/>
        <v>180.62761172027319</v>
      </c>
      <c r="BM65" s="267">
        <f t="shared" si="120"/>
        <v>185.53438328424909</v>
      </c>
      <c r="BN65" s="267">
        <f t="shared" si="120"/>
        <v>190.58035470588703</v>
      </c>
      <c r="BO65" s="267">
        <f t="shared" si="120"/>
        <v>195.76956050449942</v>
      </c>
      <c r="BP65" s="267">
        <f t="shared" si="120"/>
        <v>201.10615312181903</v>
      </c>
      <c r="BQ65" s="267">
        <f t="shared" si="120"/>
        <v>206.59440637469569</v>
      </c>
      <c r="BR65" s="267">
        <f t="shared" si="120"/>
        <v>212.23871900876688</v>
      </c>
      <c r="BS65" s="267">
        <f t="shared" si="120"/>
        <v>215.9163635428192</v>
      </c>
      <c r="BT65" s="267">
        <f t="shared" si="120"/>
        <v>219.66408577693159</v>
      </c>
      <c r="BU65" s="267">
        <f t="shared" si="120"/>
        <v>223.4832443466353</v>
      </c>
    </row>
    <row r="66" spans="2:73" s="245" customFormat="1" ht="15" customHeight="1">
      <c r="B66" s="268" t="s">
        <v>72</v>
      </c>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268"/>
      <c r="AI66" s="268"/>
      <c r="AJ66" s="268"/>
      <c r="AK66" s="268"/>
      <c r="AL66" s="268"/>
      <c r="AM66" s="268"/>
      <c r="AN66" s="268"/>
      <c r="AO66" s="268"/>
      <c r="AP66" s="268"/>
      <c r="AQ66" s="268"/>
      <c r="AR66" s="268"/>
      <c r="AS66" s="268"/>
      <c r="AT66" s="268"/>
      <c r="AU66" s="268"/>
      <c r="AV66" s="268"/>
      <c r="AW66" s="268"/>
      <c r="AX66" s="268"/>
      <c r="AY66" s="268"/>
      <c r="AZ66" s="268"/>
      <c r="BA66" s="268"/>
      <c r="BB66" s="269"/>
      <c r="BC66" s="269"/>
      <c r="BD66" s="269"/>
      <c r="BE66" s="269">
        <f>SUM(BE62:BE65)</f>
        <v>77.304831842291762</v>
      </c>
      <c r="BF66" s="269">
        <f t="shared" ref="BF66:BP66" si="121">SUM(BF62:BF65)</f>
        <v>246.96965540945752</v>
      </c>
      <c r="BG66" s="269">
        <f t="shared" si="121"/>
        <v>356.80242250261341</v>
      </c>
      <c r="BH66" s="269">
        <f t="shared" si="121"/>
        <v>419.01324942161318</v>
      </c>
      <c r="BI66" s="269">
        <f t="shared" si="121"/>
        <v>472.53057808329464</v>
      </c>
      <c r="BJ66" s="269">
        <f t="shared" si="121"/>
        <v>523.41835931562355</v>
      </c>
      <c r="BK66" s="269">
        <f t="shared" si="121"/>
        <v>580.91845368302222</v>
      </c>
      <c r="BL66" s="269">
        <f t="shared" si="121"/>
        <v>634.27310636671973</v>
      </c>
      <c r="BM66" s="269">
        <f t="shared" si="121"/>
        <v>676.90075716958836</v>
      </c>
      <c r="BN66" s="269">
        <f t="shared" si="121"/>
        <v>722.86163450179674</v>
      </c>
      <c r="BO66" s="269">
        <f t="shared" si="121"/>
        <v>764.61636362014121</v>
      </c>
      <c r="BP66" s="269">
        <f t="shared" si="121"/>
        <v>802.38954047174423</v>
      </c>
      <c r="BQ66" s="269">
        <f t="shared" ref="BQ66:BU66" si="122">SUM(BQ62:BQ65)</f>
        <v>835.73733409737122</v>
      </c>
      <c r="BR66" s="269">
        <f t="shared" si="122"/>
        <v>870.5969470512191</v>
      </c>
      <c r="BS66" s="269">
        <f t="shared" si="122"/>
        <v>902.04513676242891</v>
      </c>
      <c r="BT66" s="269">
        <f t="shared" si="122"/>
        <v>934.83443226880649</v>
      </c>
      <c r="BU66" s="269">
        <f t="shared" si="122"/>
        <v>969.03264208071005</v>
      </c>
    </row>
    <row r="67" spans="2:73" ht="15" hidden="1" customHeight="1" outlineLevel="1">
      <c r="B67" s="247" t="s">
        <v>481</v>
      </c>
      <c r="BB67" s="265"/>
      <c r="BC67" s="266"/>
      <c r="BD67" s="266"/>
      <c r="BE67" s="267">
        <f>'Rev-Exp'!L10</f>
        <v>77.304831842291762</v>
      </c>
      <c r="BF67" s="267">
        <f>'Rev-Exp'!Q10</f>
        <v>247</v>
      </c>
      <c r="BG67" s="267"/>
      <c r="BH67" s="267"/>
      <c r="BI67" s="267"/>
      <c r="BJ67" s="267"/>
      <c r="BK67" s="267"/>
      <c r="BL67" s="267"/>
      <c r="BM67" s="267"/>
      <c r="BN67" s="267"/>
      <c r="BO67" s="267"/>
      <c r="BP67" s="267"/>
      <c r="BQ67" s="267"/>
      <c r="BR67" s="267"/>
      <c r="BS67" s="267"/>
      <c r="BT67" s="267"/>
      <c r="BU67" s="267"/>
    </row>
    <row r="68" spans="2:73" s="272" customFormat="1" ht="15" customHeight="1" collapsed="1">
      <c r="B68" s="270" t="s">
        <v>74</v>
      </c>
      <c r="C68" s="270"/>
      <c r="D68" s="270"/>
      <c r="E68" s="270"/>
      <c r="F68" s="270"/>
      <c r="G68" s="270"/>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1"/>
      <c r="BC68" s="271"/>
      <c r="BD68" s="271"/>
      <c r="BE68" s="271"/>
      <c r="BF68" s="271">
        <f t="shared" ref="BF68:BP68" si="123">BF66/BE66-1</f>
        <v>2.1947505676397565</v>
      </c>
      <c r="BG68" s="271">
        <f t="shared" si="123"/>
        <v>0.44472170846682046</v>
      </c>
      <c r="BH68" s="271">
        <f t="shared" si="123"/>
        <v>0.17435651496604998</v>
      </c>
      <c r="BI68" s="271">
        <f t="shared" si="123"/>
        <v>0.12772228261410423</v>
      </c>
      <c r="BJ68" s="271">
        <f t="shared" si="123"/>
        <v>0.1076920385528124</v>
      </c>
      <c r="BK68" s="271">
        <f t="shared" si="123"/>
        <v>0.10985494364886406</v>
      </c>
      <c r="BL68" s="271">
        <f t="shared" si="123"/>
        <v>9.1845339643505941E-2</v>
      </c>
      <c r="BM68" s="271">
        <f t="shared" si="123"/>
        <v>6.7207091669156283E-2</v>
      </c>
      <c r="BN68" s="271">
        <f t="shared" si="123"/>
        <v>6.789898939453165E-2</v>
      </c>
      <c r="BO68" s="271">
        <f t="shared" si="123"/>
        <v>5.7763100329874639E-2</v>
      </c>
      <c r="BP68" s="271">
        <f t="shared" si="123"/>
        <v>4.9401475888853241E-2</v>
      </c>
      <c r="BQ68" s="271">
        <f t="shared" ref="BQ68" si="124">BQ66/BP66-1</f>
        <v>4.1560603601613622E-2</v>
      </c>
      <c r="BR68" s="271">
        <f t="shared" ref="BR68" si="125">BR66/BQ66-1</f>
        <v>4.1711207016373875E-2</v>
      </c>
      <c r="BS68" s="271">
        <f t="shared" ref="BS68" si="126">BS66/BR66-1</f>
        <v>3.6122559144880162E-2</v>
      </c>
      <c r="BT68" s="271">
        <f t="shared" ref="BT68" si="127">BT66/BS66-1</f>
        <v>3.6349949875084109E-2</v>
      </c>
      <c r="BU68" s="271">
        <f t="shared" ref="BU68" si="128">BU66/BT66-1</f>
        <v>3.6582103345194295E-2</v>
      </c>
    </row>
    <row r="69" spans="2:73" ht="15" customHeight="1"/>
    <row r="70" spans="2:73" ht="15" customHeight="1"/>
    <row r="71" spans="2:73" ht="15" customHeight="1"/>
    <row r="74" spans="2:73">
      <c r="B74" s="240" t="s">
        <v>535</v>
      </c>
    </row>
    <row r="76" spans="2:73">
      <c r="B76" s="240" t="s">
        <v>33</v>
      </c>
      <c r="BE76" s="627">
        <f>BE66*(1-0.84)</f>
        <v>12.368773094766684</v>
      </c>
      <c r="BF76" s="627">
        <f>'Rev-Exp'!Q120</f>
        <v>36.496000000000009</v>
      </c>
      <c r="BG76" s="627">
        <f>'Rev-Exp'!V120</f>
        <v>58.136561825444289</v>
      </c>
      <c r="BH76" s="627">
        <f>'Rev-Exp'!AA120</f>
        <v>71.232252401674259</v>
      </c>
      <c r="BI76" s="627">
        <f>'Rev-Exp'!AF120</f>
        <v>80.330198274160111</v>
      </c>
      <c r="BJ76" s="627">
        <f>'Rev-Exp'!AG120</f>
        <v>88.981121083656021</v>
      </c>
      <c r="BK76" s="627">
        <f>'Rev-Exp'!AH120</f>
        <v>98.756137126113799</v>
      </c>
      <c r="BL76" s="627">
        <f>'Rev-Exp'!AI120</f>
        <v>107.82642808234237</v>
      </c>
      <c r="BM76" s="627">
        <f>'Rev-Exp'!AJ120</f>
        <v>115.07312871883005</v>
      </c>
      <c r="BN76" s="627">
        <f>'Rev-Exp'!AK120</f>
        <v>122.88647786530548</v>
      </c>
      <c r="BO76" s="627">
        <f>'Rev-Exp'!AL120</f>
        <v>129.98478181542404</v>
      </c>
      <c r="BP76" s="627">
        <f>'Rev-Exp'!AM120</f>
        <v>136.40622188019654</v>
      </c>
      <c r="BQ76" s="627">
        <f>'Rev-Exp'!AN120</f>
        <v>142.07534679655313</v>
      </c>
      <c r="BR76" s="627">
        <f>'Rev-Exp'!AO120</f>
        <v>148.00148099870728</v>
      </c>
      <c r="BS76" s="627">
        <f>'Rev-Exp'!AP120</f>
        <v>153.34767324961294</v>
      </c>
      <c r="BT76" s="627">
        <f>'Rev-Exp'!AQ120</f>
        <v>158.92185348569714</v>
      </c>
      <c r="BU76" s="627">
        <f>'Rev-Exp'!AR120</f>
        <v>164.73554915372074</v>
      </c>
    </row>
    <row r="78" spans="2:73">
      <c r="B78" s="240" t="s">
        <v>536</v>
      </c>
      <c r="BE78" s="240">
        <f>IS!V31+IS!V55</f>
        <v>106.6</v>
      </c>
      <c r="BF78" s="240">
        <f>IS!AA31+IS!AA55</f>
        <v>102.1</v>
      </c>
      <c r="BG78" s="240">
        <f>IS!AF31+IS!AF55</f>
        <v>90.7</v>
      </c>
      <c r="BH78" s="627">
        <f>BG78*1.025</f>
        <v>92.967500000000001</v>
      </c>
      <c r="BI78" s="627">
        <f t="shared" ref="BI78:BU78" si="129">BH78*1.025</f>
        <v>95.291687499999995</v>
      </c>
      <c r="BJ78" s="627">
        <f t="shared" si="129"/>
        <v>97.67397968749998</v>
      </c>
      <c r="BK78" s="627">
        <f t="shared" si="129"/>
        <v>100.11582917968747</v>
      </c>
      <c r="BL78" s="627">
        <f t="shared" si="129"/>
        <v>102.61872490917965</v>
      </c>
      <c r="BM78" s="627">
        <f t="shared" si="129"/>
        <v>105.18419303190913</v>
      </c>
      <c r="BN78" s="627">
        <f t="shared" si="129"/>
        <v>107.81379785770685</v>
      </c>
      <c r="BO78" s="627">
        <f t="shared" si="129"/>
        <v>110.5091428041495</v>
      </c>
      <c r="BP78" s="627">
        <f t="shared" si="129"/>
        <v>113.27187137425324</v>
      </c>
      <c r="BQ78" s="627">
        <f t="shared" si="129"/>
        <v>116.10366815860955</v>
      </c>
      <c r="BR78" s="627">
        <f t="shared" si="129"/>
        <v>119.00625986257478</v>
      </c>
      <c r="BS78" s="627">
        <f t="shared" si="129"/>
        <v>121.98141635913913</v>
      </c>
      <c r="BT78" s="627">
        <f t="shared" si="129"/>
        <v>125.0309517681176</v>
      </c>
      <c r="BU78" s="627">
        <f t="shared" si="129"/>
        <v>128.15672556232053</v>
      </c>
    </row>
    <row r="80" spans="2:73">
      <c r="B80" s="240" t="s">
        <v>37</v>
      </c>
      <c r="BE80" s="627">
        <f>BE66-BE76-BE78</f>
        <v>-41.663941252474913</v>
      </c>
      <c r="BF80" s="627">
        <f>BF66-BF76-BF78</f>
        <v>108.37365540945751</v>
      </c>
      <c r="BG80" s="627">
        <f>BG66-BG76-BG78</f>
        <v>207.96586067716913</v>
      </c>
      <c r="BH80" s="627">
        <f t="shared" ref="BH80:BU80" si="130">BH66-BH76-BH78</f>
        <v>254.81349701993892</v>
      </c>
      <c r="BI80" s="627">
        <f t="shared" si="130"/>
        <v>296.90869230913449</v>
      </c>
      <c r="BJ80" s="627">
        <f t="shared" si="130"/>
        <v>336.76325854446753</v>
      </c>
      <c r="BK80" s="627">
        <f t="shared" si="130"/>
        <v>382.04648737722096</v>
      </c>
      <c r="BL80" s="627">
        <f t="shared" si="130"/>
        <v>423.82795337519775</v>
      </c>
      <c r="BM80" s="627">
        <f t="shared" si="130"/>
        <v>456.64343541884921</v>
      </c>
      <c r="BN80" s="627">
        <f t="shared" si="130"/>
        <v>492.16135877878446</v>
      </c>
      <c r="BO80" s="627">
        <f t="shared" si="130"/>
        <v>524.12243900056762</v>
      </c>
      <c r="BP80" s="627">
        <f t="shared" si="130"/>
        <v>552.71144721729445</v>
      </c>
      <c r="BQ80" s="627">
        <f t="shared" si="130"/>
        <v>577.55831914220846</v>
      </c>
      <c r="BR80" s="627">
        <f t="shared" si="130"/>
        <v>603.58920618993704</v>
      </c>
      <c r="BS80" s="627">
        <f t="shared" si="130"/>
        <v>626.71604715367675</v>
      </c>
      <c r="BT80" s="627">
        <f t="shared" si="130"/>
        <v>650.88162701499175</v>
      </c>
      <c r="BU80" s="627">
        <f t="shared" si="130"/>
        <v>676.1403673646688</v>
      </c>
    </row>
    <row r="81" spans="2:74">
      <c r="B81" s="626" t="s">
        <v>537</v>
      </c>
      <c r="BE81" s="566">
        <f>BE80/BE66</f>
        <v>-0.53895649546813318</v>
      </c>
      <c r="BF81" s="566">
        <f>BF80/BF66</f>
        <v>0.4388136478944426</v>
      </c>
      <c r="BG81" s="566">
        <f>BG80/BG66</f>
        <v>0.58286000195429133</v>
      </c>
      <c r="BH81" s="566">
        <f t="shared" ref="BH81:BU81" si="131">BH80/BH66</f>
        <v>0.60812754100657174</v>
      </c>
      <c r="BI81" s="566">
        <f t="shared" si="131"/>
        <v>0.62833752159166589</v>
      </c>
      <c r="BJ81" s="566">
        <f t="shared" si="131"/>
        <v>0.64339214043769877</v>
      </c>
      <c r="BK81" s="566">
        <f t="shared" si="131"/>
        <v>0.65765940977609982</v>
      </c>
      <c r="BL81" s="566">
        <f t="shared" si="131"/>
        <v>0.66821050604367227</v>
      </c>
      <c r="BM81" s="566">
        <f t="shared" si="131"/>
        <v>0.67460913668980182</v>
      </c>
      <c r="BN81" s="566">
        <f t="shared" si="131"/>
        <v>0.68085140404219524</v>
      </c>
      <c r="BO81" s="566">
        <f t="shared" si="131"/>
        <v>0.68547112504768448</v>
      </c>
      <c r="BP81" s="566">
        <f t="shared" si="131"/>
        <v>0.68883181963257145</v>
      </c>
      <c r="BQ81" s="566">
        <f t="shared" si="131"/>
        <v>0.69107636523859961</v>
      </c>
      <c r="BR81" s="566">
        <f t="shared" si="131"/>
        <v>0.69330498830066145</v>
      </c>
      <c r="BS81" s="566">
        <f t="shared" si="131"/>
        <v>0.69477238068490865</v>
      </c>
      <c r="BT81" s="566">
        <f t="shared" si="131"/>
        <v>0.6962533733757833</v>
      </c>
      <c r="BU81" s="566">
        <f t="shared" si="131"/>
        <v>0.69774777236900709</v>
      </c>
    </row>
    <row r="83" spans="2:74">
      <c r="B83" s="240" t="s">
        <v>40</v>
      </c>
      <c r="BE83" s="250">
        <f>IS!V76</f>
        <v>0</v>
      </c>
      <c r="BF83" s="250">
        <f>IS!AA76</f>
        <v>0</v>
      </c>
      <c r="BG83" s="250">
        <f>IS!AF76</f>
        <v>0</v>
      </c>
      <c r="BH83" s="250">
        <f>IS!AK76</f>
        <v>-1.7531556802243933E-4</v>
      </c>
      <c r="BI83" s="250">
        <f>IS!AP76</f>
        <v>0.20000000000000004</v>
      </c>
      <c r="BJ83" s="250">
        <f>IS!AU76</f>
        <v>0.2</v>
      </c>
      <c r="BK83" s="250">
        <f>IS!AZ76</f>
        <v>0.19999999999999998</v>
      </c>
      <c r="BL83" s="250">
        <f>IS!BE76</f>
        <v>0.2</v>
      </c>
      <c r="BM83" s="250">
        <f>IS!BJ76</f>
        <v>0.2</v>
      </c>
      <c r="BN83" s="250">
        <f>IS!BO76</f>
        <v>0.2</v>
      </c>
      <c r="BO83" s="250">
        <f>IS!BT76</f>
        <v>0.2</v>
      </c>
      <c r="BP83" s="250">
        <f>IS!BY76</f>
        <v>0.2</v>
      </c>
      <c r="BQ83" s="250">
        <f>IS!CD76</f>
        <v>0.2</v>
      </c>
      <c r="BR83" s="250">
        <f>IS!CI76</f>
        <v>0.2</v>
      </c>
      <c r="BS83" s="250">
        <f>IS!CN76</f>
        <v>0.2</v>
      </c>
      <c r="BT83" s="250">
        <f>IS!CS76</f>
        <v>0.20000000000000004</v>
      </c>
      <c r="BU83" s="250">
        <f>IS!CX76</f>
        <v>0.2</v>
      </c>
    </row>
    <row r="84" spans="2:74">
      <c r="B84" s="240" t="s">
        <v>301</v>
      </c>
      <c r="BE84" s="628">
        <f>BE83*BE80</f>
        <v>0</v>
      </c>
      <c r="BF84" s="628">
        <f t="shared" ref="BF84:BU84" si="132">BF83*BF80</f>
        <v>0</v>
      </c>
      <c r="BG84" s="628">
        <f t="shared" si="132"/>
        <v>0</v>
      </c>
      <c r="BH84" s="628">
        <f t="shared" si="132"/>
        <v>-4.4672772969834747E-2</v>
      </c>
      <c r="BI84" s="628">
        <f t="shared" si="132"/>
        <v>59.381738461826913</v>
      </c>
      <c r="BJ84" s="628">
        <f t="shared" si="132"/>
        <v>67.352651708893504</v>
      </c>
      <c r="BK84" s="628">
        <f t="shared" si="132"/>
        <v>76.409297475444191</v>
      </c>
      <c r="BL84" s="628">
        <f t="shared" si="132"/>
        <v>84.765590675039562</v>
      </c>
      <c r="BM84" s="628">
        <f t="shared" si="132"/>
        <v>91.32868708376985</v>
      </c>
      <c r="BN84" s="628">
        <f t="shared" si="132"/>
        <v>98.432271755756901</v>
      </c>
      <c r="BO84" s="628">
        <f t="shared" si="132"/>
        <v>104.82448780011353</v>
      </c>
      <c r="BP84" s="628">
        <f t="shared" si="132"/>
        <v>110.5422894434589</v>
      </c>
      <c r="BQ84" s="628">
        <f t="shared" si="132"/>
        <v>115.5116638284417</v>
      </c>
      <c r="BR84" s="628">
        <f t="shared" si="132"/>
        <v>120.71784123798741</v>
      </c>
      <c r="BS84" s="628">
        <f t="shared" si="132"/>
        <v>125.34320943073536</v>
      </c>
      <c r="BT84" s="628">
        <f t="shared" si="132"/>
        <v>130.17632540299837</v>
      </c>
      <c r="BU84" s="628">
        <f t="shared" si="132"/>
        <v>135.22807347293377</v>
      </c>
    </row>
    <row r="86" spans="2:74">
      <c r="B86" s="240" t="s">
        <v>302</v>
      </c>
      <c r="BE86" s="627">
        <f>BE80-BE84</f>
        <v>-41.663941252474913</v>
      </c>
      <c r="BF86" s="627">
        <f t="shared" ref="BF86:BU86" si="133">BF80-BF84</f>
        <v>108.37365540945751</v>
      </c>
      <c r="BG86" s="627">
        <f t="shared" si="133"/>
        <v>207.96586067716913</v>
      </c>
      <c r="BH86" s="627">
        <f t="shared" si="133"/>
        <v>254.85816979290877</v>
      </c>
      <c r="BI86" s="627">
        <f t="shared" si="133"/>
        <v>237.5269538473076</v>
      </c>
      <c r="BJ86" s="627">
        <f t="shared" si="133"/>
        <v>269.41060683557401</v>
      </c>
      <c r="BK86" s="627">
        <f t="shared" si="133"/>
        <v>305.63718990177676</v>
      </c>
      <c r="BL86" s="627">
        <f t="shared" si="133"/>
        <v>339.06236270015819</v>
      </c>
      <c r="BM86" s="627">
        <f t="shared" si="133"/>
        <v>365.31474833507934</v>
      </c>
      <c r="BN86" s="627">
        <f t="shared" si="133"/>
        <v>393.72908702302755</v>
      </c>
      <c r="BO86" s="627">
        <f t="shared" si="133"/>
        <v>419.29795120045412</v>
      </c>
      <c r="BP86" s="627">
        <f t="shared" si="133"/>
        <v>442.16915777383554</v>
      </c>
      <c r="BQ86" s="627">
        <f t="shared" si="133"/>
        <v>462.04665531376679</v>
      </c>
      <c r="BR86" s="627">
        <f t="shared" si="133"/>
        <v>482.87136495194966</v>
      </c>
      <c r="BS86" s="627">
        <f t="shared" si="133"/>
        <v>501.37283772294143</v>
      </c>
      <c r="BT86" s="627">
        <f t="shared" si="133"/>
        <v>520.70530161199338</v>
      </c>
      <c r="BU86" s="627">
        <f t="shared" si="133"/>
        <v>540.91229389173509</v>
      </c>
      <c r="BV86" s="627">
        <f>BU86*(1+BE92)/(DCF!C24-BE92)</f>
        <v>8979.1440786028033</v>
      </c>
    </row>
    <row r="87" spans="2:74">
      <c r="BE87" s="627"/>
      <c r="BF87" s="627"/>
      <c r="BG87" s="627"/>
      <c r="BH87" s="627">
        <f>DCF!D41</f>
        <v>1.1265250579928898</v>
      </c>
      <c r="BI87" s="627">
        <f>DCF!E41</f>
        <v>1.0241136890844451</v>
      </c>
      <c r="BJ87" s="627">
        <f>DCF!F41</f>
        <v>0.93101244462222288</v>
      </c>
      <c r="BK87" s="627">
        <f>DCF!G41</f>
        <v>0.84637494965656612</v>
      </c>
      <c r="BL87" s="627">
        <f>DCF!H41</f>
        <v>0.76943177241506011</v>
      </c>
      <c r="BM87" s="627">
        <f>DCF!I41</f>
        <v>0.69948342946823638</v>
      </c>
      <c r="BN87" s="627">
        <f>DCF!J41</f>
        <v>0.63589402678930573</v>
      </c>
      <c r="BO87" s="627">
        <f>DCF!K41</f>
        <v>0.57808547889936879</v>
      </c>
      <c r="BP87" s="627">
        <f>DCF!L41</f>
        <v>0.52553225354488076</v>
      </c>
      <c r="BQ87" s="627">
        <f>DCF!M41</f>
        <v>0.47775659413170962</v>
      </c>
      <c r="BR87" s="627">
        <f>DCF!N41</f>
        <v>0.4343241764833724</v>
      </c>
      <c r="BS87" s="627">
        <f>DCF!O41</f>
        <v>0.39484016043942943</v>
      </c>
      <c r="BT87" s="627">
        <f>DCF!P41</f>
        <v>0.35894560039948126</v>
      </c>
      <c r="BU87" s="627">
        <f>DCF!Q41</f>
        <v>0.32631418218134656</v>
      </c>
      <c r="BV87" s="627">
        <f>DCF!R41</f>
        <v>0.29664925652849683</v>
      </c>
    </row>
    <row r="88" spans="2:74" ht="13.5" thickBot="1">
      <c r="BH88" s="627">
        <f>BH87*BH86*0.75</f>
        <v>215.32808587943873</v>
      </c>
      <c r="BI88" s="627">
        <f t="shared" ref="BI88:BV88" si="134">BI87*BI86</f>
        <v>243.25460496155691</v>
      </c>
      <c r="BJ88" s="627">
        <f t="shared" si="134"/>
        <v>250.82462767714432</v>
      </c>
      <c r="BK88" s="627">
        <f t="shared" si="134"/>
        <v>258.68366121629066</v>
      </c>
      <c r="BL88" s="627">
        <f t="shared" si="134"/>
        <v>260.88535469162071</v>
      </c>
      <c r="BM88" s="627">
        <f t="shared" si="134"/>
        <v>255.531613000747</v>
      </c>
      <c r="BN88" s="627">
        <f t="shared" si="134"/>
        <v>250.36997461114996</v>
      </c>
      <c r="BO88" s="627">
        <f t="shared" si="134"/>
        <v>242.39005692123868</v>
      </c>
      <c r="BP88" s="627">
        <f t="shared" si="134"/>
        <v>232.37415393292571</v>
      </c>
      <c r="BQ88" s="627">
        <f t="shared" si="134"/>
        <v>220.7458363726532</v>
      </c>
      <c r="BR88" s="627">
        <f t="shared" si="134"/>
        <v>209.7227079301575</v>
      </c>
      <c r="BS88" s="627">
        <f t="shared" si="134"/>
        <v>197.9621316864982</v>
      </c>
      <c r="BT88" s="627">
        <f t="shared" si="134"/>
        <v>186.90487711830994</v>
      </c>
      <c r="BU88" s="627">
        <f t="shared" si="134"/>
        <v>176.50735281311771</v>
      </c>
      <c r="BV88" s="627">
        <f t="shared" si="134"/>
        <v>2663.6564151797761</v>
      </c>
    </row>
    <row r="89" spans="2:74" ht="13.5" thickBot="1">
      <c r="B89" s="629" t="s">
        <v>538</v>
      </c>
      <c r="C89" s="630"/>
      <c r="D89" s="630"/>
      <c r="E89" s="630"/>
      <c r="F89" s="630"/>
      <c r="G89" s="630"/>
      <c r="H89" s="630"/>
      <c r="I89" s="630"/>
      <c r="J89" s="630"/>
      <c r="K89" s="630"/>
      <c r="L89" s="630"/>
      <c r="M89" s="630"/>
      <c r="N89" s="630"/>
      <c r="O89" s="630"/>
      <c r="P89" s="630"/>
      <c r="Q89" s="630"/>
      <c r="R89" s="630"/>
      <c r="S89" s="630"/>
      <c r="T89" s="630"/>
      <c r="U89" s="630"/>
      <c r="V89" s="630"/>
      <c r="W89" s="630"/>
      <c r="X89" s="630"/>
      <c r="Y89" s="630"/>
      <c r="Z89" s="630"/>
      <c r="AA89" s="630"/>
      <c r="AB89" s="630"/>
      <c r="AC89" s="630"/>
      <c r="AD89" s="630"/>
      <c r="AE89" s="630"/>
      <c r="AF89" s="630"/>
      <c r="AG89" s="630"/>
      <c r="AH89" s="630"/>
      <c r="AI89" s="630"/>
      <c r="AJ89" s="630"/>
      <c r="AK89" s="630"/>
      <c r="AL89" s="630"/>
      <c r="AM89" s="630"/>
      <c r="AN89" s="630"/>
      <c r="AO89" s="630"/>
      <c r="AP89" s="630"/>
      <c r="AQ89" s="630"/>
      <c r="AR89" s="630"/>
      <c r="AS89" s="630"/>
      <c r="AT89" s="630"/>
      <c r="AU89" s="630"/>
      <c r="AV89" s="630"/>
      <c r="AW89" s="630"/>
      <c r="AX89" s="630"/>
      <c r="AY89" s="630"/>
      <c r="AZ89" s="630"/>
      <c r="BA89" s="630"/>
      <c r="BB89" s="630"/>
      <c r="BC89" s="630"/>
      <c r="BD89" s="630"/>
      <c r="BE89" s="631">
        <f>SUM(BH88:BV88)/DCF!C27</f>
        <v>33.201310805910538</v>
      </c>
    </row>
    <row r="92" spans="2:74">
      <c r="B92" s="240" t="s">
        <v>550</v>
      </c>
      <c r="BE92" s="250">
        <v>3.7499999999999999E-2</v>
      </c>
    </row>
  </sheetData>
  <phoneticPr fontId="6" type="noConversion"/>
  <pageMargins left="0" right="0" top="0" bottom="0" header="0" footer="0"/>
  <pageSetup paperSize="5" scale="41"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CB89"/>
  <sheetViews>
    <sheetView zoomScale="85" zoomScaleNormal="85" workbookViewId="0">
      <selection activeCell="AS42" sqref="AS42"/>
    </sheetView>
  </sheetViews>
  <sheetFormatPr defaultRowHeight="13.5" outlineLevelRow="1" outlineLevelCol="1"/>
  <cols>
    <col min="1" max="1" width="9" style="244"/>
    <col min="2" max="2" width="26.75" style="244" customWidth="1"/>
    <col min="3" max="36" width="9" style="244" hidden="1" customWidth="1" outlineLevel="1"/>
    <col min="37" max="37" width="9" style="244" collapsed="1"/>
    <col min="38" max="16384" width="9" style="244"/>
  </cols>
  <sheetData>
    <row r="1" spans="2:80" s="240" customFormat="1" ht="12.75"/>
    <row r="2" spans="2:80" s="240" customFormat="1" thickBot="1"/>
    <row r="3" spans="2:80" s="240" customFormat="1" ht="14.25" thickBot="1">
      <c r="B3" s="242" t="s">
        <v>167</v>
      </c>
      <c r="C3" s="274"/>
      <c r="D3" s="244"/>
      <c r="E3" s="244"/>
      <c r="F3" s="244"/>
      <c r="AK3" s="551">
        <f>DCF!C30</f>
        <v>2</v>
      </c>
    </row>
    <row r="4" spans="2:80" s="240" customFormat="1" ht="15" customHeight="1"/>
    <row r="5" spans="2:80" s="245" customFormat="1" ht="15" customHeight="1">
      <c r="B5" s="220"/>
      <c r="C5" s="220">
        <v>1980</v>
      </c>
      <c r="D5" s="220">
        <v>1981</v>
      </c>
      <c r="E5" s="220">
        <v>1982</v>
      </c>
      <c r="F5" s="220">
        <v>1983</v>
      </c>
      <c r="G5" s="220">
        <v>1984</v>
      </c>
      <c r="H5" s="220">
        <v>1985</v>
      </c>
      <c r="I5" s="220">
        <v>1986</v>
      </c>
      <c r="J5" s="220">
        <v>1987</v>
      </c>
      <c r="K5" s="220">
        <v>1988</v>
      </c>
      <c r="L5" s="220">
        <v>1989</v>
      </c>
      <c r="M5" s="220">
        <v>1990</v>
      </c>
      <c r="N5" s="220">
        <v>1991</v>
      </c>
      <c r="O5" s="220">
        <v>1992</v>
      </c>
      <c r="P5" s="220">
        <v>1993</v>
      </c>
      <c r="Q5" s="220">
        <v>1994</v>
      </c>
      <c r="R5" s="220">
        <v>1995</v>
      </c>
      <c r="S5" s="220">
        <v>1996</v>
      </c>
      <c r="T5" s="220">
        <v>1997</v>
      </c>
      <c r="U5" s="220">
        <v>1998</v>
      </c>
      <c r="V5" s="220">
        <v>1999</v>
      </c>
      <c r="W5" s="220">
        <v>2000</v>
      </c>
      <c r="X5" s="220">
        <v>2001</v>
      </c>
      <c r="Y5" s="220">
        <v>2002</v>
      </c>
      <c r="Z5" s="220">
        <v>2003</v>
      </c>
      <c r="AA5" s="220">
        <v>2004</v>
      </c>
      <c r="AB5" s="220">
        <v>2005</v>
      </c>
      <c r="AC5" s="220">
        <v>2006</v>
      </c>
      <c r="AD5" s="220">
        <v>2007</v>
      </c>
      <c r="AE5" s="220">
        <v>2008</v>
      </c>
      <c r="AF5" s="220">
        <v>2009</v>
      </c>
      <c r="AG5" s="220">
        <v>2010</v>
      </c>
      <c r="AH5" s="220">
        <v>2011</v>
      </c>
      <c r="AI5" s="220">
        <v>2012</v>
      </c>
      <c r="AJ5" s="220">
        <v>2013</v>
      </c>
      <c r="AK5" s="220">
        <v>2014</v>
      </c>
      <c r="AL5" s="220">
        <v>2015</v>
      </c>
      <c r="AM5" s="220">
        <v>2016</v>
      </c>
      <c r="AN5" s="220">
        <v>2017</v>
      </c>
      <c r="AO5" s="220">
        <v>2018</v>
      </c>
      <c r="AP5" s="220">
        <v>2019</v>
      </c>
      <c r="AQ5" s="220">
        <v>2020</v>
      </c>
      <c r="AR5" s="220">
        <v>2021</v>
      </c>
      <c r="AS5" s="220">
        <v>2022</v>
      </c>
      <c r="AT5" s="220">
        <v>2023</v>
      </c>
      <c r="AU5" s="220">
        <v>2024</v>
      </c>
      <c r="AV5" s="220">
        <v>2025</v>
      </c>
      <c r="AW5" s="220">
        <v>2026</v>
      </c>
      <c r="AX5" s="220">
        <v>2027</v>
      </c>
      <c r="AY5" s="220">
        <v>2028</v>
      </c>
      <c r="AZ5" s="220">
        <v>2029</v>
      </c>
      <c r="BA5" s="220">
        <v>2030</v>
      </c>
    </row>
    <row r="6" spans="2:80" s="240" customFormat="1" ht="15" hidden="1" customHeight="1" outlineLevel="1">
      <c r="B6" s="245" t="s">
        <v>197</v>
      </c>
      <c r="D6" s="246"/>
      <c r="E6" s="246"/>
      <c r="F6" s="246"/>
      <c r="G6" s="246"/>
      <c r="H6" s="246"/>
      <c r="I6" s="246"/>
      <c r="J6" s="246"/>
      <c r="K6" s="246"/>
      <c r="L6" s="246"/>
      <c r="M6" s="246"/>
      <c r="N6" s="246"/>
      <c r="O6" s="246"/>
      <c r="P6" s="246"/>
      <c r="Q6" s="246"/>
      <c r="R6" s="246"/>
    </row>
    <row r="7" spans="2:80" s="240" customFormat="1" ht="15" hidden="1" customHeight="1" outlineLevel="1">
      <c r="B7" s="247" t="s">
        <v>24</v>
      </c>
      <c r="C7" s="248">
        <f t="shared" ref="C7:AI7" si="0">D7/1.005</f>
        <v>3366024.9150410374</v>
      </c>
      <c r="D7" s="248">
        <f t="shared" si="0"/>
        <v>3382855.0396162421</v>
      </c>
      <c r="E7" s="248">
        <f t="shared" si="0"/>
        <v>3399769.3148143231</v>
      </c>
      <c r="F7" s="248">
        <f t="shared" si="0"/>
        <v>3416768.1613883944</v>
      </c>
      <c r="G7" s="248">
        <f t="shared" si="0"/>
        <v>3433852.0021953359</v>
      </c>
      <c r="H7" s="248">
        <f t="shared" si="0"/>
        <v>3451021.2622063123</v>
      </c>
      <c r="I7" s="248">
        <f t="shared" si="0"/>
        <v>3468276.3685173434</v>
      </c>
      <c r="J7" s="248">
        <f t="shared" si="0"/>
        <v>3485617.7503599296</v>
      </c>
      <c r="K7" s="248">
        <f t="shared" si="0"/>
        <v>3503045.8391117291</v>
      </c>
      <c r="L7" s="248">
        <f t="shared" si="0"/>
        <v>3520561.0683072875</v>
      </c>
      <c r="M7" s="248">
        <f t="shared" si="0"/>
        <v>3538163.8736488237</v>
      </c>
      <c r="N7" s="248">
        <f t="shared" si="0"/>
        <v>3555854.6930170674</v>
      </c>
      <c r="O7" s="248">
        <f t="shared" si="0"/>
        <v>3573633.9664821522</v>
      </c>
      <c r="P7" s="248">
        <f t="shared" si="0"/>
        <v>3591502.1363145625</v>
      </c>
      <c r="Q7" s="248">
        <f t="shared" si="0"/>
        <v>3609459.6469961349</v>
      </c>
      <c r="R7" s="248">
        <f t="shared" si="0"/>
        <v>3627506.945231115</v>
      </c>
      <c r="S7" s="248">
        <f t="shared" si="0"/>
        <v>3645644.47995727</v>
      </c>
      <c r="T7" s="248">
        <f t="shared" si="0"/>
        <v>3663872.7023570561</v>
      </c>
      <c r="U7" s="248">
        <f t="shared" si="0"/>
        <v>3682192.065868841</v>
      </c>
      <c r="V7" s="248">
        <f t="shared" si="0"/>
        <v>3700603.026198185</v>
      </c>
      <c r="W7" s="248">
        <f t="shared" si="0"/>
        <v>3719106.0413291757</v>
      </c>
      <c r="X7" s="248">
        <f t="shared" si="0"/>
        <v>3737701.5715358211</v>
      </c>
      <c r="Y7" s="248">
        <f t="shared" si="0"/>
        <v>3756390.0793935</v>
      </c>
      <c r="Z7" s="248">
        <f t="shared" si="0"/>
        <v>3775172.0297904671</v>
      </c>
      <c r="AA7" s="248">
        <f t="shared" si="0"/>
        <v>3794047.889939419</v>
      </c>
      <c r="AB7" s="248">
        <f t="shared" si="0"/>
        <v>3813018.1293891156</v>
      </c>
      <c r="AC7" s="248">
        <f t="shared" si="0"/>
        <v>3832083.220036061</v>
      </c>
      <c r="AD7" s="248">
        <f t="shared" si="0"/>
        <v>3851243.6361362408</v>
      </c>
      <c r="AE7" s="248">
        <f t="shared" si="0"/>
        <v>3870499.8543169214</v>
      </c>
      <c r="AF7" s="248">
        <f t="shared" si="0"/>
        <v>3889852.3535885056</v>
      </c>
      <c r="AG7" s="248">
        <f t="shared" si="0"/>
        <v>3909301.6153564476</v>
      </c>
      <c r="AH7" s="248">
        <f t="shared" si="0"/>
        <v>3928848.1234332295</v>
      </c>
      <c r="AI7" s="248">
        <f t="shared" si="0"/>
        <v>3948492.3640503953</v>
      </c>
      <c r="AJ7" s="248">
        <f>AK7/1.005</f>
        <v>3968234.8258706471</v>
      </c>
      <c r="AK7" s="249">
        <f>'Brineura (BMN 190)'!Q7</f>
        <v>3988076</v>
      </c>
      <c r="AL7" s="249">
        <f>AK7*1.005</f>
        <v>4008016.3799999994</v>
      </c>
      <c r="AM7" s="248">
        <f t="shared" ref="AM7:AV7" si="1">AL7*1.005</f>
        <v>4028056.4618999991</v>
      </c>
      <c r="AN7" s="248">
        <f t="shared" si="1"/>
        <v>4048196.7442094986</v>
      </c>
      <c r="AO7" s="248">
        <f t="shared" si="1"/>
        <v>4068437.7279305458</v>
      </c>
      <c r="AP7" s="248">
        <f t="shared" si="1"/>
        <v>4088779.9165701983</v>
      </c>
      <c r="AQ7" s="248">
        <f t="shared" si="1"/>
        <v>4109223.816153049</v>
      </c>
      <c r="AR7" s="248">
        <f t="shared" si="1"/>
        <v>4129769.9352338137</v>
      </c>
      <c r="AS7" s="248">
        <f t="shared" si="1"/>
        <v>4150418.7849099822</v>
      </c>
      <c r="AT7" s="248">
        <f t="shared" si="1"/>
        <v>4171170.8788345316</v>
      </c>
      <c r="AU7" s="248">
        <f t="shared" si="1"/>
        <v>4192026.733228704</v>
      </c>
      <c r="AV7" s="248">
        <f t="shared" si="1"/>
        <v>4212986.8668948468</v>
      </c>
      <c r="AW7" s="248">
        <f t="shared" ref="AW7" si="2">AV7*1.005</f>
        <v>4234051.8012293205</v>
      </c>
      <c r="AX7" s="248">
        <f t="shared" ref="AX7" si="3">AW7*1.005</f>
        <v>4255222.0602354668</v>
      </c>
      <c r="AY7" s="248">
        <f t="shared" ref="AY7" si="4">AX7*1.005</f>
        <v>4276498.1705366438</v>
      </c>
      <c r="AZ7" s="248">
        <f t="shared" ref="AZ7" si="5">AY7*1.005</f>
        <v>4297880.6613893267</v>
      </c>
      <c r="BA7" s="248">
        <f t="shared" ref="BA7" si="6">AZ7*1.005</f>
        <v>4319370.0646962728</v>
      </c>
    </row>
    <row r="8" spans="2:80" s="240" customFormat="1" ht="15" hidden="1" customHeight="1" outlineLevel="1">
      <c r="B8" s="247" t="s">
        <v>25</v>
      </c>
      <c r="C8" s="248">
        <f t="shared" ref="C8:AJ8" si="7">D8/1.002</f>
        <v>4746216.3245501984</v>
      </c>
      <c r="D8" s="248">
        <f t="shared" si="7"/>
        <v>4755708.7571992986</v>
      </c>
      <c r="E8" s="248">
        <f t="shared" si="7"/>
        <v>4765220.1747136973</v>
      </c>
      <c r="F8" s="248">
        <f t="shared" si="7"/>
        <v>4774750.6150631243</v>
      </c>
      <c r="G8" s="248">
        <f t="shared" si="7"/>
        <v>4784300.1162932506</v>
      </c>
      <c r="H8" s="248">
        <f t="shared" si="7"/>
        <v>4793868.7165258368</v>
      </c>
      <c r="I8" s="248">
        <f t="shared" si="7"/>
        <v>4803456.4539588885</v>
      </c>
      <c r="J8" s="248">
        <f t="shared" si="7"/>
        <v>4813063.3668668065</v>
      </c>
      <c r="K8" s="248">
        <f t="shared" si="7"/>
        <v>4822689.4936005399</v>
      </c>
      <c r="L8" s="248">
        <f t="shared" si="7"/>
        <v>4832334.8725877414</v>
      </c>
      <c r="M8" s="248">
        <f t="shared" si="7"/>
        <v>4841999.5423329165</v>
      </c>
      <c r="N8" s="248">
        <f t="shared" si="7"/>
        <v>4851683.541417582</v>
      </c>
      <c r="O8" s="248">
        <f t="shared" si="7"/>
        <v>4861386.9085004171</v>
      </c>
      <c r="P8" s="248">
        <f t="shared" si="7"/>
        <v>4871109.682317418</v>
      </c>
      <c r="Q8" s="248">
        <f t="shared" si="7"/>
        <v>4880851.9016820528</v>
      </c>
      <c r="R8" s="248">
        <f t="shared" si="7"/>
        <v>4890613.6054854169</v>
      </c>
      <c r="S8" s="248">
        <f t="shared" si="7"/>
        <v>4900394.8326963875</v>
      </c>
      <c r="T8" s="248">
        <f t="shared" si="7"/>
        <v>4910195.6223617801</v>
      </c>
      <c r="U8" s="248">
        <f t="shared" si="7"/>
        <v>4920016.0136065036</v>
      </c>
      <c r="V8" s="248">
        <f t="shared" si="7"/>
        <v>4929856.0456337165</v>
      </c>
      <c r="W8" s="248">
        <f t="shared" si="7"/>
        <v>4939715.7577249836</v>
      </c>
      <c r="X8" s="248">
        <f t="shared" si="7"/>
        <v>4949595.1892404333</v>
      </c>
      <c r="Y8" s="248">
        <f t="shared" si="7"/>
        <v>4959494.3796189139</v>
      </c>
      <c r="Z8" s="248">
        <f t="shared" si="7"/>
        <v>4969413.3683781521</v>
      </c>
      <c r="AA8" s="248">
        <f t="shared" si="7"/>
        <v>4979352.1951149087</v>
      </c>
      <c r="AB8" s="248">
        <f t="shared" si="7"/>
        <v>4989310.8995051384</v>
      </c>
      <c r="AC8" s="248">
        <f t="shared" si="7"/>
        <v>4999289.5213041482</v>
      </c>
      <c r="AD8" s="248">
        <f t="shared" si="7"/>
        <v>5009288.1003467562</v>
      </c>
      <c r="AE8" s="248">
        <f t="shared" si="7"/>
        <v>5019306.67654745</v>
      </c>
      <c r="AF8" s="248">
        <f t="shared" si="7"/>
        <v>5029345.289900545</v>
      </c>
      <c r="AG8" s="248">
        <f t="shared" si="7"/>
        <v>5039403.9804803459</v>
      </c>
      <c r="AH8" s="248">
        <f t="shared" si="7"/>
        <v>5049482.7884413069</v>
      </c>
      <c r="AI8" s="248">
        <f t="shared" si="7"/>
        <v>5059581.7540181894</v>
      </c>
      <c r="AJ8" s="248">
        <f t="shared" si="7"/>
        <v>5069700.9175262256</v>
      </c>
      <c r="AK8" s="249">
        <f>AL8/1.002</f>
        <v>5079840.3193612779</v>
      </c>
      <c r="AL8" s="249">
        <v>5090000</v>
      </c>
      <c r="AM8" s="248">
        <f>AL8*1.002</f>
        <v>5100180</v>
      </c>
      <c r="AN8" s="248">
        <f t="shared" ref="AN8:AV8" si="8">AM8*1.002</f>
        <v>5110380.3600000003</v>
      </c>
      <c r="AO8" s="248">
        <f t="shared" si="8"/>
        <v>5120601.12072</v>
      </c>
      <c r="AP8" s="248">
        <f t="shared" si="8"/>
        <v>5130842.3229614403</v>
      </c>
      <c r="AQ8" s="248">
        <f t="shared" si="8"/>
        <v>5141104.0076073632</v>
      </c>
      <c r="AR8" s="248">
        <f t="shared" si="8"/>
        <v>5151386.2156225778</v>
      </c>
      <c r="AS8" s="248">
        <f t="shared" si="8"/>
        <v>5161688.9880538229</v>
      </c>
      <c r="AT8" s="248">
        <f t="shared" si="8"/>
        <v>5172012.3660299303</v>
      </c>
      <c r="AU8" s="248">
        <f t="shared" si="8"/>
        <v>5182356.3907619901</v>
      </c>
      <c r="AV8" s="248">
        <f t="shared" si="8"/>
        <v>5192721.1035435144</v>
      </c>
      <c r="AW8" s="248">
        <f t="shared" ref="AW8" si="9">AV8*1.002</f>
        <v>5203106.5457506012</v>
      </c>
      <c r="AX8" s="248">
        <f t="shared" ref="AX8" si="10">AW8*1.002</f>
        <v>5213512.7588421023</v>
      </c>
      <c r="AY8" s="248">
        <f t="shared" ref="AY8" si="11">AX8*1.002</f>
        <v>5223939.7843597867</v>
      </c>
      <c r="AZ8" s="248">
        <f t="shared" ref="AZ8" si="12">AY8*1.002</f>
        <v>5234387.663928506</v>
      </c>
      <c r="BA8" s="248">
        <f t="shared" ref="BA8" si="13">AZ8*1.002</f>
        <v>5244856.4392563626</v>
      </c>
    </row>
    <row r="9" spans="2:80" s="240" customFormat="1" ht="15" hidden="1" customHeight="1" outlineLevel="1">
      <c r="B9" s="247" t="s">
        <v>68</v>
      </c>
      <c r="C9" s="249">
        <f t="shared" ref="C9:AH9" si="14">D9*1.008</f>
        <v>1303362.6791994742</v>
      </c>
      <c r="D9" s="249">
        <f t="shared" si="14"/>
        <v>1293018.5309518592</v>
      </c>
      <c r="E9" s="249">
        <f t="shared" si="14"/>
        <v>1282756.4791189078</v>
      </c>
      <c r="F9" s="249">
        <f t="shared" si="14"/>
        <v>1272575.8721417736</v>
      </c>
      <c r="G9" s="249">
        <f t="shared" si="14"/>
        <v>1262476.0636327118</v>
      </c>
      <c r="H9" s="249">
        <f t="shared" si="14"/>
        <v>1252456.4123340393</v>
      </c>
      <c r="I9" s="249">
        <f t="shared" si="14"/>
        <v>1242516.28207742</v>
      </c>
      <c r="J9" s="249">
        <f t="shared" si="14"/>
        <v>1232655.0417434722</v>
      </c>
      <c r="K9" s="249">
        <f t="shared" si="14"/>
        <v>1222872.0652216987</v>
      </c>
      <c r="L9" s="249">
        <f t="shared" si="14"/>
        <v>1213166.7313707329</v>
      </c>
      <c r="M9" s="249">
        <f t="shared" si="14"/>
        <v>1203538.4239789017</v>
      </c>
      <c r="N9" s="249">
        <f t="shared" si="14"/>
        <v>1193986.5317251009</v>
      </c>
      <c r="O9" s="249">
        <f t="shared" si="14"/>
        <v>1184510.4481399811</v>
      </c>
      <c r="P9" s="249">
        <f t="shared" si="14"/>
        <v>1175109.5715674416</v>
      </c>
      <c r="Q9" s="249">
        <f t="shared" si="14"/>
        <v>1165783.3051264302</v>
      </c>
      <c r="R9" s="249">
        <f t="shared" si="14"/>
        <v>1156531.056673046</v>
      </c>
      <c r="S9" s="249">
        <f t="shared" si="14"/>
        <v>1147352.2387629424</v>
      </c>
      <c r="T9" s="249">
        <f t="shared" si="14"/>
        <v>1138246.2686140302</v>
      </c>
      <c r="U9" s="249">
        <f t="shared" si="14"/>
        <v>1129212.5680694743</v>
      </c>
      <c r="V9" s="249">
        <f t="shared" si="14"/>
        <v>1120250.5635609864</v>
      </c>
      <c r="W9" s="249">
        <f t="shared" si="14"/>
        <v>1111359.6860724071</v>
      </c>
      <c r="X9" s="249">
        <f t="shared" si="14"/>
        <v>1102539.3711035785</v>
      </c>
      <c r="Y9" s="249">
        <f t="shared" si="14"/>
        <v>1093789.0586345023</v>
      </c>
      <c r="Z9" s="249">
        <f t="shared" si="14"/>
        <v>1085108.1930897841</v>
      </c>
      <c r="AA9" s="249">
        <f t="shared" si="14"/>
        <v>1076496.2233033574</v>
      </c>
      <c r="AB9" s="249">
        <f t="shared" si="14"/>
        <v>1067952.6024834896</v>
      </c>
      <c r="AC9" s="249">
        <f t="shared" si="14"/>
        <v>1059476.7881780651</v>
      </c>
      <c r="AD9" s="249">
        <f t="shared" si="14"/>
        <v>1051068.2422401439</v>
      </c>
      <c r="AE9" s="249">
        <f t="shared" si="14"/>
        <v>1042726.4307937936</v>
      </c>
      <c r="AF9" s="249">
        <f t="shared" si="14"/>
        <v>1034450.8242001921</v>
      </c>
      <c r="AG9" s="249">
        <f t="shared" si="14"/>
        <v>1026240.8970240001</v>
      </c>
      <c r="AH9" s="249">
        <f t="shared" si="14"/>
        <v>1018096.128</v>
      </c>
      <c r="AI9" s="249">
        <f>AJ9*1.008</f>
        <v>1010016</v>
      </c>
      <c r="AJ9" s="248">
        <f>AK9*1.002</f>
        <v>1002000</v>
      </c>
      <c r="AK9" s="249">
        <v>1000000</v>
      </c>
      <c r="AL9" s="249">
        <f>AK9*0.9999</f>
        <v>999900</v>
      </c>
      <c r="AM9" s="248">
        <f t="shared" ref="AM9:AV9" si="15">AL9*0.9999</f>
        <v>999800.01</v>
      </c>
      <c r="AN9" s="248">
        <f t="shared" si="15"/>
        <v>999700.02999900002</v>
      </c>
      <c r="AO9" s="248">
        <f t="shared" si="15"/>
        <v>999600.05999600014</v>
      </c>
      <c r="AP9" s="248">
        <f t="shared" si="15"/>
        <v>999500.0999900006</v>
      </c>
      <c r="AQ9" s="248">
        <f t="shared" si="15"/>
        <v>999400.14998000162</v>
      </c>
      <c r="AR9" s="248">
        <f t="shared" si="15"/>
        <v>999300.20996500365</v>
      </c>
      <c r="AS9" s="248">
        <f t="shared" si="15"/>
        <v>999200.27994400717</v>
      </c>
      <c r="AT9" s="248">
        <f t="shared" si="15"/>
        <v>999100.35991601273</v>
      </c>
      <c r="AU9" s="248">
        <f t="shared" si="15"/>
        <v>999000.44988002116</v>
      </c>
      <c r="AV9" s="248">
        <f t="shared" si="15"/>
        <v>998900.54983503313</v>
      </c>
      <c r="AW9" s="248">
        <f t="shared" ref="AW9" si="16">AV9*0.9999</f>
        <v>998800.6597800497</v>
      </c>
      <c r="AX9" s="248">
        <f t="shared" ref="AX9" si="17">AW9*0.9999</f>
        <v>998700.77971407166</v>
      </c>
      <c r="AY9" s="248">
        <f t="shared" ref="AY9" si="18">AX9*0.9999</f>
        <v>998600.90963610029</v>
      </c>
      <c r="AZ9" s="248">
        <f t="shared" ref="AZ9" si="19">AY9*0.9999</f>
        <v>998501.04954513675</v>
      </c>
      <c r="BA9" s="248">
        <f t="shared" ref="BA9" si="20">AZ9*0.9999</f>
        <v>998401.19944018219</v>
      </c>
    </row>
    <row r="10" spans="2:80" hidden="1" outlineLevel="1"/>
    <row r="11" spans="2:80" s="240" customFormat="1" ht="15" hidden="1" customHeight="1" outlineLevel="1">
      <c r="B11" s="245" t="s">
        <v>69</v>
      </c>
      <c r="D11" s="229"/>
      <c r="E11" s="229"/>
      <c r="F11" s="229"/>
      <c r="G11" s="229"/>
      <c r="H11" s="229"/>
      <c r="I11" s="229"/>
      <c r="J11" s="229"/>
      <c r="K11" s="229"/>
      <c r="L11" s="229"/>
      <c r="M11" s="229"/>
      <c r="N11" s="229"/>
      <c r="O11" s="229"/>
      <c r="P11" s="229"/>
      <c r="Q11" s="229"/>
      <c r="R11" s="229"/>
    </row>
    <row r="12" spans="2:80" s="240" customFormat="1" ht="15" hidden="1" customHeight="1" outlineLevel="1">
      <c r="B12" s="247" t="s">
        <v>24</v>
      </c>
      <c r="C12" s="252">
        <f>1/215000</f>
        <v>4.6511627906976743E-6</v>
      </c>
      <c r="D12" s="241">
        <f>C12</f>
        <v>4.6511627906976743E-6</v>
      </c>
      <c r="E12" s="241">
        <f t="shared" ref="E12:AV14" si="21">D12</f>
        <v>4.6511627906976743E-6</v>
      </c>
      <c r="F12" s="241">
        <f t="shared" si="21"/>
        <v>4.6511627906976743E-6</v>
      </c>
      <c r="G12" s="241">
        <f t="shared" si="21"/>
        <v>4.6511627906976743E-6</v>
      </c>
      <c r="H12" s="241">
        <f t="shared" si="21"/>
        <v>4.6511627906976743E-6</v>
      </c>
      <c r="I12" s="241">
        <f t="shared" si="21"/>
        <v>4.6511627906976743E-6</v>
      </c>
      <c r="J12" s="241">
        <f t="shared" si="21"/>
        <v>4.6511627906976743E-6</v>
      </c>
      <c r="K12" s="241">
        <f t="shared" si="21"/>
        <v>4.6511627906976743E-6</v>
      </c>
      <c r="L12" s="241">
        <f t="shared" si="21"/>
        <v>4.6511627906976743E-6</v>
      </c>
      <c r="M12" s="241">
        <f t="shared" si="21"/>
        <v>4.6511627906976743E-6</v>
      </c>
      <c r="N12" s="241">
        <f t="shared" si="21"/>
        <v>4.6511627906976743E-6</v>
      </c>
      <c r="O12" s="241">
        <f t="shared" si="21"/>
        <v>4.6511627906976743E-6</v>
      </c>
      <c r="P12" s="241">
        <f t="shared" si="21"/>
        <v>4.6511627906976743E-6</v>
      </c>
      <c r="Q12" s="241">
        <f t="shared" si="21"/>
        <v>4.6511627906976743E-6</v>
      </c>
      <c r="R12" s="241">
        <f t="shared" si="21"/>
        <v>4.6511627906976743E-6</v>
      </c>
      <c r="S12" s="241">
        <f t="shared" si="21"/>
        <v>4.6511627906976743E-6</v>
      </c>
      <c r="T12" s="241">
        <f t="shared" si="21"/>
        <v>4.6511627906976743E-6</v>
      </c>
      <c r="U12" s="241">
        <f t="shared" si="21"/>
        <v>4.6511627906976743E-6</v>
      </c>
      <c r="V12" s="241">
        <f t="shared" si="21"/>
        <v>4.6511627906976743E-6</v>
      </c>
      <c r="W12" s="241">
        <f t="shared" si="21"/>
        <v>4.6511627906976743E-6</v>
      </c>
      <c r="X12" s="241">
        <f t="shared" si="21"/>
        <v>4.6511627906976743E-6</v>
      </c>
      <c r="Y12" s="241">
        <f t="shared" si="21"/>
        <v>4.6511627906976743E-6</v>
      </c>
      <c r="Z12" s="241">
        <f t="shared" si="21"/>
        <v>4.6511627906976743E-6</v>
      </c>
      <c r="AA12" s="241">
        <f t="shared" si="21"/>
        <v>4.6511627906976743E-6</v>
      </c>
      <c r="AB12" s="241">
        <f t="shared" si="21"/>
        <v>4.6511627906976743E-6</v>
      </c>
      <c r="AC12" s="241">
        <f t="shared" si="21"/>
        <v>4.6511627906976743E-6</v>
      </c>
      <c r="AD12" s="241">
        <f t="shared" si="21"/>
        <v>4.6511627906976743E-6</v>
      </c>
      <c r="AE12" s="241">
        <f t="shared" si="21"/>
        <v>4.6511627906976743E-6</v>
      </c>
      <c r="AF12" s="241">
        <f t="shared" si="21"/>
        <v>4.6511627906976743E-6</v>
      </c>
      <c r="AG12" s="241">
        <f t="shared" si="21"/>
        <v>4.6511627906976743E-6</v>
      </c>
      <c r="AH12" s="241">
        <f t="shared" si="21"/>
        <v>4.6511627906976743E-6</v>
      </c>
      <c r="AI12" s="241">
        <f t="shared" si="21"/>
        <v>4.6511627906976743E-6</v>
      </c>
      <c r="AJ12" s="241">
        <f t="shared" si="21"/>
        <v>4.6511627906976743E-6</v>
      </c>
      <c r="AK12" s="241">
        <f t="shared" si="21"/>
        <v>4.6511627906976743E-6</v>
      </c>
      <c r="AL12" s="241">
        <f t="shared" si="21"/>
        <v>4.6511627906976743E-6</v>
      </c>
      <c r="AM12" s="241">
        <f t="shared" si="21"/>
        <v>4.6511627906976743E-6</v>
      </c>
      <c r="AN12" s="241">
        <f t="shared" si="21"/>
        <v>4.6511627906976743E-6</v>
      </c>
      <c r="AO12" s="241">
        <f t="shared" si="21"/>
        <v>4.6511627906976743E-6</v>
      </c>
      <c r="AP12" s="241">
        <f t="shared" si="21"/>
        <v>4.6511627906976743E-6</v>
      </c>
      <c r="AQ12" s="241">
        <f t="shared" si="21"/>
        <v>4.6511627906976743E-6</v>
      </c>
      <c r="AR12" s="241">
        <f t="shared" si="21"/>
        <v>4.6511627906976743E-6</v>
      </c>
      <c r="AS12" s="241">
        <f t="shared" si="21"/>
        <v>4.6511627906976743E-6</v>
      </c>
      <c r="AT12" s="241">
        <f t="shared" si="21"/>
        <v>4.6511627906976743E-6</v>
      </c>
      <c r="AU12" s="241">
        <f t="shared" si="21"/>
        <v>4.6511627906976743E-6</v>
      </c>
      <c r="AV12" s="241">
        <f t="shared" si="21"/>
        <v>4.6511627906976743E-6</v>
      </c>
      <c r="AW12" s="241">
        <f t="shared" ref="AW12:AW14" si="22">AV12</f>
        <v>4.6511627906976743E-6</v>
      </c>
      <c r="AX12" s="241">
        <f t="shared" ref="AX12:AX14" si="23">AW12</f>
        <v>4.6511627906976743E-6</v>
      </c>
      <c r="AY12" s="241">
        <f t="shared" ref="AY12:AY14" si="24">AX12</f>
        <v>4.6511627906976743E-6</v>
      </c>
      <c r="AZ12" s="241">
        <f t="shared" ref="AZ12:AZ14" si="25">AY12</f>
        <v>4.6511627906976743E-6</v>
      </c>
      <c r="BA12" s="241">
        <f t="shared" ref="BA12:BA14" si="26">AZ12</f>
        <v>4.6511627906976743E-6</v>
      </c>
    </row>
    <row r="13" spans="2:80" s="240" customFormat="1" ht="15" hidden="1" customHeight="1" outlineLevel="1">
      <c r="B13" s="247" t="s">
        <v>25</v>
      </c>
      <c r="C13" s="252">
        <f>C12</f>
        <v>4.6511627906976743E-6</v>
      </c>
      <c r="D13" s="241">
        <f t="shared" ref="D13:S14" si="27">C13</f>
        <v>4.6511627906976743E-6</v>
      </c>
      <c r="E13" s="241">
        <f t="shared" si="27"/>
        <v>4.6511627906976743E-6</v>
      </c>
      <c r="F13" s="241">
        <f t="shared" si="27"/>
        <v>4.6511627906976743E-6</v>
      </c>
      <c r="G13" s="241">
        <f t="shared" si="27"/>
        <v>4.6511627906976743E-6</v>
      </c>
      <c r="H13" s="241">
        <f t="shared" si="27"/>
        <v>4.6511627906976743E-6</v>
      </c>
      <c r="I13" s="241">
        <f t="shared" si="27"/>
        <v>4.6511627906976743E-6</v>
      </c>
      <c r="J13" s="241">
        <f t="shared" si="27"/>
        <v>4.6511627906976743E-6</v>
      </c>
      <c r="K13" s="241">
        <f t="shared" si="27"/>
        <v>4.6511627906976743E-6</v>
      </c>
      <c r="L13" s="241">
        <f t="shared" si="27"/>
        <v>4.6511627906976743E-6</v>
      </c>
      <c r="M13" s="241">
        <f t="shared" si="27"/>
        <v>4.6511627906976743E-6</v>
      </c>
      <c r="N13" s="241">
        <f t="shared" si="27"/>
        <v>4.6511627906976743E-6</v>
      </c>
      <c r="O13" s="241">
        <f t="shared" si="27"/>
        <v>4.6511627906976743E-6</v>
      </c>
      <c r="P13" s="241">
        <f t="shared" si="27"/>
        <v>4.6511627906976743E-6</v>
      </c>
      <c r="Q13" s="241">
        <f t="shared" si="27"/>
        <v>4.6511627906976743E-6</v>
      </c>
      <c r="R13" s="241">
        <f t="shared" si="27"/>
        <v>4.6511627906976743E-6</v>
      </c>
      <c r="S13" s="241">
        <f t="shared" si="27"/>
        <v>4.6511627906976743E-6</v>
      </c>
      <c r="T13" s="241">
        <f t="shared" si="21"/>
        <v>4.6511627906976743E-6</v>
      </c>
      <c r="U13" s="241">
        <f t="shared" si="21"/>
        <v>4.6511627906976743E-6</v>
      </c>
      <c r="V13" s="241">
        <f t="shared" si="21"/>
        <v>4.6511627906976743E-6</v>
      </c>
      <c r="W13" s="241">
        <f t="shared" si="21"/>
        <v>4.6511627906976743E-6</v>
      </c>
      <c r="X13" s="241">
        <f t="shared" si="21"/>
        <v>4.6511627906976743E-6</v>
      </c>
      <c r="Y13" s="241">
        <f t="shared" si="21"/>
        <v>4.6511627906976743E-6</v>
      </c>
      <c r="Z13" s="241">
        <f t="shared" si="21"/>
        <v>4.6511627906976743E-6</v>
      </c>
      <c r="AA13" s="241">
        <f t="shared" si="21"/>
        <v>4.6511627906976743E-6</v>
      </c>
      <c r="AB13" s="241">
        <f t="shared" si="21"/>
        <v>4.6511627906976743E-6</v>
      </c>
      <c r="AC13" s="241">
        <f t="shared" si="21"/>
        <v>4.6511627906976743E-6</v>
      </c>
      <c r="AD13" s="241">
        <f t="shared" si="21"/>
        <v>4.6511627906976743E-6</v>
      </c>
      <c r="AE13" s="241">
        <f t="shared" si="21"/>
        <v>4.6511627906976743E-6</v>
      </c>
      <c r="AF13" s="241">
        <f t="shared" si="21"/>
        <v>4.6511627906976743E-6</v>
      </c>
      <c r="AG13" s="241">
        <f t="shared" si="21"/>
        <v>4.6511627906976743E-6</v>
      </c>
      <c r="AH13" s="241">
        <f t="shared" si="21"/>
        <v>4.6511627906976743E-6</v>
      </c>
      <c r="AI13" s="241">
        <f t="shared" si="21"/>
        <v>4.6511627906976743E-6</v>
      </c>
      <c r="AJ13" s="241">
        <f t="shared" si="21"/>
        <v>4.6511627906976743E-6</v>
      </c>
      <c r="AK13" s="241">
        <f t="shared" si="21"/>
        <v>4.6511627906976743E-6</v>
      </c>
      <c r="AL13" s="241">
        <f t="shared" si="21"/>
        <v>4.6511627906976743E-6</v>
      </c>
      <c r="AM13" s="241">
        <f t="shared" si="21"/>
        <v>4.6511627906976743E-6</v>
      </c>
      <c r="AN13" s="241">
        <f t="shared" si="21"/>
        <v>4.6511627906976743E-6</v>
      </c>
      <c r="AO13" s="241">
        <f t="shared" si="21"/>
        <v>4.6511627906976743E-6</v>
      </c>
      <c r="AP13" s="241">
        <f t="shared" si="21"/>
        <v>4.6511627906976743E-6</v>
      </c>
      <c r="AQ13" s="241">
        <f t="shared" si="21"/>
        <v>4.6511627906976743E-6</v>
      </c>
      <c r="AR13" s="241">
        <f t="shared" si="21"/>
        <v>4.6511627906976743E-6</v>
      </c>
      <c r="AS13" s="241">
        <f t="shared" si="21"/>
        <v>4.6511627906976743E-6</v>
      </c>
      <c r="AT13" s="241">
        <f t="shared" si="21"/>
        <v>4.6511627906976743E-6</v>
      </c>
      <c r="AU13" s="241">
        <f t="shared" si="21"/>
        <v>4.6511627906976743E-6</v>
      </c>
      <c r="AV13" s="241">
        <f t="shared" si="21"/>
        <v>4.6511627906976743E-6</v>
      </c>
      <c r="AW13" s="241">
        <f t="shared" si="22"/>
        <v>4.6511627906976743E-6</v>
      </c>
      <c r="AX13" s="241">
        <f t="shared" si="23"/>
        <v>4.6511627906976743E-6</v>
      </c>
      <c r="AY13" s="241">
        <f t="shared" si="24"/>
        <v>4.6511627906976743E-6</v>
      </c>
      <c r="AZ13" s="241">
        <f t="shared" si="25"/>
        <v>4.6511627906976743E-6</v>
      </c>
      <c r="BA13" s="241">
        <f t="shared" si="26"/>
        <v>4.6511627906976743E-6</v>
      </c>
    </row>
    <row r="14" spans="2:80" s="240" customFormat="1" ht="15" hidden="1" customHeight="1" outlineLevel="1">
      <c r="B14" s="247" t="s">
        <v>68</v>
      </c>
      <c r="C14" s="252">
        <f>C13</f>
        <v>4.6511627906976743E-6</v>
      </c>
      <c r="D14" s="241">
        <f t="shared" si="27"/>
        <v>4.6511627906976743E-6</v>
      </c>
      <c r="E14" s="241">
        <f t="shared" si="21"/>
        <v>4.6511627906976743E-6</v>
      </c>
      <c r="F14" s="241">
        <f t="shared" si="21"/>
        <v>4.6511627906976743E-6</v>
      </c>
      <c r="G14" s="241">
        <f t="shared" si="21"/>
        <v>4.6511627906976743E-6</v>
      </c>
      <c r="H14" s="241">
        <f t="shared" si="21"/>
        <v>4.6511627906976743E-6</v>
      </c>
      <c r="I14" s="241">
        <f t="shared" si="21"/>
        <v>4.6511627906976743E-6</v>
      </c>
      <c r="J14" s="241">
        <f t="shared" si="21"/>
        <v>4.6511627906976743E-6</v>
      </c>
      <c r="K14" s="241">
        <f t="shared" si="21"/>
        <v>4.6511627906976743E-6</v>
      </c>
      <c r="L14" s="241">
        <f t="shared" si="21"/>
        <v>4.6511627906976743E-6</v>
      </c>
      <c r="M14" s="241">
        <f t="shared" si="21"/>
        <v>4.6511627906976743E-6</v>
      </c>
      <c r="N14" s="241">
        <f t="shared" si="21"/>
        <v>4.6511627906976743E-6</v>
      </c>
      <c r="O14" s="241">
        <f t="shared" si="21"/>
        <v>4.6511627906976743E-6</v>
      </c>
      <c r="P14" s="241">
        <f t="shared" si="21"/>
        <v>4.6511627906976743E-6</v>
      </c>
      <c r="Q14" s="241">
        <f t="shared" si="21"/>
        <v>4.6511627906976743E-6</v>
      </c>
      <c r="R14" s="241">
        <f t="shared" si="21"/>
        <v>4.6511627906976743E-6</v>
      </c>
      <c r="S14" s="241">
        <f t="shared" si="21"/>
        <v>4.6511627906976743E-6</v>
      </c>
      <c r="T14" s="241">
        <f t="shared" si="21"/>
        <v>4.6511627906976743E-6</v>
      </c>
      <c r="U14" s="241">
        <f t="shared" si="21"/>
        <v>4.6511627906976743E-6</v>
      </c>
      <c r="V14" s="241">
        <f t="shared" si="21"/>
        <v>4.6511627906976743E-6</v>
      </c>
      <c r="W14" s="241">
        <f t="shared" si="21"/>
        <v>4.6511627906976743E-6</v>
      </c>
      <c r="X14" s="241">
        <f t="shared" si="21"/>
        <v>4.6511627906976743E-6</v>
      </c>
      <c r="Y14" s="241">
        <f t="shared" si="21"/>
        <v>4.6511627906976743E-6</v>
      </c>
      <c r="Z14" s="241">
        <f t="shared" si="21"/>
        <v>4.6511627906976743E-6</v>
      </c>
      <c r="AA14" s="241">
        <f t="shared" si="21"/>
        <v>4.6511627906976743E-6</v>
      </c>
      <c r="AB14" s="241">
        <f t="shared" si="21"/>
        <v>4.6511627906976743E-6</v>
      </c>
      <c r="AC14" s="241">
        <f t="shared" si="21"/>
        <v>4.6511627906976743E-6</v>
      </c>
      <c r="AD14" s="241">
        <f t="shared" si="21"/>
        <v>4.6511627906976743E-6</v>
      </c>
      <c r="AE14" s="241">
        <f t="shared" si="21"/>
        <v>4.6511627906976743E-6</v>
      </c>
      <c r="AF14" s="241">
        <f t="shared" si="21"/>
        <v>4.6511627906976743E-6</v>
      </c>
      <c r="AG14" s="241">
        <f t="shared" si="21"/>
        <v>4.6511627906976743E-6</v>
      </c>
      <c r="AH14" s="241">
        <f t="shared" si="21"/>
        <v>4.6511627906976743E-6</v>
      </c>
      <c r="AI14" s="241">
        <f t="shared" si="21"/>
        <v>4.6511627906976743E-6</v>
      </c>
      <c r="AJ14" s="241">
        <f t="shared" si="21"/>
        <v>4.6511627906976743E-6</v>
      </c>
      <c r="AK14" s="241">
        <f t="shared" si="21"/>
        <v>4.6511627906976743E-6</v>
      </c>
      <c r="AL14" s="241">
        <f t="shared" si="21"/>
        <v>4.6511627906976743E-6</v>
      </c>
      <c r="AM14" s="241">
        <f t="shared" si="21"/>
        <v>4.6511627906976743E-6</v>
      </c>
      <c r="AN14" s="241">
        <f t="shared" si="21"/>
        <v>4.6511627906976743E-6</v>
      </c>
      <c r="AO14" s="241">
        <f t="shared" si="21"/>
        <v>4.6511627906976743E-6</v>
      </c>
      <c r="AP14" s="241">
        <f t="shared" si="21"/>
        <v>4.6511627906976743E-6</v>
      </c>
      <c r="AQ14" s="241">
        <f t="shared" si="21"/>
        <v>4.6511627906976743E-6</v>
      </c>
      <c r="AR14" s="241">
        <f t="shared" si="21"/>
        <v>4.6511627906976743E-6</v>
      </c>
      <c r="AS14" s="241">
        <f t="shared" si="21"/>
        <v>4.6511627906976743E-6</v>
      </c>
      <c r="AT14" s="241">
        <f t="shared" si="21"/>
        <v>4.6511627906976743E-6</v>
      </c>
      <c r="AU14" s="241">
        <f t="shared" si="21"/>
        <v>4.6511627906976743E-6</v>
      </c>
      <c r="AV14" s="241">
        <f t="shared" si="21"/>
        <v>4.6511627906976743E-6</v>
      </c>
      <c r="AW14" s="241">
        <f t="shared" si="22"/>
        <v>4.6511627906976743E-6</v>
      </c>
      <c r="AX14" s="241">
        <f t="shared" si="23"/>
        <v>4.6511627906976743E-6</v>
      </c>
      <c r="AY14" s="241">
        <f t="shared" si="24"/>
        <v>4.6511627906976743E-6</v>
      </c>
      <c r="AZ14" s="241">
        <f t="shared" si="25"/>
        <v>4.6511627906976743E-6</v>
      </c>
      <c r="BA14" s="241">
        <f t="shared" si="26"/>
        <v>4.6511627906976743E-6</v>
      </c>
    </row>
    <row r="15" spans="2:80" hidden="1" outlineLevel="1"/>
    <row r="16" spans="2:80" s="240" customFormat="1" ht="15" hidden="1" customHeight="1" outlineLevel="1">
      <c r="B16" s="247" t="s">
        <v>24</v>
      </c>
      <c r="C16" s="248">
        <f>C7*C12</f>
        <v>15.655929837400173</v>
      </c>
      <c r="D16" s="248">
        <f t="shared" ref="D16:AV18" si="28">D7*D12</f>
        <v>15.734209486587172</v>
      </c>
      <c r="E16" s="248">
        <f t="shared" si="28"/>
        <v>15.812880534020106</v>
      </c>
      <c r="F16" s="248">
        <f t="shared" si="28"/>
        <v>15.891944936690207</v>
      </c>
      <c r="G16" s="248">
        <f t="shared" si="28"/>
        <v>15.971404661373654</v>
      </c>
      <c r="H16" s="248">
        <f t="shared" si="28"/>
        <v>16.051261684680522</v>
      </c>
      <c r="I16" s="248">
        <f t="shared" si="28"/>
        <v>16.131517993103923</v>
      </c>
      <c r="J16" s="248">
        <f t="shared" si="28"/>
        <v>16.212175583069438</v>
      </c>
      <c r="K16" s="248">
        <f t="shared" si="28"/>
        <v>16.293236460984787</v>
      </c>
      <c r="L16" s="248">
        <f t="shared" si="28"/>
        <v>16.374702643289709</v>
      </c>
      <c r="M16" s="248">
        <f t="shared" si="28"/>
        <v>16.456576156506156</v>
      </c>
      <c r="N16" s="248">
        <f t="shared" si="28"/>
        <v>16.538859037288685</v>
      </c>
      <c r="O16" s="248">
        <f t="shared" si="28"/>
        <v>16.621553332475127</v>
      </c>
      <c r="P16" s="248">
        <f t="shared" si="28"/>
        <v>16.7046610991375</v>
      </c>
      <c r="Q16" s="248">
        <f t="shared" si="28"/>
        <v>16.788184404633185</v>
      </c>
      <c r="R16" s="248">
        <f t="shared" si="28"/>
        <v>16.872125326656349</v>
      </c>
      <c r="S16" s="248">
        <f t="shared" si="28"/>
        <v>16.956485953289626</v>
      </c>
      <c r="T16" s="248">
        <f t="shared" si="28"/>
        <v>17.041268383056074</v>
      </c>
      <c r="U16" s="248">
        <f t="shared" si="28"/>
        <v>17.126474724971352</v>
      </c>
      <c r="V16" s="248">
        <f t="shared" si="28"/>
        <v>17.21210709859621</v>
      </c>
      <c r="W16" s="248">
        <f t="shared" si="28"/>
        <v>17.298167634089189</v>
      </c>
      <c r="X16" s="248">
        <f t="shared" si="28"/>
        <v>17.384658472259634</v>
      </c>
      <c r="Y16" s="248">
        <f t="shared" si="28"/>
        <v>17.471581764620929</v>
      </c>
      <c r="Z16" s="248">
        <f t="shared" si="28"/>
        <v>17.558939673444034</v>
      </c>
      <c r="AA16" s="248">
        <f t="shared" si="28"/>
        <v>17.646734371811252</v>
      </c>
      <c r="AB16" s="248">
        <f t="shared" si="28"/>
        <v>17.734968043670303</v>
      </c>
      <c r="AC16" s="248">
        <f t="shared" si="28"/>
        <v>17.823642883888656</v>
      </c>
      <c r="AD16" s="248">
        <f t="shared" si="28"/>
        <v>17.912761098308096</v>
      </c>
      <c r="AE16" s="248">
        <f t="shared" si="28"/>
        <v>18.002324903799636</v>
      </c>
      <c r="AF16" s="248">
        <f t="shared" si="28"/>
        <v>18.092336528318629</v>
      </c>
      <c r="AG16" s="248">
        <f t="shared" si="28"/>
        <v>18.182798210960222</v>
      </c>
      <c r="AH16" s="248">
        <f t="shared" si="28"/>
        <v>18.27371220201502</v>
      </c>
      <c r="AI16" s="248">
        <f t="shared" si="28"/>
        <v>18.365080763025095</v>
      </c>
      <c r="AJ16" s="248">
        <f t="shared" si="28"/>
        <v>18.45690616684022</v>
      </c>
      <c r="AK16" s="248">
        <f t="shared" si="28"/>
        <v>18.549190697674419</v>
      </c>
      <c r="AL16" s="248">
        <f t="shared" si="28"/>
        <v>18.641936651162787</v>
      </c>
      <c r="AM16" s="248">
        <f t="shared" si="28"/>
        <v>18.735146334418602</v>
      </c>
      <c r="AN16" s="248">
        <f t="shared" si="28"/>
        <v>18.828822066090691</v>
      </c>
      <c r="AO16" s="248">
        <f t="shared" si="28"/>
        <v>18.922966176421141</v>
      </c>
      <c r="AP16" s="248">
        <f t="shared" si="28"/>
        <v>19.017581007303246</v>
      </c>
      <c r="AQ16" s="248">
        <f t="shared" si="28"/>
        <v>19.112668912339764</v>
      </c>
      <c r="AR16" s="248">
        <f t="shared" si="28"/>
        <v>19.208232256901457</v>
      </c>
      <c r="AS16" s="248">
        <f t="shared" si="28"/>
        <v>19.304273418185964</v>
      </c>
      <c r="AT16" s="248">
        <f t="shared" si="28"/>
        <v>19.40079478527689</v>
      </c>
      <c r="AU16" s="248">
        <f t="shared" si="28"/>
        <v>19.497798759203274</v>
      </c>
      <c r="AV16" s="248">
        <f t="shared" si="28"/>
        <v>19.595287752999287</v>
      </c>
      <c r="AW16" s="248">
        <f t="shared" ref="AW16:BA16" si="29">AW7*AW12</f>
        <v>19.693264191764282</v>
      </c>
      <c r="AX16" s="248">
        <f t="shared" si="29"/>
        <v>19.791730512723102</v>
      </c>
      <c r="AY16" s="248">
        <f t="shared" si="29"/>
        <v>19.890689165286716</v>
      </c>
      <c r="AZ16" s="248">
        <f t="shared" si="29"/>
        <v>19.990142611113146</v>
      </c>
      <c r="BA16" s="248">
        <f t="shared" si="29"/>
        <v>20.090093324168709</v>
      </c>
      <c r="BB16" s="253"/>
      <c r="BC16" s="253"/>
      <c r="BD16" s="253"/>
      <c r="BE16" s="253"/>
      <c r="BF16" s="253"/>
      <c r="BG16" s="253"/>
      <c r="BH16" s="253"/>
      <c r="BI16" s="253"/>
      <c r="BJ16" s="253"/>
      <c r="BK16" s="253"/>
      <c r="BL16" s="253"/>
      <c r="BM16" s="253"/>
      <c r="BN16" s="253"/>
      <c r="BO16" s="253"/>
      <c r="BP16" s="253"/>
      <c r="BQ16" s="253"/>
      <c r="BR16" s="253"/>
      <c r="BS16" s="253"/>
      <c r="BT16" s="253"/>
      <c r="BU16" s="253"/>
      <c r="BV16" s="253"/>
      <c r="BW16" s="253"/>
      <c r="BX16" s="253"/>
      <c r="BY16" s="253"/>
      <c r="BZ16" s="253"/>
      <c r="CA16" s="253"/>
      <c r="CB16" s="253"/>
    </row>
    <row r="17" spans="2:80" s="240" customFormat="1" ht="15" hidden="1" customHeight="1" outlineLevel="1">
      <c r="B17" s="247" t="s">
        <v>25</v>
      </c>
      <c r="C17" s="248">
        <f t="shared" ref="C17:R18" si="30">C8*C13</f>
        <v>22.075424765349759</v>
      </c>
      <c r="D17" s="248">
        <f t="shared" si="30"/>
        <v>22.119575614880457</v>
      </c>
      <c r="E17" s="248">
        <f t="shared" si="30"/>
        <v>22.163814766110221</v>
      </c>
      <c r="F17" s="248">
        <f t="shared" si="30"/>
        <v>22.208142395642437</v>
      </c>
      <c r="G17" s="248">
        <f t="shared" si="30"/>
        <v>22.252558680433722</v>
      </c>
      <c r="H17" s="248">
        <f t="shared" si="30"/>
        <v>22.297063797794589</v>
      </c>
      <c r="I17" s="248">
        <f t="shared" si="30"/>
        <v>22.34165792539018</v>
      </c>
      <c r="J17" s="248">
        <f t="shared" si="30"/>
        <v>22.386341241240959</v>
      </c>
      <c r="K17" s="248">
        <f t="shared" si="30"/>
        <v>22.431113923723441</v>
      </c>
      <c r="L17" s="248">
        <f t="shared" si="30"/>
        <v>22.47597615157089</v>
      </c>
      <c r="M17" s="248">
        <f t="shared" si="30"/>
        <v>22.520928103874031</v>
      </c>
      <c r="N17" s="248">
        <f t="shared" si="30"/>
        <v>22.565969960081777</v>
      </c>
      <c r="O17" s="248">
        <f t="shared" si="30"/>
        <v>22.611101900001941</v>
      </c>
      <c r="P17" s="248">
        <f t="shared" si="30"/>
        <v>22.656324103801943</v>
      </c>
      <c r="Q17" s="248">
        <f t="shared" si="30"/>
        <v>22.701636752009549</v>
      </c>
      <c r="R17" s="248">
        <f t="shared" si="30"/>
        <v>22.747040025513567</v>
      </c>
      <c r="S17" s="248">
        <f t="shared" si="28"/>
        <v>22.792534105564592</v>
      </c>
      <c r="T17" s="248">
        <f t="shared" si="28"/>
        <v>22.83811917377572</v>
      </c>
      <c r="U17" s="248">
        <f t="shared" si="28"/>
        <v>22.883795412123273</v>
      </c>
      <c r="V17" s="248">
        <f t="shared" si="28"/>
        <v>22.929563002947518</v>
      </c>
      <c r="W17" s="248">
        <f t="shared" si="28"/>
        <v>22.975422128953412</v>
      </c>
      <c r="X17" s="248">
        <f t="shared" si="28"/>
        <v>23.021372973211317</v>
      </c>
      <c r="Y17" s="248">
        <f t="shared" si="28"/>
        <v>23.06741571915774</v>
      </c>
      <c r="Z17" s="248">
        <f t="shared" si="28"/>
        <v>23.113550550596056</v>
      </c>
      <c r="AA17" s="248">
        <f t="shared" si="28"/>
        <v>23.159777651697251</v>
      </c>
      <c r="AB17" s="248">
        <f t="shared" si="28"/>
        <v>23.206097207000642</v>
      </c>
      <c r="AC17" s="248">
        <f t="shared" si="28"/>
        <v>23.252509401414642</v>
      </c>
      <c r="AD17" s="248">
        <f t="shared" si="28"/>
        <v>23.299014420217471</v>
      </c>
      <c r="AE17" s="248">
        <f t="shared" si="28"/>
        <v>23.345612449057906</v>
      </c>
      <c r="AF17" s="248">
        <f t="shared" si="28"/>
        <v>23.392303673956022</v>
      </c>
      <c r="AG17" s="248">
        <f t="shared" si="28"/>
        <v>23.439088281303935</v>
      </c>
      <c r="AH17" s="248">
        <f t="shared" si="28"/>
        <v>23.485966457866542</v>
      </c>
      <c r="AI17" s="248">
        <f t="shared" si="28"/>
        <v>23.532938390782277</v>
      </c>
      <c r="AJ17" s="248">
        <f t="shared" si="28"/>
        <v>23.58000426756384</v>
      </c>
      <c r="AK17" s="248">
        <f t="shared" si="28"/>
        <v>23.627164276098966</v>
      </c>
      <c r="AL17" s="248">
        <f t="shared" si="28"/>
        <v>23.674418604651162</v>
      </c>
      <c r="AM17" s="248">
        <f t="shared" si="28"/>
        <v>23.721767441860464</v>
      </c>
      <c r="AN17" s="248">
        <f t="shared" si="28"/>
        <v>23.769210976744187</v>
      </c>
      <c r="AO17" s="248">
        <f t="shared" si="28"/>
        <v>23.816749398697674</v>
      </c>
      <c r="AP17" s="248">
        <f t="shared" si="28"/>
        <v>23.864382897495069</v>
      </c>
      <c r="AQ17" s="248">
        <f t="shared" si="28"/>
        <v>23.912111663290062</v>
      </c>
      <c r="AR17" s="248">
        <f t="shared" si="28"/>
        <v>23.959935886616641</v>
      </c>
      <c r="AS17" s="248">
        <f t="shared" si="28"/>
        <v>24.007855758389873</v>
      </c>
      <c r="AT17" s="248">
        <f t="shared" si="28"/>
        <v>24.055871469906652</v>
      </c>
      <c r="AU17" s="248">
        <f t="shared" si="28"/>
        <v>24.103983212846465</v>
      </c>
      <c r="AV17" s="248">
        <f t="shared" si="28"/>
        <v>24.152191179272158</v>
      </c>
      <c r="AW17" s="248">
        <f t="shared" ref="AW17:BA17" si="31">AW8*AW13</f>
        <v>24.200495561630703</v>
      </c>
      <c r="AX17" s="248">
        <f t="shared" si="31"/>
        <v>24.248896552753962</v>
      </c>
      <c r="AY17" s="248">
        <f t="shared" si="31"/>
        <v>24.297394345859473</v>
      </c>
      <c r="AZ17" s="248">
        <f t="shared" si="31"/>
        <v>24.345989134551189</v>
      </c>
      <c r="BA17" s="248">
        <f t="shared" si="31"/>
        <v>24.39468111282029</v>
      </c>
      <c r="BB17" s="253"/>
      <c r="BC17" s="253"/>
      <c r="BD17" s="253"/>
      <c r="BE17" s="253"/>
      <c r="BF17" s="253"/>
      <c r="BG17" s="253"/>
      <c r="BH17" s="253"/>
      <c r="BI17" s="253"/>
      <c r="BJ17" s="253"/>
      <c r="BK17" s="253"/>
      <c r="BL17" s="253"/>
      <c r="BM17" s="253"/>
      <c r="BN17" s="253"/>
      <c r="BO17" s="253"/>
      <c r="BP17" s="253"/>
      <c r="BQ17" s="253"/>
      <c r="BR17" s="253"/>
      <c r="BS17" s="253"/>
      <c r="BT17" s="253"/>
      <c r="BU17" s="253"/>
      <c r="BV17" s="253"/>
      <c r="BW17" s="253"/>
      <c r="BX17" s="253"/>
      <c r="BY17" s="253"/>
      <c r="BZ17" s="253"/>
      <c r="CA17" s="253"/>
      <c r="CB17" s="253"/>
    </row>
    <row r="18" spans="2:80" s="240" customFormat="1" ht="15" hidden="1" customHeight="1" outlineLevel="1">
      <c r="B18" s="247" t="s">
        <v>68</v>
      </c>
      <c r="C18" s="248">
        <f t="shared" si="30"/>
        <v>6.0621519962766239</v>
      </c>
      <c r="D18" s="248">
        <f t="shared" si="28"/>
        <v>6.0140396788458563</v>
      </c>
      <c r="E18" s="248">
        <f t="shared" si="28"/>
        <v>5.9663092052042224</v>
      </c>
      <c r="F18" s="248">
        <f t="shared" si="28"/>
        <v>5.9189575448454583</v>
      </c>
      <c r="G18" s="248">
        <f t="shared" si="28"/>
        <v>5.8719816913149385</v>
      </c>
      <c r="H18" s="248">
        <f t="shared" si="28"/>
        <v>5.8253786620187871</v>
      </c>
      <c r="I18" s="248">
        <f t="shared" si="28"/>
        <v>5.7791454980345121</v>
      </c>
      <c r="J18" s="248">
        <f t="shared" si="28"/>
        <v>5.7332792639231265</v>
      </c>
      <c r="K18" s="248">
        <f t="shared" si="28"/>
        <v>5.6877770475427845</v>
      </c>
      <c r="L18" s="248">
        <f t="shared" si="28"/>
        <v>5.642635959863874</v>
      </c>
      <c r="M18" s="248">
        <f t="shared" si="28"/>
        <v>5.5978531347855895</v>
      </c>
      <c r="N18" s="248">
        <f t="shared" si="28"/>
        <v>5.5534257289539575</v>
      </c>
      <c r="O18" s="248">
        <f t="shared" si="28"/>
        <v>5.5093509215813077</v>
      </c>
      <c r="P18" s="248">
        <f t="shared" si="28"/>
        <v>5.4656259142671697</v>
      </c>
      <c r="Q18" s="248">
        <f t="shared" si="28"/>
        <v>5.422247930820606</v>
      </c>
      <c r="R18" s="248">
        <f t="shared" si="28"/>
        <v>5.379214217083935</v>
      </c>
      <c r="S18" s="248">
        <f t="shared" si="28"/>
        <v>5.3365220407578713</v>
      </c>
      <c r="T18" s="248">
        <f t="shared" si="28"/>
        <v>5.2941686912280472</v>
      </c>
      <c r="U18" s="248">
        <f t="shared" si="28"/>
        <v>5.2521514793929036</v>
      </c>
      <c r="V18" s="248">
        <f t="shared" si="28"/>
        <v>5.2104677374929604</v>
      </c>
      <c r="W18" s="248">
        <f t="shared" si="28"/>
        <v>5.169114818941428</v>
      </c>
      <c r="X18" s="248">
        <f t="shared" si="28"/>
        <v>5.1280900981561786</v>
      </c>
      <c r="Y18" s="248">
        <f t="shared" si="28"/>
        <v>5.0873909703930345</v>
      </c>
      <c r="Z18" s="248">
        <f t="shared" si="28"/>
        <v>5.047014851580391</v>
      </c>
      <c r="AA18" s="248">
        <f t="shared" si="28"/>
        <v>5.0069591781551503</v>
      </c>
      <c r="AB18" s="248">
        <f t="shared" si="28"/>
        <v>4.9672214068999514</v>
      </c>
      <c r="AC18" s="248">
        <f t="shared" si="28"/>
        <v>4.9277990147816979</v>
      </c>
      <c r="AD18" s="248">
        <f t="shared" si="28"/>
        <v>4.8886894987913667</v>
      </c>
      <c r="AE18" s="248">
        <f t="shared" si="28"/>
        <v>4.8498903757850869</v>
      </c>
      <c r="AF18" s="248">
        <f t="shared" si="28"/>
        <v>4.8113991823264746</v>
      </c>
      <c r="AG18" s="248">
        <f t="shared" si="28"/>
        <v>4.773213474530233</v>
      </c>
      <c r="AH18" s="248">
        <f t="shared" si="28"/>
        <v>4.735330827906977</v>
      </c>
      <c r="AI18" s="248">
        <f t="shared" si="28"/>
        <v>4.6977488372093026</v>
      </c>
      <c r="AJ18" s="248">
        <f t="shared" si="28"/>
        <v>4.6604651162790693</v>
      </c>
      <c r="AK18" s="248">
        <f t="shared" si="28"/>
        <v>4.6511627906976747</v>
      </c>
      <c r="AL18" s="248">
        <f t="shared" si="28"/>
        <v>4.6506976744186046</v>
      </c>
      <c r="AM18" s="248">
        <f t="shared" si="28"/>
        <v>4.6502326046511628</v>
      </c>
      <c r="AN18" s="248">
        <f t="shared" si="28"/>
        <v>4.649767581390698</v>
      </c>
      <c r="AO18" s="248">
        <f t="shared" si="28"/>
        <v>4.6493026046325587</v>
      </c>
      <c r="AP18" s="248">
        <f t="shared" si="28"/>
        <v>4.6488376743720954</v>
      </c>
      <c r="AQ18" s="248">
        <f t="shared" si="28"/>
        <v>4.6483727906046584</v>
      </c>
      <c r="AR18" s="248">
        <f t="shared" si="28"/>
        <v>4.647907953325598</v>
      </c>
      <c r="AS18" s="248">
        <f t="shared" si="28"/>
        <v>4.6474431625302657</v>
      </c>
      <c r="AT18" s="248">
        <f t="shared" si="28"/>
        <v>4.6469784182140126</v>
      </c>
      <c r="AU18" s="248">
        <f t="shared" si="28"/>
        <v>4.6465137203721909</v>
      </c>
      <c r="AV18" s="248">
        <f t="shared" si="28"/>
        <v>4.6460490690001537</v>
      </c>
      <c r="AW18" s="248">
        <f t="shared" ref="AW18:BA18" si="32">AW9*AW14</f>
        <v>4.645584464093254</v>
      </c>
      <c r="AX18" s="248">
        <f t="shared" si="32"/>
        <v>4.6451199056468448</v>
      </c>
      <c r="AY18" s="248">
        <f t="shared" si="32"/>
        <v>4.6446553936562802</v>
      </c>
      <c r="AZ18" s="248">
        <f t="shared" si="32"/>
        <v>4.6441909281169149</v>
      </c>
      <c r="BA18" s="248">
        <f t="shared" si="32"/>
        <v>4.6437265090241029</v>
      </c>
      <c r="BB18" s="253"/>
      <c r="BC18" s="253"/>
      <c r="BD18" s="253"/>
      <c r="BE18" s="253"/>
      <c r="BF18" s="253"/>
      <c r="BG18" s="253"/>
      <c r="BH18" s="253"/>
      <c r="BI18" s="253"/>
      <c r="BJ18" s="253"/>
      <c r="BK18" s="253"/>
      <c r="BL18" s="253"/>
      <c r="BM18" s="253"/>
      <c r="BN18" s="253"/>
      <c r="BO18" s="253"/>
      <c r="BP18" s="253"/>
      <c r="BQ18" s="253"/>
      <c r="BR18" s="253"/>
      <c r="BS18" s="253"/>
      <c r="BT18" s="253"/>
      <c r="BU18" s="253"/>
      <c r="BV18" s="253"/>
      <c r="BW18" s="253"/>
      <c r="BX18" s="253"/>
      <c r="BY18" s="253"/>
      <c r="BZ18" s="253"/>
      <c r="CA18" s="253"/>
      <c r="CB18" s="253"/>
    </row>
    <row r="19" spans="2:80" hidden="1" outlineLevel="1"/>
    <row r="20" spans="2:80" collapsed="1">
      <c r="B20" s="245" t="s">
        <v>70</v>
      </c>
    </row>
    <row r="21" spans="2:80">
      <c r="B21" s="247" t="s">
        <v>24</v>
      </c>
      <c r="AB21" s="248">
        <f t="shared" ref="AB21:AG23" si="33">SUM(C16:AA16)</f>
        <v>415.80764125403499</v>
      </c>
      <c r="AC21" s="248">
        <f t="shared" si="33"/>
        <v>417.88667946030506</v>
      </c>
      <c r="AD21" s="248">
        <f t="shared" si="33"/>
        <v>419.97611285760655</v>
      </c>
      <c r="AE21" s="248">
        <f t="shared" si="33"/>
        <v>422.07599342189451</v>
      </c>
      <c r="AF21" s="248">
        <f t="shared" si="33"/>
        <v>424.18637338900402</v>
      </c>
      <c r="AG21" s="248">
        <f t="shared" si="33"/>
        <v>426.30730525594902</v>
      </c>
      <c r="AH21" s="248">
        <f t="shared" ref="AH21:AV23" si="34">SUM(I16:AG16)</f>
        <v>428.43884178222874</v>
      </c>
      <c r="AI21" s="248">
        <f t="shared" si="34"/>
        <v>430.58103599113986</v>
      </c>
      <c r="AJ21" s="248">
        <f t="shared" si="34"/>
        <v>432.73394117109552</v>
      </c>
      <c r="AK21" s="248">
        <f t="shared" si="34"/>
        <v>434.89761087695098</v>
      </c>
      <c r="AL21" s="248">
        <f t="shared" si="34"/>
        <v>437.07209893133574</v>
      </c>
      <c r="AM21" s="248">
        <f t="shared" si="34"/>
        <v>439.25745942599229</v>
      </c>
      <c r="AN21" s="248">
        <f t="shared" si="34"/>
        <v>441.45374672312232</v>
      </c>
      <c r="AO21" s="248">
        <f t="shared" si="34"/>
        <v>443.66101545673774</v>
      </c>
      <c r="AP21" s="248">
        <f t="shared" si="34"/>
        <v>445.87932053402136</v>
      </c>
      <c r="AQ21" s="248">
        <f t="shared" si="34"/>
        <v>448.10871713669144</v>
      </c>
      <c r="AR21" s="248">
        <f t="shared" si="34"/>
        <v>450.34926072237482</v>
      </c>
      <c r="AS21" s="248">
        <f t="shared" si="34"/>
        <v>452.60100702598663</v>
      </c>
      <c r="AT21" s="248">
        <f t="shared" si="34"/>
        <v>454.86401206111657</v>
      </c>
      <c r="AU21" s="248">
        <f t="shared" si="34"/>
        <v>457.13833212142214</v>
      </c>
      <c r="AV21" s="248">
        <f t="shared" si="34"/>
        <v>459.42402378202917</v>
      </c>
      <c r="AW21" s="248">
        <f t="shared" ref="AW21:AW23" si="35">SUM(X16:AV16)</f>
        <v>461.7211439009393</v>
      </c>
      <c r="AX21" s="248">
        <f t="shared" ref="AX21:AX23" si="36">SUM(Y16:AW16)</f>
        <v>464.02974962044391</v>
      </c>
      <c r="AY21" s="248">
        <f t="shared" ref="AY21:AY23" si="37">SUM(Z16:AX16)</f>
        <v>466.34989836854606</v>
      </c>
      <c r="AZ21" s="248">
        <f t="shared" ref="AZ21:AZ23" si="38">SUM(AA16:AY16)</f>
        <v>468.68164786038881</v>
      </c>
      <c r="BA21" s="248">
        <f t="shared" ref="BA21:BA23" si="39">SUM(AB16:AZ16)</f>
        <v>471.02505609969069</v>
      </c>
    </row>
    <row r="22" spans="2:80">
      <c r="B22" s="247" t="s">
        <v>25</v>
      </c>
      <c r="AB22" s="248">
        <f t="shared" si="33"/>
        <v>565.33622082544639</v>
      </c>
      <c r="AC22" s="248">
        <f t="shared" si="33"/>
        <v>566.46689326709736</v>
      </c>
      <c r="AD22" s="248">
        <f t="shared" si="33"/>
        <v>567.59982705363143</v>
      </c>
      <c r="AE22" s="248">
        <f t="shared" si="33"/>
        <v>568.73502670773871</v>
      </c>
      <c r="AF22" s="248">
        <f t="shared" si="33"/>
        <v>569.87249676115414</v>
      </c>
      <c r="AG22" s="248">
        <f t="shared" si="33"/>
        <v>571.01224175467644</v>
      </c>
      <c r="AH22" s="248">
        <f t="shared" si="34"/>
        <v>572.15426623818587</v>
      </c>
      <c r="AI22" s="248">
        <f t="shared" si="34"/>
        <v>573.29857477066219</v>
      </c>
      <c r="AJ22" s="248">
        <f t="shared" si="34"/>
        <v>574.44517192020351</v>
      </c>
      <c r="AK22" s="248">
        <f t="shared" si="34"/>
        <v>575.59406226404394</v>
      </c>
      <c r="AL22" s="248">
        <f t="shared" si="34"/>
        <v>576.745250388572</v>
      </c>
      <c r="AM22" s="248">
        <f t="shared" si="34"/>
        <v>577.89874088934903</v>
      </c>
      <c r="AN22" s="248">
        <f t="shared" si="34"/>
        <v>579.05453837112782</v>
      </c>
      <c r="AO22" s="248">
        <f t="shared" si="34"/>
        <v>580.21264744786993</v>
      </c>
      <c r="AP22" s="248">
        <f t="shared" si="34"/>
        <v>581.37307274276566</v>
      </c>
      <c r="AQ22" s="248">
        <f t="shared" si="34"/>
        <v>582.53581888825113</v>
      </c>
      <c r="AR22" s="248">
        <f t="shared" si="34"/>
        <v>583.70089052602759</v>
      </c>
      <c r="AS22" s="248">
        <f t="shared" si="34"/>
        <v>584.86829230707974</v>
      </c>
      <c r="AT22" s="248">
        <f t="shared" si="34"/>
        <v>586.0380288916939</v>
      </c>
      <c r="AU22" s="248">
        <f t="shared" si="34"/>
        <v>587.21010494947723</v>
      </c>
      <c r="AV22" s="248">
        <f t="shared" si="34"/>
        <v>588.38452515937627</v>
      </c>
      <c r="AW22" s="248">
        <f t="shared" si="35"/>
        <v>589.56129420969489</v>
      </c>
      <c r="AX22" s="248">
        <f t="shared" si="36"/>
        <v>590.74041679811421</v>
      </c>
      <c r="AY22" s="248">
        <f t="shared" si="37"/>
        <v>591.92189763171052</v>
      </c>
      <c r="AZ22" s="248">
        <f t="shared" si="38"/>
        <v>593.10574142697396</v>
      </c>
      <c r="BA22" s="248">
        <f t="shared" si="39"/>
        <v>594.29195290982807</v>
      </c>
    </row>
    <row r="23" spans="2:80">
      <c r="B23" s="247" t="s">
        <v>68</v>
      </c>
      <c r="AB23" s="248">
        <f t="shared" si="33"/>
        <v>137.96125426146068</v>
      </c>
      <c r="AC23" s="248">
        <f t="shared" si="33"/>
        <v>136.86632367208401</v>
      </c>
      <c r="AD23" s="248">
        <f t="shared" si="33"/>
        <v>135.78008300801989</v>
      </c>
      <c r="AE23" s="248">
        <f t="shared" si="33"/>
        <v>134.70246330160703</v>
      </c>
      <c r="AF23" s="248">
        <f t="shared" si="33"/>
        <v>133.63339613254666</v>
      </c>
      <c r="AG23" s="248">
        <f t="shared" si="33"/>
        <v>132.5728136235582</v>
      </c>
      <c r="AH23" s="248">
        <f t="shared" si="34"/>
        <v>131.52064843606962</v>
      </c>
      <c r="AI23" s="248">
        <f t="shared" si="34"/>
        <v>130.47683376594208</v>
      </c>
      <c r="AJ23" s="248">
        <f t="shared" si="34"/>
        <v>129.44130333922826</v>
      </c>
      <c r="AK23" s="248">
        <f t="shared" si="34"/>
        <v>128.41399140796455</v>
      </c>
      <c r="AL23" s="248">
        <f t="shared" si="34"/>
        <v>127.42251823879836</v>
      </c>
      <c r="AM23" s="248">
        <f t="shared" si="34"/>
        <v>126.47536277843137</v>
      </c>
      <c r="AN23" s="248">
        <f t="shared" si="34"/>
        <v>125.57216965412859</v>
      </c>
      <c r="AO23" s="248">
        <f t="shared" si="34"/>
        <v>124.71258631393798</v>
      </c>
      <c r="AP23" s="248">
        <f t="shared" si="34"/>
        <v>123.89626300430335</v>
      </c>
      <c r="AQ23" s="248">
        <f t="shared" si="34"/>
        <v>123.12285274785482</v>
      </c>
      <c r="AR23" s="248">
        <f t="shared" si="34"/>
        <v>122.39201132137555</v>
      </c>
      <c r="AS23" s="248">
        <f t="shared" si="34"/>
        <v>121.70339723394331</v>
      </c>
      <c r="AT23" s="248">
        <f t="shared" si="34"/>
        <v>121.05667170524551</v>
      </c>
      <c r="AU23" s="248">
        <f t="shared" si="34"/>
        <v>120.45149864406663</v>
      </c>
      <c r="AV23" s="248">
        <f t="shared" si="34"/>
        <v>119.88754462694587</v>
      </c>
      <c r="AW23" s="248">
        <f t="shared" si="35"/>
        <v>119.36447887700459</v>
      </c>
      <c r="AX23" s="248">
        <f t="shared" si="36"/>
        <v>118.88197324294165</v>
      </c>
      <c r="AY23" s="248">
        <f t="shared" si="37"/>
        <v>118.43970217819546</v>
      </c>
      <c r="AZ23" s="248">
        <f t="shared" si="38"/>
        <v>118.03734272027137</v>
      </c>
      <c r="BA23" s="248">
        <f t="shared" si="39"/>
        <v>117.67457447023311</v>
      </c>
    </row>
    <row r="24" spans="2:80">
      <c r="B24" s="247" t="s">
        <v>26</v>
      </c>
      <c r="AB24" s="248">
        <f t="shared" ref="AB24:AH24" si="40">(AB21+AB22+AB23)/((318.9+743+127)/7400)</f>
        <v>6965.5798308713693</v>
      </c>
      <c r="AC24" s="248">
        <f t="shared" si="40"/>
        <v>6978.7427313955759</v>
      </c>
      <c r="AD24" s="248">
        <f t="shared" si="40"/>
        <v>6992.0384974367125</v>
      </c>
      <c r="AE24" s="248">
        <f t="shared" si="40"/>
        <v>7005.4670513846222</v>
      </c>
      <c r="AF24" s="248">
        <f t="shared" si="40"/>
        <v>7019.0283207099128</v>
      </c>
      <c r="AG24" s="248">
        <f t="shared" si="40"/>
        <v>7032.722237945125</v>
      </c>
      <c r="AH24" s="248">
        <f t="shared" si="40"/>
        <v>7046.5487406661478</v>
      </c>
      <c r="AI24" s="248">
        <f t="shared" ref="AI24:AV24" si="41">(AI21+AI22+AI23)/((318.9+743+127)/7400)</f>
        <v>7060.5077714738882</v>
      </c>
      <c r="AJ24" s="248">
        <f t="shared" si="41"/>
        <v>7074.5992779761973</v>
      </c>
      <c r="AK24" s="248">
        <f t="shared" si="41"/>
        <v>7088.8232127700394</v>
      </c>
      <c r="AL24" s="248">
        <f t="shared" si="41"/>
        <v>7103.351854600407</v>
      </c>
      <c r="AM24" s="248">
        <f t="shared" si="41"/>
        <v>7118.2383437580265</v>
      </c>
      <c r="AN24" s="248">
        <f t="shared" si="41"/>
        <v>7133.4808353419148</v>
      </c>
      <c r="AO24" s="248">
        <f t="shared" si="41"/>
        <v>7149.077503757454</v>
      </c>
      <c r="AP24" s="248">
        <f t="shared" si="41"/>
        <v>7165.0265425856405</v>
      </c>
      <c r="AQ24" s="248">
        <f t="shared" si="41"/>
        <v>7181.326164453445</v>
      </c>
      <c r="AR24" s="248">
        <f t="shared" si="41"/>
        <v>7197.9746009053388</v>
      </c>
      <c r="AS24" s="248">
        <f t="shared" si="41"/>
        <v>7214.9701022759455</v>
      </c>
      <c r="AT24" s="248">
        <f t="shared" si="41"/>
        <v>7232.3109375638096</v>
      </c>
      <c r="AU24" s="248">
        <f t="shared" si="41"/>
        <v>7249.9953943062892</v>
      </c>
      <c r="AV24" s="248">
        <f t="shared" si="41"/>
        <v>7268.0217784555462</v>
      </c>
      <c r="AW24" s="248">
        <f t="shared" ref="AW24:BA24" si="42">(AW21+AW22+AW23)/((318.9+743+127)/7400)</f>
        <v>7286.3884142556371</v>
      </c>
      <c r="AX24" s="248">
        <f t="shared" si="42"/>
        <v>7305.0936441206986</v>
      </c>
      <c r="AY24" s="248">
        <f t="shared" si="42"/>
        <v>7324.1358285142087</v>
      </c>
      <c r="AZ24" s="248">
        <f t="shared" si="42"/>
        <v>7343.5133458293312</v>
      </c>
      <c r="BA24" s="248">
        <f t="shared" si="42"/>
        <v>7363.2245922703032</v>
      </c>
    </row>
    <row r="25" spans="2:80" s="240" customFormat="1" ht="15" customHeight="1">
      <c r="B25" s="254"/>
      <c r="AH25" s="253"/>
      <c r="AI25" s="253"/>
      <c r="AJ25" s="253"/>
      <c r="AK25" s="253"/>
      <c r="AL25" s="253"/>
      <c r="AM25" s="253"/>
      <c r="AN25" s="253"/>
      <c r="AO25" s="253"/>
      <c r="AP25" s="253"/>
      <c r="AQ25" s="253"/>
      <c r="AR25" s="253"/>
      <c r="AS25" s="253"/>
      <c r="AT25" s="253"/>
      <c r="AU25" s="253"/>
      <c r="AV25" s="253"/>
      <c r="AW25" s="253"/>
      <c r="AX25" s="253"/>
      <c r="AY25" s="253"/>
      <c r="AZ25" s="253"/>
      <c r="BA25" s="253"/>
    </row>
    <row r="26" spans="2:80" s="240" customFormat="1" ht="15" customHeight="1">
      <c r="B26" s="245" t="s">
        <v>81</v>
      </c>
      <c r="AH26" s="251"/>
      <c r="AI26" s="251"/>
      <c r="AJ26" s="251"/>
      <c r="AK26" s="251"/>
      <c r="AL26" s="251"/>
      <c r="AM26" s="251"/>
      <c r="AN26" s="251"/>
      <c r="AO26" s="251"/>
      <c r="AP26" s="251"/>
      <c r="AQ26" s="251"/>
      <c r="AR26" s="251"/>
      <c r="AS26" s="251"/>
      <c r="AT26" s="251"/>
      <c r="AU26" s="251"/>
      <c r="AV26" s="251"/>
      <c r="AW26" s="251"/>
      <c r="AX26" s="251"/>
      <c r="AY26" s="251"/>
      <c r="AZ26" s="251"/>
      <c r="BA26" s="251"/>
    </row>
    <row r="27" spans="2:80" s="240" customFormat="1" ht="15" hidden="1" customHeight="1" outlineLevel="1">
      <c r="B27" s="255" t="s">
        <v>108</v>
      </c>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7"/>
      <c r="AI27" s="257"/>
      <c r="AJ27" s="257"/>
      <c r="AK27" s="275">
        <f>AK28</f>
        <v>0.24779999999999999</v>
      </c>
      <c r="AL27" s="275">
        <f>AL28</f>
        <v>0.26100000000000001</v>
      </c>
      <c r="AM27" s="275">
        <f>AL27+0.015</f>
        <v>0.27600000000000002</v>
      </c>
      <c r="AN27" s="275">
        <f t="shared" ref="AN27:AV27" si="43">AM27+0.0025</f>
        <v>0.27850000000000003</v>
      </c>
      <c r="AO27" s="275">
        <f t="shared" si="43"/>
        <v>0.28100000000000003</v>
      </c>
      <c r="AP27" s="275">
        <f t="shared" si="43"/>
        <v>0.28350000000000003</v>
      </c>
      <c r="AQ27" s="275">
        <f t="shared" si="43"/>
        <v>0.28600000000000003</v>
      </c>
      <c r="AR27" s="275">
        <f t="shared" si="43"/>
        <v>0.28850000000000003</v>
      </c>
      <c r="AS27" s="275">
        <f t="shared" si="43"/>
        <v>0.29100000000000004</v>
      </c>
      <c r="AT27" s="275">
        <f t="shared" si="43"/>
        <v>0.29350000000000004</v>
      </c>
      <c r="AU27" s="275">
        <f t="shared" si="43"/>
        <v>0.29600000000000004</v>
      </c>
      <c r="AV27" s="275">
        <f t="shared" si="43"/>
        <v>0.29850000000000004</v>
      </c>
      <c r="AW27" s="275">
        <f t="shared" ref="AW27" si="44">AV27+0.0025</f>
        <v>0.30100000000000005</v>
      </c>
      <c r="AX27" s="275">
        <f t="shared" ref="AX27" si="45">AW27+0.0025</f>
        <v>0.30350000000000005</v>
      </c>
      <c r="AY27" s="275">
        <f t="shared" ref="AY27" si="46">AX27+0.0025</f>
        <v>0.30600000000000005</v>
      </c>
      <c r="AZ27" s="275">
        <f t="shared" ref="AZ27" si="47">AY27+0.0025</f>
        <v>0.30850000000000005</v>
      </c>
      <c r="BA27" s="275">
        <f t="shared" ref="BA27" si="48">AZ27+0.0025</f>
        <v>0.31100000000000005</v>
      </c>
    </row>
    <row r="28" spans="2:80" s="240" customFormat="1" ht="15" hidden="1" customHeight="1" outlineLevel="1">
      <c r="B28" s="255" t="s">
        <v>109</v>
      </c>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7"/>
      <c r="AI28" s="257"/>
      <c r="AJ28" s="257"/>
      <c r="AK28" s="275">
        <v>0.24779999999999999</v>
      </c>
      <c r="AL28" s="275">
        <v>0.26100000000000001</v>
      </c>
      <c r="AM28" s="275">
        <f>AL28+0.005</f>
        <v>0.26600000000000001</v>
      </c>
      <c r="AN28" s="275">
        <f>AM28+0.015</f>
        <v>0.28100000000000003</v>
      </c>
      <c r="AO28" s="275">
        <f>AN28+0.0085</f>
        <v>0.28950000000000004</v>
      </c>
      <c r="AP28" s="275">
        <f t="shared" ref="AP28:BA28" si="49">AO28+0.002</f>
        <v>0.29150000000000004</v>
      </c>
      <c r="AQ28" s="275">
        <f t="shared" si="49"/>
        <v>0.29350000000000004</v>
      </c>
      <c r="AR28" s="275">
        <f t="shared" si="49"/>
        <v>0.29550000000000004</v>
      </c>
      <c r="AS28" s="275">
        <f t="shared" si="49"/>
        <v>0.29750000000000004</v>
      </c>
      <c r="AT28" s="275">
        <f t="shared" si="49"/>
        <v>0.29950000000000004</v>
      </c>
      <c r="AU28" s="275">
        <f t="shared" si="49"/>
        <v>0.30150000000000005</v>
      </c>
      <c r="AV28" s="275">
        <f t="shared" si="49"/>
        <v>0.30350000000000005</v>
      </c>
      <c r="AW28" s="275">
        <f t="shared" si="49"/>
        <v>0.30550000000000005</v>
      </c>
      <c r="AX28" s="275">
        <f t="shared" si="49"/>
        <v>0.30750000000000005</v>
      </c>
      <c r="AY28" s="275">
        <f t="shared" si="49"/>
        <v>0.30950000000000005</v>
      </c>
      <c r="AZ28" s="275">
        <f t="shared" si="49"/>
        <v>0.31150000000000005</v>
      </c>
      <c r="BA28" s="275">
        <f t="shared" si="49"/>
        <v>0.31350000000000006</v>
      </c>
    </row>
    <row r="29" spans="2:80" s="240" customFormat="1" ht="15" hidden="1" customHeight="1" outlineLevel="1">
      <c r="B29" s="255" t="s">
        <v>110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7"/>
      <c r="AI29" s="257"/>
      <c r="AJ29" s="257"/>
      <c r="AK29" s="275">
        <f>AK28</f>
        <v>0.24779999999999999</v>
      </c>
      <c r="AL29" s="275">
        <f>AL28</f>
        <v>0.26100000000000001</v>
      </c>
      <c r="AM29" s="275">
        <f>AL29+0.005</f>
        <v>0.26600000000000001</v>
      </c>
      <c r="AN29" s="275">
        <f t="shared" ref="AN29:AV29" si="50">AM29</f>
        <v>0.26600000000000001</v>
      </c>
      <c r="AO29" s="275">
        <f t="shared" si="50"/>
        <v>0.26600000000000001</v>
      </c>
      <c r="AP29" s="275">
        <f t="shared" si="50"/>
        <v>0.26600000000000001</v>
      </c>
      <c r="AQ29" s="275">
        <f t="shared" si="50"/>
        <v>0.26600000000000001</v>
      </c>
      <c r="AR29" s="275">
        <f t="shared" si="50"/>
        <v>0.26600000000000001</v>
      </c>
      <c r="AS29" s="275">
        <f t="shared" si="50"/>
        <v>0.26600000000000001</v>
      </c>
      <c r="AT29" s="275">
        <f t="shared" si="50"/>
        <v>0.26600000000000001</v>
      </c>
      <c r="AU29" s="275">
        <f t="shared" si="50"/>
        <v>0.26600000000000001</v>
      </c>
      <c r="AV29" s="275">
        <f t="shared" si="50"/>
        <v>0.26600000000000001</v>
      </c>
      <c r="AW29" s="275">
        <f t="shared" ref="AW29" si="51">AV29</f>
        <v>0.26600000000000001</v>
      </c>
      <c r="AX29" s="275">
        <f t="shared" ref="AX29" si="52">AW29</f>
        <v>0.26600000000000001</v>
      </c>
      <c r="AY29" s="275">
        <f t="shared" ref="AY29" si="53">AX29</f>
        <v>0.26600000000000001</v>
      </c>
      <c r="AZ29" s="275">
        <f t="shared" ref="AZ29" si="54">AY29</f>
        <v>0.26600000000000001</v>
      </c>
      <c r="BA29" s="275">
        <f t="shared" ref="BA29" si="55">AZ29</f>
        <v>0.26600000000000001</v>
      </c>
    </row>
    <row r="30" spans="2:80" s="245" customFormat="1" ht="15" customHeight="1" collapsed="1">
      <c r="B30" s="258" t="s">
        <v>24</v>
      </c>
      <c r="AH30" s="259"/>
      <c r="AI30" s="259"/>
      <c r="AJ30" s="259"/>
      <c r="AK30" s="260">
        <f t="shared" ref="AK30:AV30" si="56">CHOOSE($AK$3,AK27,AK28,AK29)</f>
        <v>0.24779999999999999</v>
      </c>
      <c r="AL30" s="260">
        <f t="shared" si="56"/>
        <v>0.26100000000000001</v>
      </c>
      <c r="AM30" s="260">
        <f t="shared" si="56"/>
        <v>0.26600000000000001</v>
      </c>
      <c r="AN30" s="260">
        <f t="shared" si="56"/>
        <v>0.28100000000000003</v>
      </c>
      <c r="AO30" s="260">
        <f t="shared" si="56"/>
        <v>0.28950000000000004</v>
      </c>
      <c r="AP30" s="260">
        <f t="shared" si="56"/>
        <v>0.29150000000000004</v>
      </c>
      <c r="AQ30" s="260">
        <f t="shared" si="56"/>
        <v>0.29350000000000004</v>
      </c>
      <c r="AR30" s="260">
        <f t="shared" si="56"/>
        <v>0.29550000000000004</v>
      </c>
      <c r="AS30" s="260">
        <f t="shared" si="56"/>
        <v>0.29750000000000004</v>
      </c>
      <c r="AT30" s="260">
        <f t="shared" si="56"/>
        <v>0.29950000000000004</v>
      </c>
      <c r="AU30" s="260">
        <f t="shared" si="56"/>
        <v>0.30150000000000005</v>
      </c>
      <c r="AV30" s="260">
        <f t="shared" si="56"/>
        <v>0.30350000000000005</v>
      </c>
      <c r="AW30" s="260">
        <f t="shared" ref="AW30:BA30" si="57">CHOOSE($AK$3,AW27,AW28,AW29)</f>
        <v>0.30550000000000005</v>
      </c>
      <c r="AX30" s="260">
        <f t="shared" si="57"/>
        <v>0.30750000000000005</v>
      </c>
      <c r="AY30" s="260">
        <f t="shared" si="57"/>
        <v>0.30950000000000005</v>
      </c>
      <c r="AZ30" s="260">
        <f t="shared" si="57"/>
        <v>0.31150000000000005</v>
      </c>
      <c r="BA30" s="260">
        <f t="shared" si="57"/>
        <v>0.31350000000000006</v>
      </c>
    </row>
    <row r="31" spans="2:80" s="240" customFormat="1" ht="15" hidden="1" customHeight="1" outlineLevel="1">
      <c r="B31" s="255" t="s">
        <v>108</v>
      </c>
      <c r="C31" s="256"/>
      <c r="D31" s="256"/>
      <c r="E31" s="256"/>
      <c r="F31" s="256"/>
      <c r="G31" s="256"/>
      <c r="H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7"/>
      <c r="AI31" s="257"/>
      <c r="AJ31" s="257"/>
      <c r="AK31" s="276">
        <f>AK32</f>
        <v>0.21062999999999998</v>
      </c>
      <c r="AL31" s="276">
        <f>AL32</f>
        <v>0.20545920000000001</v>
      </c>
      <c r="AM31" s="276">
        <f t="shared" ref="AM31:BA31" si="58">AM32</f>
        <v>0.19950000000000001</v>
      </c>
      <c r="AN31" s="276">
        <f t="shared" si="58"/>
        <v>0.21075000000000002</v>
      </c>
      <c r="AO31" s="276">
        <f t="shared" si="58"/>
        <v>0.21712500000000001</v>
      </c>
      <c r="AP31" s="276">
        <f t="shared" si="58"/>
        <v>0.21862500000000001</v>
      </c>
      <c r="AQ31" s="276">
        <f t="shared" si="58"/>
        <v>0.22012500000000002</v>
      </c>
      <c r="AR31" s="276">
        <f t="shared" si="58"/>
        <v>0.22162500000000002</v>
      </c>
      <c r="AS31" s="276">
        <f t="shared" si="58"/>
        <v>0.22312500000000002</v>
      </c>
      <c r="AT31" s="276">
        <f t="shared" si="58"/>
        <v>0.22462500000000002</v>
      </c>
      <c r="AU31" s="276">
        <f t="shared" si="58"/>
        <v>0.22612500000000002</v>
      </c>
      <c r="AV31" s="276">
        <f t="shared" si="58"/>
        <v>0.22762500000000002</v>
      </c>
      <c r="AW31" s="276">
        <f t="shared" si="58"/>
        <v>0.22912500000000002</v>
      </c>
      <c r="AX31" s="276">
        <f t="shared" si="58"/>
        <v>0.23062500000000002</v>
      </c>
      <c r="AY31" s="276">
        <f t="shared" si="58"/>
        <v>0.23212500000000003</v>
      </c>
      <c r="AZ31" s="276">
        <f t="shared" si="58"/>
        <v>0.23362500000000003</v>
      </c>
      <c r="BA31" s="276">
        <f t="shared" si="58"/>
        <v>0.23512500000000003</v>
      </c>
    </row>
    <row r="32" spans="2:80" s="240" customFormat="1" ht="15" hidden="1" customHeight="1" outlineLevel="1">
      <c r="B32" s="255" t="s">
        <v>109</v>
      </c>
      <c r="C32" s="256"/>
      <c r="D32" s="256"/>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7"/>
      <c r="AI32" s="257"/>
      <c r="AJ32" s="257"/>
      <c r="AK32" s="276">
        <f>AK28*0.85</f>
        <v>0.21062999999999998</v>
      </c>
      <c r="AL32" s="276">
        <f>AL28*0.7872</f>
        <v>0.20545920000000001</v>
      </c>
      <c r="AM32" s="276">
        <f>AM28*0.75</f>
        <v>0.19950000000000001</v>
      </c>
      <c r="AN32" s="276">
        <f t="shared" ref="AN32:AV32" si="59">AN28*0.75</f>
        <v>0.21075000000000002</v>
      </c>
      <c r="AO32" s="276">
        <f>AO28*0.75</f>
        <v>0.21712500000000001</v>
      </c>
      <c r="AP32" s="276">
        <f t="shared" si="59"/>
        <v>0.21862500000000001</v>
      </c>
      <c r="AQ32" s="276">
        <f t="shared" si="59"/>
        <v>0.22012500000000002</v>
      </c>
      <c r="AR32" s="276">
        <f t="shared" si="59"/>
        <v>0.22162500000000002</v>
      </c>
      <c r="AS32" s="276">
        <f t="shared" si="59"/>
        <v>0.22312500000000002</v>
      </c>
      <c r="AT32" s="276">
        <f t="shared" si="59"/>
        <v>0.22462500000000002</v>
      </c>
      <c r="AU32" s="276">
        <f t="shared" si="59"/>
        <v>0.22612500000000002</v>
      </c>
      <c r="AV32" s="276">
        <f t="shared" si="59"/>
        <v>0.22762500000000002</v>
      </c>
      <c r="AW32" s="276">
        <f t="shared" ref="AW32:BA32" si="60">AW28*0.75</f>
        <v>0.22912500000000002</v>
      </c>
      <c r="AX32" s="276">
        <f t="shared" si="60"/>
        <v>0.23062500000000002</v>
      </c>
      <c r="AY32" s="276">
        <f t="shared" si="60"/>
        <v>0.23212500000000003</v>
      </c>
      <c r="AZ32" s="276">
        <f t="shared" si="60"/>
        <v>0.23362500000000003</v>
      </c>
      <c r="BA32" s="276">
        <f t="shared" si="60"/>
        <v>0.23512500000000003</v>
      </c>
    </row>
    <row r="33" spans="2:53" s="240" customFormat="1" ht="15" hidden="1" customHeight="1" outlineLevel="1">
      <c r="B33" s="255" t="s">
        <v>110</v>
      </c>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7"/>
      <c r="AI33" s="257"/>
      <c r="AJ33" s="257"/>
      <c r="AK33" s="276">
        <f>AK32</f>
        <v>0.21062999999999998</v>
      </c>
      <c r="AL33" s="276">
        <f>AL32</f>
        <v>0.20545920000000001</v>
      </c>
      <c r="AM33" s="276">
        <f t="shared" ref="AM33:AV33" si="61">AM32</f>
        <v>0.19950000000000001</v>
      </c>
      <c r="AN33" s="276">
        <f t="shared" si="61"/>
        <v>0.21075000000000002</v>
      </c>
      <c r="AO33" s="276">
        <f t="shared" si="61"/>
        <v>0.21712500000000001</v>
      </c>
      <c r="AP33" s="276">
        <f t="shared" si="61"/>
        <v>0.21862500000000001</v>
      </c>
      <c r="AQ33" s="276">
        <f t="shared" si="61"/>
        <v>0.22012500000000002</v>
      </c>
      <c r="AR33" s="276">
        <f t="shared" si="61"/>
        <v>0.22162500000000002</v>
      </c>
      <c r="AS33" s="276">
        <f t="shared" si="61"/>
        <v>0.22312500000000002</v>
      </c>
      <c r="AT33" s="276">
        <f t="shared" si="61"/>
        <v>0.22462500000000002</v>
      </c>
      <c r="AU33" s="276">
        <f t="shared" si="61"/>
        <v>0.22612500000000002</v>
      </c>
      <c r="AV33" s="276">
        <f t="shared" si="61"/>
        <v>0.22762500000000002</v>
      </c>
      <c r="AW33" s="276">
        <f t="shared" ref="AW33:BA33" si="62">AW32</f>
        <v>0.22912500000000002</v>
      </c>
      <c r="AX33" s="276">
        <f t="shared" si="62"/>
        <v>0.23062500000000002</v>
      </c>
      <c r="AY33" s="276">
        <f t="shared" si="62"/>
        <v>0.23212500000000003</v>
      </c>
      <c r="AZ33" s="276">
        <f t="shared" si="62"/>
        <v>0.23362500000000003</v>
      </c>
      <c r="BA33" s="276">
        <f t="shared" si="62"/>
        <v>0.23512500000000003</v>
      </c>
    </row>
    <row r="34" spans="2:53" s="245" customFormat="1" ht="15" customHeight="1" collapsed="1">
      <c r="B34" s="258" t="s">
        <v>25</v>
      </c>
      <c r="AH34" s="259"/>
      <c r="AI34" s="259"/>
      <c r="AJ34" s="259"/>
      <c r="AK34" s="260">
        <f t="shared" ref="AK34:AV34" si="63">CHOOSE($AK$3,AK31,AK32,AK33)</f>
        <v>0.21062999999999998</v>
      </c>
      <c r="AL34" s="260">
        <f t="shared" si="63"/>
        <v>0.20545920000000001</v>
      </c>
      <c r="AM34" s="260">
        <f t="shared" si="63"/>
        <v>0.19950000000000001</v>
      </c>
      <c r="AN34" s="260">
        <f t="shared" si="63"/>
        <v>0.21075000000000002</v>
      </c>
      <c r="AO34" s="260">
        <f t="shared" si="63"/>
        <v>0.21712500000000001</v>
      </c>
      <c r="AP34" s="260">
        <f t="shared" si="63"/>
        <v>0.21862500000000001</v>
      </c>
      <c r="AQ34" s="260">
        <f t="shared" si="63"/>
        <v>0.22012500000000002</v>
      </c>
      <c r="AR34" s="260">
        <f t="shared" si="63"/>
        <v>0.22162500000000002</v>
      </c>
      <c r="AS34" s="260">
        <f t="shared" si="63"/>
        <v>0.22312500000000002</v>
      </c>
      <c r="AT34" s="260">
        <f t="shared" si="63"/>
        <v>0.22462500000000002</v>
      </c>
      <c r="AU34" s="260">
        <f t="shared" si="63"/>
        <v>0.22612500000000002</v>
      </c>
      <c r="AV34" s="260">
        <f t="shared" si="63"/>
        <v>0.22762500000000002</v>
      </c>
      <c r="AW34" s="260">
        <f t="shared" ref="AW34:BA34" si="64">CHOOSE($AK$3,AW31,AW32,AW33)</f>
        <v>0.22912500000000002</v>
      </c>
      <c r="AX34" s="260">
        <f t="shared" si="64"/>
        <v>0.23062500000000002</v>
      </c>
      <c r="AY34" s="260">
        <f t="shared" si="64"/>
        <v>0.23212500000000003</v>
      </c>
      <c r="AZ34" s="260">
        <f t="shared" si="64"/>
        <v>0.23362500000000003</v>
      </c>
      <c r="BA34" s="260">
        <f t="shared" si="64"/>
        <v>0.23512500000000003</v>
      </c>
    </row>
    <row r="35" spans="2:53" s="240" customFormat="1" ht="15" hidden="1" customHeight="1" outlineLevel="1">
      <c r="B35" s="255" t="s">
        <v>108</v>
      </c>
      <c r="C35" s="256"/>
      <c r="D35" s="256"/>
      <c r="E35" s="256"/>
      <c r="F35" s="256"/>
      <c r="G35" s="256"/>
      <c r="H35" s="256"/>
      <c r="I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7"/>
      <c r="AI35" s="257"/>
      <c r="AJ35" s="257"/>
      <c r="AK35" s="276">
        <f t="shared" ref="AK35:BA35" si="65">AK36</f>
        <v>0.17791916099999999</v>
      </c>
      <c r="AL35" s="276">
        <f t="shared" si="65"/>
        <v>0.16231276800000002</v>
      </c>
      <c r="AM35" s="276">
        <f t="shared" si="65"/>
        <v>0.14962500000000001</v>
      </c>
      <c r="AN35" s="276">
        <f t="shared" si="65"/>
        <v>0.15806250000000002</v>
      </c>
      <c r="AO35" s="276">
        <f t="shared" si="65"/>
        <v>0.16284375000000001</v>
      </c>
      <c r="AP35" s="276">
        <f t="shared" si="65"/>
        <v>0.16396875</v>
      </c>
      <c r="AQ35" s="276">
        <f t="shared" si="65"/>
        <v>0.16509375000000001</v>
      </c>
      <c r="AR35" s="276">
        <f t="shared" si="65"/>
        <v>0.16621875000000003</v>
      </c>
      <c r="AS35" s="276">
        <f t="shared" si="65"/>
        <v>0.16734375000000001</v>
      </c>
      <c r="AT35" s="276">
        <f t="shared" si="65"/>
        <v>0.16846875</v>
      </c>
      <c r="AU35" s="276">
        <f t="shared" si="65"/>
        <v>0.16959375000000002</v>
      </c>
      <c r="AV35" s="276">
        <f t="shared" si="65"/>
        <v>0.17071875000000003</v>
      </c>
      <c r="AW35" s="276">
        <f t="shared" si="65"/>
        <v>0.17184375000000002</v>
      </c>
      <c r="AX35" s="276">
        <f t="shared" si="65"/>
        <v>0.17296875</v>
      </c>
      <c r="AY35" s="276">
        <f t="shared" si="65"/>
        <v>0.17409375000000002</v>
      </c>
      <c r="AZ35" s="276">
        <f t="shared" si="65"/>
        <v>0.17521875000000003</v>
      </c>
      <c r="BA35" s="276">
        <f t="shared" si="65"/>
        <v>0.17634375000000002</v>
      </c>
    </row>
    <row r="36" spans="2:53" s="240" customFormat="1" ht="15" hidden="1" customHeight="1" outlineLevel="1">
      <c r="B36" s="255" t="s">
        <v>109</v>
      </c>
      <c r="C36" s="256"/>
      <c r="D36" s="256"/>
      <c r="E36" s="256"/>
      <c r="F36" s="256"/>
      <c r="G36" s="256"/>
      <c r="H36" s="256"/>
      <c r="I36" s="256"/>
      <c r="J36" s="256"/>
      <c r="K36" s="256"/>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7"/>
      <c r="AI36" s="257"/>
      <c r="AJ36" s="257"/>
      <c r="AK36" s="276">
        <f>AK32*0.8447</f>
        <v>0.17791916099999999</v>
      </c>
      <c r="AL36" s="276">
        <f>AL32*0.79</f>
        <v>0.16231276800000002</v>
      </c>
      <c r="AM36" s="276">
        <f>AM32*0.75</f>
        <v>0.14962500000000001</v>
      </c>
      <c r="AN36" s="276">
        <f t="shared" ref="AN36:AV36" si="66">AN32*0.75</f>
        <v>0.15806250000000002</v>
      </c>
      <c r="AO36" s="276">
        <f>AO32*0.75</f>
        <v>0.16284375000000001</v>
      </c>
      <c r="AP36" s="276">
        <f t="shared" si="66"/>
        <v>0.16396875</v>
      </c>
      <c r="AQ36" s="276">
        <f t="shared" si="66"/>
        <v>0.16509375000000001</v>
      </c>
      <c r="AR36" s="276">
        <f t="shared" si="66"/>
        <v>0.16621875000000003</v>
      </c>
      <c r="AS36" s="276">
        <f t="shared" si="66"/>
        <v>0.16734375000000001</v>
      </c>
      <c r="AT36" s="276">
        <f t="shared" si="66"/>
        <v>0.16846875</v>
      </c>
      <c r="AU36" s="276">
        <f t="shared" si="66"/>
        <v>0.16959375000000002</v>
      </c>
      <c r="AV36" s="276">
        <f t="shared" si="66"/>
        <v>0.17071875000000003</v>
      </c>
      <c r="AW36" s="276">
        <f t="shared" ref="AW36:BA36" si="67">AW32*0.75</f>
        <v>0.17184375000000002</v>
      </c>
      <c r="AX36" s="276">
        <f t="shared" si="67"/>
        <v>0.17296875</v>
      </c>
      <c r="AY36" s="276">
        <f t="shared" si="67"/>
        <v>0.17409375000000002</v>
      </c>
      <c r="AZ36" s="276">
        <f t="shared" si="67"/>
        <v>0.17521875000000003</v>
      </c>
      <c r="BA36" s="276">
        <f t="shared" si="67"/>
        <v>0.17634375000000002</v>
      </c>
    </row>
    <row r="37" spans="2:53" s="240" customFormat="1" ht="15" hidden="1" customHeight="1" outlineLevel="1">
      <c r="B37" s="255" t="s">
        <v>110</v>
      </c>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7"/>
      <c r="AI37" s="257"/>
      <c r="AJ37" s="257"/>
      <c r="AK37" s="276">
        <f t="shared" ref="AK37" si="68">AK36</f>
        <v>0.17791916099999999</v>
      </c>
      <c r="AL37" s="276">
        <f t="shared" ref="AL37:AV37" si="69">AL36</f>
        <v>0.16231276800000002</v>
      </c>
      <c r="AM37" s="276">
        <f t="shared" si="69"/>
        <v>0.14962500000000001</v>
      </c>
      <c r="AN37" s="276">
        <f t="shared" si="69"/>
        <v>0.15806250000000002</v>
      </c>
      <c r="AO37" s="276">
        <f t="shared" si="69"/>
        <v>0.16284375000000001</v>
      </c>
      <c r="AP37" s="276">
        <f t="shared" si="69"/>
        <v>0.16396875</v>
      </c>
      <c r="AQ37" s="276">
        <f t="shared" si="69"/>
        <v>0.16509375000000001</v>
      </c>
      <c r="AR37" s="276">
        <f t="shared" si="69"/>
        <v>0.16621875000000003</v>
      </c>
      <c r="AS37" s="276">
        <f t="shared" si="69"/>
        <v>0.16734375000000001</v>
      </c>
      <c r="AT37" s="276">
        <f t="shared" si="69"/>
        <v>0.16846875</v>
      </c>
      <c r="AU37" s="276">
        <f t="shared" si="69"/>
        <v>0.16959375000000002</v>
      </c>
      <c r="AV37" s="276">
        <f t="shared" si="69"/>
        <v>0.17071875000000003</v>
      </c>
      <c r="AW37" s="276">
        <f t="shared" ref="AW37:BA37" si="70">AW36</f>
        <v>0.17184375000000002</v>
      </c>
      <c r="AX37" s="276">
        <f t="shared" si="70"/>
        <v>0.17296875</v>
      </c>
      <c r="AY37" s="276">
        <f t="shared" si="70"/>
        <v>0.17409375000000002</v>
      </c>
      <c r="AZ37" s="276">
        <f t="shared" si="70"/>
        <v>0.17521875000000003</v>
      </c>
      <c r="BA37" s="276">
        <f t="shared" si="70"/>
        <v>0.17634375000000002</v>
      </c>
    </row>
    <row r="38" spans="2:53" s="245" customFormat="1" ht="15" customHeight="1" collapsed="1">
      <c r="B38" s="258" t="s">
        <v>68</v>
      </c>
      <c r="AH38" s="259"/>
      <c r="AI38" s="259"/>
      <c r="AJ38" s="259"/>
      <c r="AK38" s="260">
        <f t="shared" ref="AK38:AV38" si="71">CHOOSE($AK$3,AK35,AK36,AK37)</f>
        <v>0.17791916099999999</v>
      </c>
      <c r="AL38" s="260">
        <f t="shared" si="71"/>
        <v>0.16231276800000002</v>
      </c>
      <c r="AM38" s="260">
        <f t="shared" si="71"/>
        <v>0.14962500000000001</v>
      </c>
      <c r="AN38" s="260">
        <f t="shared" si="71"/>
        <v>0.15806250000000002</v>
      </c>
      <c r="AO38" s="260">
        <f t="shared" si="71"/>
        <v>0.16284375000000001</v>
      </c>
      <c r="AP38" s="260">
        <f t="shared" si="71"/>
        <v>0.16396875</v>
      </c>
      <c r="AQ38" s="260">
        <f t="shared" si="71"/>
        <v>0.16509375000000001</v>
      </c>
      <c r="AR38" s="260">
        <f t="shared" si="71"/>
        <v>0.16621875000000003</v>
      </c>
      <c r="AS38" s="260">
        <f t="shared" si="71"/>
        <v>0.16734375000000001</v>
      </c>
      <c r="AT38" s="260">
        <f t="shared" si="71"/>
        <v>0.16846875</v>
      </c>
      <c r="AU38" s="260">
        <f t="shared" si="71"/>
        <v>0.16959375000000002</v>
      </c>
      <c r="AV38" s="260">
        <f t="shared" si="71"/>
        <v>0.17071875000000003</v>
      </c>
      <c r="AW38" s="260">
        <f t="shared" ref="AW38:BA38" si="72">CHOOSE($AK$3,AW35,AW36,AW37)</f>
        <v>0.17184375000000002</v>
      </c>
      <c r="AX38" s="260">
        <f t="shared" si="72"/>
        <v>0.17296875</v>
      </c>
      <c r="AY38" s="260">
        <f t="shared" si="72"/>
        <v>0.17409375000000002</v>
      </c>
      <c r="AZ38" s="260">
        <f t="shared" si="72"/>
        <v>0.17521875000000003</v>
      </c>
      <c r="BA38" s="260">
        <f t="shared" si="72"/>
        <v>0.17634375000000002</v>
      </c>
    </row>
    <row r="39" spans="2:53" s="240" customFormat="1" ht="15" hidden="1" customHeight="1" outlineLevel="1">
      <c r="B39" s="255" t="s">
        <v>108</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7"/>
      <c r="AI39" s="257"/>
      <c r="AJ39" s="257"/>
      <c r="AK39" s="276">
        <f>AK40</f>
        <v>0.12454341269999998</v>
      </c>
      <c r="AL39" s="276">
        <f>AL40</f>
        <v>0.11361893760000001</v>
      </c>
      <c r="AM39" s="276">
        <f>AM40</f>
        <v>0.11011893760000001</v>
      </c>
      <c r="AN39" s="275">
        <f t="shared" ref="AN39:AV39" si="73">AM39+0.0025</f>
        <v>0.11261893760000001</v>
      </c>
      <c r="AO39" s="275">
        <f t="shared" si="73"/>
        <v>0.11511893760000001</v>
      </c>
      <c r="AP39" s="275">
        <f t="shared" si="73"/>
        <v>0.11761893760000001</v>
      </c>
      <c r="AQ39" s="275">
        <f t="shared" si="73"/>
        <v>0.12011893760000002</v>
      </c>
      <c r="AR39" s="275">
        <f t="shared" si="73"/>
        <v>0.12261893760000002</v>
      </c>
      <c r="AS39" s="275">
        <f t="shared" si="73"/>
        <v>0.12511893760000001</v>
      </c>
      <c r="AT39" s="275">
        <f t="shared" si="73"/>
        <v>0.12761893760000001</v>
      </c>
      <c r="AU39" s="275">
        <f t="shared" si="73"/>
        <v>0.13011893760000001</v>
      </c>
      <c r="AV39" s="275">
        <f t="shared" si="73"/>
        <v>0.13261893760000001</v>
      </c>
      <c r="AW39" s="275">
        <f t="shared" ref="AW39" si="74">AV39+0.0025</f>
        <v>0.13511893760000002</v>
      </c>
      <c r="AX39" s="275">
        <f t="shared" ref="AX39" si="75">AW39+0.0025</f>
        <v>0.13761893760000002</v>
      </c>
      <c r="AY39" s="275">
        <f t="shared" ref="AY39" si="76">AX39+0.0025</f>
        <v>0.14011893760000002</v>
      </c>
      <c r="AZ39" s="275">
        <f t="shared" ref="AZ39" si="77">AY39+0.0025</f>
        <v>0.14261893760000002</v>
      </c>
      <c r="BA39" s="275">
        <f t="shared" ref="BA39" si="78">AZ39+0.0025</f>
        <v>0.14511893760000003</v>
      </c>
    </row>
    <row r="40" spans="2:53" s="240" customFormat="1" ht="15" hidden="1" customHeight="1" outlineLevel="1">
      <c r="B40" s="255" t="s">
        <v>109</v>
      </c>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7"/>
      <c r="AI40" s="257"/>
      <c r="AJ40" s="257"/>
      <c r="AK40" s="276">
        <f>AK36*0.7</f>
        <v>0.12454341269999998</v>
      </c>
      <c r="AL40" s="276">
        <f>AL36*0.7</f>
        <v>0.11361893760000001</v>
      </c>
      <c r="AM40" s="275">
        <f>AL40-0.0035</f>
        <v>0.11011893760000001</v>
      </c>
      <c r="AN40" s="275">
        <f>AM40+0.002</f>
        <v>0.11211893760000001</v>
      </c>
      <c r="AO40" s="275">
        <f>AN40+0.0095</f>
        <v>0.1216189376</v>
      </c>
      <c r="AP40" s="275">
        <f t="shared" ref="AP40:BA40" si="79">AO40+0.002</f>
        <v>0.12361893760000001</v>
      </c>
      <c r="AQ40" s="275">
        <f t="shared" si="79"/>
        <v>0.12561893760000001</v>
      </c>
      <c r="AR40" s="275">
        <f t="shared" si="79"/>
        <v>0.12761893760000001</v>
      </c>
      <c r="AS40" s="275">
        <f t="shared" si="79"/>
        <v>0.12961893760000001</v>
      </c>
      <c r="AT40" s="275">
        <f t="shared" si="79"/>
        <v>0.13161893760000001</v>
      </c>
      <c r="AU40" s="275">
        <f t="shared" si="79"/>
        <v>0.13361893760000002</v>
      </c>
      <c r="AV40" s="275">
        <f t="shared" si="79"/>
        <v>0.13561893760000002</v>
      </c>
      <c r="AW40" s="275">
        <f t="shared" si="79"/>
        <v>0.13761893760000002</v>
      </c>
      <c r="AX40" s="275">
        <f t="shared" si="79"/>
        <v>0.13961893760000002</v>
      </c>
      <c r="AY40" s="275">
        <f t="shared" si="79"/>
        <v>0.14161893760000002</v>
      </c>
      <c r="AZ40" s="275">
        <f t="shared" si="79"/>
        <v>0.14361893760000002</v>
      </c>
      <c r="BA40" s="275">
        <f t="shared" si="79"/>
        <v>0.14561893760000003</v>
      </c>
    </row>
    <row r="41" spans="2:53" s="240" customFormat="1" ht="15" hidden="1" customHeight="1" outlineLevel="1">
      <c r="B41" s="255" t="s">
        <v>110</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7"/>
      <c r="AI41" s="257"/>
      <c r="AJ41" s="257"/>
      <c r="AK41" s="276">
        <f>AK40</f>
        <v>0.12454341269999998</v>
      </c>
      <c r="AL41" s="276">
        <f>AL40</f>
        <v>0.11361893760000001</v>
      </c>
      <c r="AM41" s="276">
        <f>AM40</f>
        <v>0.11011893760000001</v>
      </c>
      <c r="AN41" s="275">
        <f t="shared" ref="AN41:AV41" si="80">AM41</f>
        <v>0.11011893760000001</v>
      </c>
      <c r="AO41" s="275">
        <f t="shared" si="80"/>
        <v>0.11011893760000001</v>
      </c>
      <c r="AP41" s="275">
        <f t="shared" si="80"/>
        <v>0.11011893760000001</v>
      </c>
      <c r="AQ41" s="275">
        <f t="shared" si="80"/>
        <v>0.11011893760000001</v>
      </c>
      <c r="AR41" s="275">
        <f t="shared" si="80"/>
        <v>0.11011893760000001</v>
      </c>
      <c r="AS41" s="275">
        <f t="shared" si="80"/>
        <v>0.11011893760000001</v>
      </c>
      <c r="AT41" s="275">
        <f t="shared" si="80"/>
        <v>0.11011893760000001</v>
      </c>
      <c r="AU41" s="275">
        <f t="shared" si="80"/>
        <v>0.11011893760000001</v>
      </c>
      <c r="AV41" s="275">
        <f t="shared" si="80"/>
        <v>0.11011893760000001</v>
      </c>
      <c r="AW41" s="275">
        <f t="shared" ref="AW41" si="81">AV41</f>
        <v>0.11011893760000001</v>
      </c>
      <c r="AX41" s="275">
        <f t="shared" ref="AX41" si="82">AW41</f>
        <v>0.11011893760000001</v>
      </c>
      <c r="AY41" s="275">
        <f t="shared" ref="AY41" si="83">AX41</f>
        <v>0.11011893760000001</v>
      </c>
      <c r="AZ41" s="275">
        <f t="shared" ref="AZ41" si="84">AY41</f>
        <v>0.11011893760000001</v>
      </c>
      <c r="BA41" s="275">
        <f t="shared" ref="BA41" si="85">AZ41</f>
        <v>0.11011893760000001</v>
      </c>
    </row>
    <row r="42" spans="2:53" s="245" customFormat="1" ht="15" customHeight="1" collapsed="1">
      <c r="B42" s="258" t="s">
        <v>26</v>
      </c>
      <c r="AH42" s="259"/>
      <c r="AI42" s="259"/>
      <c r="AJ42" s="259"/>
      <c r="AK42" s="260">
        <f t="shared" ref="AK42:AV42" si="86">CHOOSE($AK$3,AK39,AK40,AK41)</f>
        <v>0.12454341269999998</v>
      </c>
      <c r="AL42" s="260">
        <f t="shared" si="86"/>
        <v>0.11361893760000001</v>
      </c>
      <c r="AM42" s="260">
        <f t="shared" si="86"/>
        <v>0.11011893760000001</v>
      </c>
      <c r="AN42" s="260">
        <f t="shared" si="86"/>
        <v>0.11211893760000001</v>
      </c>
      <c r="AO42" s="260">
        <f t="shared" si="86"/>
        <v>0.1216189376</v>
      </c>
      <c r="AP42" s="260">
        <f t="shared" si="86"/>
        <v>0.12361893760000001</v>
      </c>
      <c r="AQ42" s="260">
        <f t="shared" si="86"/>
        <v>0.12561893760000001</v>
      </c>
      <c r="AR42" s="260">
        <f t="shared" si="86"/>
        <v>0.12761893760000001</v>
      </c>
      <c r="AS42" s="260">
        <f t="shared" si="86"/>
        <v>0.12961893760000001</v>
      </c>
      <c r="AT42" s="260">
        <f t="shared" si="86"/>
        <v>0.13161893760000001</v>
      </c>
      <c r="AU42" s="260">
        <f t="shared" si="86"/>
        <v>0.13361893760000002</v>
      </c>
      <c r="AV42" s="260">
        <f t="shared" si="86"/>
        <v>0.13561893760000002</v>
      </c>
      <c r="AW42" s="260">
        <f t="shared" ref="AW42:BA42" si="87">CHOOSE($AK$3,AW39,AW40,AW41)</f>
        <v>0.13761893760000002</v>
      </c>
      <c r="AX42" s="260">
        <f t="shared" si="87"/>
        <v>0.13961893760000002</v>
      </c>
      <c r="AY42" s="260">
        <f t="shared" si="87"/>
        <v>0.14161893760000002</v>
      </c>
      <c r="AZ42" s="260">
        <f t="shared" si="87"/>
        <v>0.14361893760000002</v>
      </c>
      <c r="BA42" s="260">
        <f t="shared" si="87"/>
        <v>0.14561893760000003</v>
      </c>
    </row>
    <row r="44" spans="2:53" s="240" customFormat="1" ht="15" customHeight="1">
      <c r="B44" s="261" t="s">
        <v>198</v>
      </c>
      <c r="AH44" s="262">
        <v>0.95</v>
      </c>
      <c r="AI44" s="250">
        <f>AH44</f>
        <v>0.95</v>
      </c>
      <c r="AJ44" s="250">
        <f t="shared" ref="AJ44:AV44" si="88">AI44</f>
        <v>0.95</v>
      </c>
      <c r="AK44" s="250">
        <f t="shared" si="88"/>
        <v>0.95</v>
      </c>
      <c r="AL44" s="250">
        <f t="shared" si="88"/>
        <v>0.95</v>
      </c>
      <c r="AM44" s="250">
        <f t="shared" si="88"/>
        <v>0.95</v>
      </c>
      <c r="AN44" s="250">
        <f t="shared" si="88"/>
        <v>0.95</v>
      </c>
      <c r="AO44" s="250">
        <f t="shared" si="88"/>
        <v>0.95</v>
      </c>
      <c r="AP44" s="250">
        <f t="shared" si="88"/>
        <v>0.95</v>
      </c>
      <c r="AQ44" s="250">
        <f t="shared" si="88"/>
        <v>0.95</v>
      </c>
      <c r="AR44" s="250">
        <f t="shared" si="88"/>
        <v>0.95</v>
      </c>
      <c r="AS44" s="250">
        <f t="shared" si="88"/>
        <v>0.95</v>
      </c>
      <c r="AT44" s="250">
        <f t="shared" si="88"/>
        <v>0.95</v>
      </c>
      <c r="AU44" s="250">
        <f t="shared" si="88"/>
        <v>0.95</v>
      </c>
      <c r="AV44" s="250">
        <f t="shared" si="88"/>
        <v>0.95</v>
      </c>
      <c r="AW44" s="250">
        <f t="shared" ref="AW44" si="89">AV44</f>
        <v>0.95</v>
      </c>
      <c r="AX44" s="250">
        <f t="shared" ref="AX44" si="90">AW44</f>
        <v>0.95</v>
      </c>
      <c r="AY44" s="250">
        <f t="shared" ref="AY44" si="91">AX44</f>
        <v>0.95</v>
      </c>
      <c r="AZ44" s="250">
        <f t="shared" ref="AZ44" si="92">AY44</f>
        <v>0.95</v>
      </c>
      <c r="BA44" s="250">
        <f t="shared" ref="BA44" si="93">AZ44</f>
        <v>0.95</v>
      </c>
    </row>
    <row r="46" spans="2:53" s="240" customFormat="1" ht="15" customHeight="1">
      <c r="B46" s="264" t="s">
        <v>199</v>
      </c>
      <c r="C46" s="264"/>
      <c r="D46" s="264"/>
      <c r="E46" s="264"/>
      <c r="F46" s="264"/>
      <c r="G46" s="264"/>
      <c r="H46" s="264"/>
      <c r="I46" s="264"/>
      <c r="J46" s="264"/>
      <c r="K46" s="264"/>
      <c r="L46" s="264"/>
      <c r="M46" s="264"/>
      <c r="N46" s="264"/>
      <c r="O46" s="264"/>
      <c r="P46" s="264"/>
      <c r="Q46" s="264"/>
      <c r="R46" s="264"/>
      <c r="S46" s="264"/>
      <c r="T46" s="264"/>
      <c r="U46" s="264"/>
      <c r="V46" s="264"/>
      <c r="W46" s="264"/>
      <c r="X46" s="264"/>
      <c r="Y46" s="264"/>
      <c r="Z46" s="264"/>
      <c r="AA46" s="264"/>
      <c r="AB46" s="264"/>
      <c r="AC46" s="264"/>
      <c r="AD46" s="264"/>
      <c r="AE46" s="264"/>
      <c r="AF46" s="264"/>
      <c r="AG46" s="264"/>
      <c r="AH46" s="263"/>
      <c r="AI46" s="263"/>
      <c r="AJ46" s="263"/>
      <c r="AK46" s="263"/>
      <c r="AL46" s="263"/>
      <c r="AM46" s="263"/>
      <c r="AN46" s="263"/>
      <c r="AO46" s="263"/>
      <c r="AP46" s="263"/>
      <c r="AQ46" s="263"/>
      <c r="AR46" s="263"/>
      <c r="AS46" s="263"/>
      <c r="AT46" s="263"/>
      <c r="AU46" s="263"/>
      <c r="AV46" s="263"/>
      <c r="AW46" s="263"/>
      <c r="AX46" s="263"/>
      <c r="AY46" s="263"/>
      <c r="AZ46" s="263"/>
      <c r="BA46" s="263"/>
    </row>
    <row r="47" spans="2:53" s="240" customFormat="1" ht="15" customHeight="1">
      <c r="B47" s="247" t="s">
        <v>24</v>
      </c>
      <c r="AH47" s="263"/>
      <c r="AI47" s="263"/>
      <c r="AJ47" s="263"/>
      <c r="AK47" s="263">
        <f>AK30*AK21</f>
        <v>107.76762797530844</v>
      </c>
      <c r="AL47" s="263">
        <f t="shared" ref="AL47:AV47" si="94">AL30*AL21</f>
        <v>114.07581782107863</v>
      </c>
      <c r="AM47" s="263">
        <f t="shared" si="94"/>
        <v>116.84248420731396</v>
      </c>
      <c r="AN47" s="263">
        <f t="shared" si="94"/>
        <v>124.04850282919739</v>
      </c>
      <c r="AO47" s="263">
        <f t="shared" si="94"/>
        <v>128.4398639747256</v>
      </c>
      <c r="AP47" s="263">
        <f t="shared" si="94"/>
        <v>129.97382193566725</v>
      </c>
      <c r="AQ47" s="263">
        <f t="shared" si="94"/>
        <v>131.51990847961895</v>
      </c>
      <c r="AR47" s="263">
        <f t="shared" si="94"/>
        <v>133.07820654346179</v>
      </c>
      <c r="AS47" s="263">
        <f t="shared" si="94"/>
        <v>134.64879959023105</v>
      </c>
      <c r="AT47" s="263">
        <f t="shared" si="94"/>
        <v>136.23177161230444</v>
      </c>
      <c r="AU47" s="263">
        <f t="shared" si="94"/>
        <v>137.82720713460878</v>
      </c>
      <c r="AV47" s="263">
        <f t="shared" si="94"/>
        <v>139.43519121784587</v>
      </c>
      <c r="AW47" s="263">
        <f t="shared" ref="AW47:BA47" si="95">AW30*AW21</f>
        <v>141.05580946173697</v>
      </c>
      <c r="AX47" s="263">
        <f t="shared" si="95"/>
        <v>142.68914800828654</v>
      </c>
      <c r="AY47" s="263">
        <f t="shared" si="95"/>
        <v>144.33529354506504</v>
      </c>
      <c r="AZ47" s="263">
        <f t="shared" si="95"/>
        <v>145.99433330851113</v>
      </c>
      <c r="BA47" s="263">
        <f t="shared" si="95"/>
        <v>147.66635508725307</v>
      </c>
    </row>
    <row r="48" spans="2:53" s="240" customFormat="1" ht="15" customHeight="1">
      <c r="B48" s="247" t="s">
        <v>25</v>
      </c>
      <c r="AH48" s="263"/>
      <c r="AI48" s="263"/>
      <c r="AJ48" s="263"/>
      <c r="AK48" s="263">
        <f>AK22*AK34</f>
        <v>121.23737733467557</v>
      </c>
      <c r="AL48" s="263">
        <f t="shared" ref="AL48:AV48" si="96">AL22*AL34</f>
        <v>118.4976177486357</v>
      </c>
      <c r="AM48" s="263">
        <f t="shared" si="96"/>
        <v>115.29079880742513</v>
      </c>
      <c r="AN48" s="263">
        <f t="shared" si="96"/>
        <v>122.0357439617152</v>
      </c>
      <c r="AO48" s="263">
        <f t="shared" si="96"/>
        <v>125.97867107711876</v>
      </c>
      <c r="AP48" s="263">
        <f t="shared" si="96"/>
        <v>127.10268802838715</v>
      </c>
      <c r="AQ48" s="263">
        <f t="shared" si="96"/>
        <v>128.2306971327763</v>
      </c>
      <c r="AR48" s="263">
        <f t="shared" si="96"/>
        <v>129.36270986283088</v>
      </c>
      <c r="AS48" s="263">
        <f t="shared" si="96"/>
        <v>130.49873772101716</v>
      </c>
      <c r="AT48" s="263">
        <f t="shared" si="96"/>
        <v>131.63879223979674</v>
      </c>
      <c r="AU48" s="263">
        <f t="shared" si="96"/>
        <v>132.78288498170056</v>
      </c>
      <c r="AV48" s="263">
        <f t="shared" si="96"/>
        <v>133.93102753940303</v>
      </c>
      <c r="AW48" s="263">
        <f t="shared" ref="AW48:BA48" si="97">AW22*AW34</f>
        <v>135.08323153579636</v>
      </c>
      <c r="AX48" s="263">
        <f t="shared" si="97"/>
        <v>136.23950862406511</v>
      </c>
      <c r="AY48" s="263">
        <f t="shared" si="97"/>
        <v>137.39987048776081</v>
      </c>
      <c r="AZ48" s="263">
        <f t="shared" si="97"/>
        <v>138.56432884087681</v>
      </c>
      <c r="BA48" s="263">
        <f t="shared" si="97"/>
        <v>139.73289542792335</v>
      </c>
    </row>
    <row r="49" spans="2:53" s="240" customFormat="1" ht="15" customHeight="1">
      <c r="B49" s="247" t="s">
        <v>68</v>
      </c>
      <c r="AH49" s="263"/>
      <c r="AI49" s="263"/>
      <c r="AJ49" s="263"/>
      <c r="AK49" s="263">
        <f>AK23*AK38</f>
        <v>22.84730961196626</v>
      </c>
      <c r="AL49" s="263">
        <f t="shared" ref="AL49:AV49" si="98">AL23*AL38</f>
        <v>20.682301640869849</v>
      </c>
      <c r="AM49" s="263">
        <f t="shared" si="98"/>
        <v>18.923876155722795</v>
      </c>
      <c r="AN49" s="263">
        <f t="shared" si="98"/>
        <v>19.848251065955701</v>
      </c>
      <c r="AO49" s="263">
        <f t="shared" si="98"/>
        <v>20.30866522756034</v>
      </c>
      <c r="AP49" s="263">
        <f t="shared" si="98"/>
        <v>20.315115374486865</v>
      </c>
      <c r="AQ49" s="263">
        <f t="shared" si="98"/>
        <v>20.326813470841159</v>
      </c>
      <c r="AR49" s="263">
        <f t="shared" si="98"/>
        <v>20.343847131824894</v>
      </c>
      <c r="AS49" s="263">
        <f t="shared" si="98"/>
        <v>20.366302880867703</v>
      </c>
      <c r="AT49" s="263">
        <f t="shared" si="98"/>
        <v>20.394266161343079</v>
      </c>
      <c r="AU49" s="263">
        <f t="shared" si="98"/>
        <v>20.427821348167178</v>
      </c>
      <c r="AV49" s="263">
        <f t="shared" si="98"/>
        <v>20.467051759281418</v>
      </c>
      <c r="AW49" s="263">
        <f t="shared" ref="AW49:BA49" si="99">AW23*AW38</f>
        <v>20.512039667020257</v>
      </c>
      <c r="AX49" s="263">
        <f t="shared" si="99"/>
        <v>20.562866309365067</v>
      </c>
      <c r="AY49" s="263">
        <f t="shared" si="99"/>
        <v>20.619611901085218</v>
      </c>
      <c r="AZ49" s="263">
        <f t="shared" si="99"/>
        <v>20.682355644767554</v>
      </c>
      <c r="BA49" s="263">
        <f t="shared" si="99"/>
        <v>20.751175741735171</v>
      </c>
    </row>
    <row r="50" spans="2:53" s="240" customFormat="1" ht="15" customHeight="1">
      <c r="B50" s="247" t="s">
        <v>26</v>
      </c>
      <c r="AH50" s="263"/>
      <c r="AI50" s="263"/>
      <c r="AJ50" s="263"/>
      <c r="AK50" s="263">
        <f>AK42*AK24</f>
        <v>882.86623494535877</v>
      </c>
      <c r="AL50" s="263">
        <f t="shared" ref="AL50:AV50" si="100">AL42*AL24</f>
        <v>807.07529111868803</v>
      </c>
      <c r="AM50" s="263">
        <f t="shared" si="100"/>
        <v>783.85284399821751</v>
      </c>
      <c r="AN50" s="263">
        <f t="shared" si="100"/>
        <v>799.79829264849604</v>
      </c>
      <c r="AO50" s="263">
        <f t="shared" si="100"/>
        <v>869.46321082704162</v>
      </c>
      <c r="AP50" s="263">
        <f t="shared" si="100"/>
        <v>885.73296907023803</v>
      </c>
      <c r="AQ50" s="263">
        <f t="shared" si="100"/>
        <v>902.11056333772467</v>
      </c>
      <c r="AR50" s="263">
        <f t="shared" si="100"/>
        <v>918.5978714393234</v>
      </c>
      <c r="AS50" s="263">
        <f t="shared" si="100"/>
        <v>935.19675947277153</v>
      </c>
      <c r="AT50" s="263">
        <f t="shared" si="100"/>
        <v>951.90908199500859</v>
      </c>
      <c r="AU50" s="263">
        <f t="shared" si="100"/>
        <v>968.73668219209958</v>
      </c>
      <c r="AV50" s="263">
        <f t="shared" si="100"/>
        <v>985.68139204780391</v>
      </c>
      <c r="AW50" s="263">
        <f t="shared" ref="AW50:BA50" si="101">AW42*AW24</f>
        <v>1002.7450325108097</v>
      </c>
      <c r="AX50" s="263">
        <f t="shared" si="101"/>
        <v>1019.9294136606446</v>
      </c>
      <c r="AY50" s="263">
        <f t="shared" si="101"/>
        <v>1037.2363348722781</v>
      </c>
      <c r="AZ50" s="263">
        <f t="shared" si="101"/>
        <v>1054.6675849794301</v>
      </c>
      <c r="BA50" s="263">
        <f t="shared" si="101"/>
        <v>1072.224942436595</v>
      </c>
    </row>
    <row r="51" spans="2:53" s="240" customFormat="1" ht="15" customHeight="1">
      <c r="B51" s="254"/>
      <c r="AH51" s="263"/>
      <c r="AI51" s="263"/>
      <c r="AJ51" s="263"/>
      <c r="AK51" s="263"/>
      <c r="AL51" s="263"/>
      <c r="AM51" s="263"/>
      <c r="AN51" s="263"/>
      <c r="AO51" s="263"/>
      <c r="AP51" s="263"/>
      <c r="AQ51" s="263"/>
      <c r="AR51" s="263"/>
      <c r="AS51" s="263"/>
      <c r="AT51" s="263"/>
      <c r="AU51" s="263"/>
      <c r="AV51" s="263"/>
      <c r="AW51" s="263"/>
      <c r="AX51" s="263"/>
      <c r="AY51" s="263"/>
      <c r="AZ51" s="263"/>
      <c r="BA51" s="263"/>
    </row>
    <row r="52" spans="2:53" s="240" customFormat="1" ht="15" customHeight="1">
      <c r="B52" s="245" t="s">
        <v>196</v>
      </c>
      <c r="AH52" s="250"/>
      <c r="AI52" s="250"/>
      <c r="AJ52" s="250"/>
      <c r="AK52" s="250"/>
      <c r="AL52" s="250"/>
      <c r="AM52" s="250"/>
      <c r="AN52" s="250"/>
      <c r="AO52" s="250"/>
      <c r="AP52" s="250"/>
      <c r="AQ52" s="250"/>
      <c r="AR52" s="250"/>
      <c r="AS52" s="250"/>
      <c r="AT52" s="250"/>
      <c r="AU52" s="250"/>
      <c r="AV52" s="250"/>
      <c r="AW52" s="250"/>
      <c r="AX52" s="250"/>
      <c r="AY52" s="250"/>
      <c r="AZ52" s="250"/>
      <c r="BA52" s="250"/>
    </row>
    <row r="53" spans="2:53" s="240" customFormat="1" ht="15" customHeight="1">
      <c r="B53" s="247" t="s">
        <v>24</v>
      </c>
      <c r="AH53" s="265"/>
      <c r="AI53" s="266"/>
      <c r="AJ53" s="266"/>
      <c r="AK53" s="265">
        <f>52*30/5*1729/1000</f>
        <v>539.44799999999998</v>
      </c>
      <c r="AL53" s="265">
        <f>52*30/5*1755/1000</f>
        <v>547.55999999999995</v>
      </c>
      <c r="AM53" s="277">
        <f t="shared" ref="AM53" si="102">AL53*1.015</f>
        <v>555.77339999999992</v>
      </c>
      <c r="AN53" s="265">
        <f>52*30/5*1795/1000</f>
        <v>560.04</v>
      </c>
      <c r="AO53" s="266">
        <f t="shared" ref="AO53:AV53" si="103">AN53*1.01</f>
        <v>565.6404</v>
      </c>
      <c r="AP53" s="266">
        <f t="shared" si="103"/>
        <v>571.29680399999995</v>
      </c>
      <c r="AQ53" s="266">
        <f t="shared" si="103"/>
        <v>577.00977203999992</v>
      </c>
      <c r="AR53" s="266">
        <f t="shared" si="103"/>
        <v>582.77986976039995</v>
      </c>
      <c r="AS53" s="266">
        <f t="shared" si="103"/>
        <v>588.6076684580039</v>
      </c>
      <c r="AT53" s="266">
        <f t="shared" si="103"/>
        <v>594.49374514258398</v>
      </c>
      <c r="AU53" s="266">
        <f t="shared" si="103"/>
        <v>600.43868259400983</v>
      </c>
      <c r="AV53" s="266">
        <f t="shared" si="103"/>
        <v>606.44306941994989</v>
      </c>
      <c r="AW53" s="266">
        <f t="shared" ref="AW53:BA53" si="104">AV53*1.01</f>
        <v>612.50750011414937</v>
      </c>
      <c r="AX53" s="266">
        <f t="shared" si="104"/>
        <v>618.63257511529082</v>
      </c>
      <c r="AY53" s="266">
        <f t="shared" si="104"/>
        <v>624.81890086644376</v>
      </c>
      <c r="AZ53" s="266">
        <f t="shared" si="104"/>
        <v>631.06708987510819</v>
      </c>
      <c r="BA53" s="266">
        <f t="shared" si="104"/>
        <v>637.37776077385934</v>
      </c>
    </row>
    <row r="54" spans="2:53" s="240" customFormat="1" ht="15" customHeight="1">
      <c r="B54" s="247" t="s">
        <v>25</v>
      </c>
      <c r="AH54" s="265"/>
      <c r="AI54" s="266"/>
      <c r="AJ54" s="266"/>
      <c r="AK54" s="266">
        <f>AK53*0.95</f>
        <v>512.47559999999999</v>
      </c>
      <c r="AL54" s="266">
        <f t="shared" ref="AL54:AV54" si="105">AL53*0.95</f>
        <v>520.1819999999999</v>
      </c>
      <c r="AM54" s="266">
        <f t="shared" si="105"/>
        <v>527.9847299999999</v>
      </c>
      <c r="AN54" s="266">
        <f t="shared" si="105"/>
        <v>532.0379999999999</v>
      </c>
      <c r="AO54" s="266">
        <f t="shared" si="105"/>
        <v>537.35838000000001</v>
      </c>
      <c r="AP54" s="266">
        <f t="shared" si="105"/>
        <v>542.7319637999999</v>
      </c>
      <c r="AQ54" s="266">
        <f t="shared" si="105"/>
        <v>548.15928343799987</v>
      </c>
      <c r="AR54" s="266">
        <f t="shared" si="105"/>
        <v>553.64087627237996</v>
      </c>
      <c r="AS54" s="266">
        <f t="shared" si="105"/>
        <v>559.17728503510364</v>
      </c>
      <c r="AT54" s="266">
        <f t="shared" si="105"/>
        <v>564.7690578854548</v>
      </c>
      <c r="AU54" s="266">
        <f t="shared" si="105"/>
        <v>570.41674846430931</v>
      </c>
      <c r="AV54" s="266">
        <f t="shared" si="105"/>
        <v>576.12091594895242</v>
      </c>
      <c r="AW54" s="266">
        <f t="shared" ref="AW54:BA54" si="106">AW53*0.95</f>
        <v>581.88212510844187</v>
      </c>
      <c r="AX54" s="266">
        <f t="shared" si="106"/>
        <v>587.70094635952626</v>
      </c>
      <c r="AY54" s="266">
        <f t="shared" si="106"/>
        <v>593.57795582312156</v>
      </c>
      <c r="AZ54" s="266">
        <f t="shared" si="106"/>
        <v>599.51373538135272</v>
      </c>
      <c r="BA54" s="266">
        <f t="shared" si="106"/>
        <v>605.50887273516639</v>
      </c>
    </row>
    <row r="55" spans="2:53" s="240" customFormat="1" ht="15" customHeight="1">
      <c r="B55" s="247" t="s">
        <v>68</v>
      </c>
      <c r="AH55" s="265"/>
      <c r="AI55" s="266"/>
      <c r="AJ55" s="266"/>
      <c r="AK55" s="266">
        <f>AK54</f>
        <v>512.47559999999999</v>
      </c>
      <c r="AL55" s="266">
        <f t="shared" ref="AL55:AV55" si="107">AL54</f>
        <v>520.1819999999999</v>
      </c>
      <c r="AM55" s="266">
        <f t="shared" si="107"/>
        <v>527.9847299999999</v>
      </c>
      <c r="AN55" s="266">
        <f t="shared" si="107"/>
        <v>532.0379999999999</v>
      </c>
      <c r="AO55" s="266">
        <f t="shared" si="107"/>
        <v>537.35838000000001</v>
      </c>
      <c r="AP55" s="266">
        <f t="shared" si="107"/>
        <v>542.7319637999999</v>
      </c>
      <c r="AQ55" s="266">
        <f t="shared" si="107"/>
        <v>548.15928343799987</v>
      </c>
      <c r="AR55" s="266">
        <f t="shared" si="107"/>
        <v>553.64087627237996</v>
      </c>
      <c r="AS55" s="266">
        <f t="shared" si="107"/>
        <v>559.17728503510364</v>
      </c>
      <c r="AT55" s="266">
        <f t="shared" si="107"/>
        <v>564.7690578854548</v>
      </c>
      <c r="AU55" s="266">
        <f t="shared" si="107"/>
        <v>570.41674846430931</v>
      </c>
      <c r="AV55" s="266">
        <f t="shared" si="107"/>
        <v>576.12091594895242</v>
      </c>
      <c r="AW55" s="266">
        <f t="shared" ref="AW55:BA55" si="108">AW54</f>
        <v>581.88212510844187</v>
      </c>
      <c r="AX55" s="266">
        <f t="shared" si="108"/>
        <v>587.70094635952626</v>
      </c>
      <c r="AY55" s="266">
        <f t="shared" si="108"/>
        <v>593.57795582312156</v>
      </c>
      <c r="AZ55" s="266">
        <f t="shared" si="108"/>
        <v>599.51373538135272</v>
      </c>
      <c r="BA55" s="266">
        <f t="shared" si="108"/>
        <v>605.50887273516639</v>
      </c>
    </row>
    <row r="56" spans="2:53" s="240" customFormat="1" ht="15" customHeight="1">
      <c r="B56" s="247" t="s">
        <v>26</v>
      </c>
      <c r="AH56" s="265"/>
      <c r="AI56" s="266"/>
      <c r="AJ56" s="266"/>
      <c r="AK56" s="266">
        <f>AK53*0.75</f>
        <v>404.58600000000001</v>
      </c>
      <c r="AL56" s="266">
        <f>AK56</f>
        <v>404.58600000000001</v>
      </c>
      <c r="AM56" s="266">
        <f t="shared" ref="AM56:AV56" si="109">AL56</f>
        <v>404.58600000000001</v>
      </c>
      <c r="AN56" s="266">
        <f t="shared" si="109"/>
        <v>404.58600000000001</v>
      </c>
      <c r="AO56" s="266">
        <f t="shared" si="109"/>
        <v>404.58600000000001</v>
      </c>
      <c r="AP56" s="266">
        <f t="shared" si="109"/>
        <v>404.58600000000001</v>
      </c>
      <c r="AQ56" s="266">
        <f t="shared" si="109"/>
        <v>404.58600000000001</v>
      </c>
      <c r="AR56" s="266">
        <f t="shared" si="109"/>
        <v>404.58600000000001</v>
      </c>
      <c r="AS56" s="266">
        <f t="shared" si="109"/>
        <v>404.58600000000001</v>
      </c>
      <c r="AT56" s="266">
        <f t="shared" si="109"/>
        <v>404.58600000000001</v>
      </c>
      <c r="AU56" s="266">
        <f t="shared" si="109"/>
        <v>404.58600000000001</v>
      </c>
      <c r="AV56" s="266">
        <f t="shared" si="109"/>
        <v>404.58600000000001</v>
      </c>
      <c r="AW56" s="266">
        <f t="shared" ref="AW56" si="110">AV56</f>
        <v>404.58600000000001</v>
      </c>
      <c r="AX56" s="266">
        <f t="shared" ref="AX56" si="111">AW56</f>
        <v>404.58600000000001</v>
      </c>
      <c r="AY56" s="266">
        <f t="shared" ref="AY56" si="112">AX56</f>
        <v>404.58600000000001</v>
      </c>
      <c r="AZ56" s="266">
        <f t="shared" ref="AZ56" si="113">AY56</f>
        <v>404.58600000000001</v>
      </c>
      <c r="BA56" s="266">
        <f t="shared" ref="BA56" si="114">AZ56</f>
        <v>404.58600000000001</v>
      </c>
    </row>
    <row r="57" spans="2:53" s="240" customFormat="1" ht="15" customHeight="1">
      <c r="B57" s="254"/>
      <c r="AH57" s="266"/>
      <c r="AI57" s="266"/>
      <c r="AJ57" s="266"/>
      <c r="AK57" s="266"/>
      <c r="AL57" s="266"/>
      <c r="AM57" s="266"/>
      <c r="AN57" s="266"/>
      <c r="AO57" s="266"/>
      <c r="AP57" s="266"/>
      <c r="AQ57" s="266"/>
      <c r="AR57" s="266"/>
      <c r="AS57" s="266"/>
      <c r="AT57" s="266"/>
      <c r="AU57" s="266"/>
      <c r="AV57" s="266"/>
      <c r="AW57" s="266"/>
      <c r="AX57" s="266"/>
      <c r="AY57" s="266"/>
      <c r="AZ57" s="266"/>
      <c r="BA57" s="266"/>
    </row>
    <row r="58" spans="2:53" s="240" customFormat="1" ht="15" customHeight="1">
      <c r="B58" s="567" t="s">
        <v>480</v>
      </c>
      <c r="AH58" s="266"/>
      <c r="AI58" s="266"/>
      <c r="AJ58" s="266"/>
      <c r="AK58" s="566">
        <v>0.8</v>
      </c>
      <c r="AL58" s="250">
        <f>AK58</f>
        <v>0.8</v>
      </c>
      <c r="AM58" s="250">
        <f t="shared" ref="AM58:AV58" si="115">AL58</f>
        <v>0.8</v>
      </c>
      <c r="AN58" s="250">
        <f t="shared" si="115"/>
        <v>0.8</v>
      </c>
      <c r="AO58" s="250">
        <f t="shared" si="115"/>
        <v>0.8</v>
      </c>
      <c r="AP58" s="250">
        <f t="shared" si="115"/>
        <v>0.8</v>
      </c>
      <c r="AQ58" s="250">
        <f t="shared" si="115"/>
        <v>0.8</v>
      </c>
      <c r="AR58" s="250">
        <f t="shared" si="115"/>
        <v>0.8</v>
      </c>
      <c r="AS58" s="250">
        <f t="shared" si="115"/>
        <v>0.8</v>
      </c>
      <c r="AT58" s="250">
        <f t="shared" si="115"/>
        <v>0.8</v>
      </c>
      <c r="AU58" s="250">
        <f t="shared" si="115"/>
        <v>0.8</v>
      </c>
      <c r="AV58" s="250">
        <f t="shared" si="115"/>
        <v>0.8</v>
      </c>
      <c r="AW58" s="250">
        <f t="shared" ref="AW58:BA58" si="116">AV58</f>
        <v>0.8</v>
      </c>
      <c r="AX58" s="250">
        <f t="shared" si="116"/>
        <v>0.8</v>
      </c>
      <c r="AY58" s="250">
        <f t="shared" si="116"/>
        <v>0.8</v>
      </c>
      <c r="AZ58" s="250">
        <f t="shared" si="116"/>
        <v>0.8</v>
      </c>
      <c r="BA58" s="250">
        <f t="shared" si="116"/>
        <v>0.8</v>
      </c>
    </row>
    <row r="59" spans="2:53" s="240" customFormat="1" ht="15" customHeight="1">
      <c r="B59" s="567" t="s">
        <v>113</v>
      </c>
      <c r="AH59" s="266"/>
      <c r="AI59" s="266"/>
      <c r="AJ59" s="266"/>
      <c r="AK59" s="566">
        <v>0.9</v>
      </c>
      <c r="AL59" s="250">
        <f>AK59</f>
        <v>0.9</v>
      </c>
      <c r="AM59" s="250">
        <f t="shared" ref="AM59:AV59" si="117">AL59</f>
        <v>0.9</v>
      </c>
      <c r="AN59" s="250">
        <f t="shared" si="117"/>
        <v>0.9</v>
      </c>
      <c r="AO59" s="250">
        <f t="shared" si="117"/>
        <v>0.9</v>
      </c>
      <c r="AP59" s="250">
        <f t="shared" si="117"/>
        <v>0.9</v>
      </c>
      <c r="AQ59" s="250">
        <f t="shared" si="117"/>
        <v>0.9</v>
      </c>
      <c r="AR59" s="250">
        <f t="shared" si="117"/>
        <v>0.9</v>
      </c>
      <c r="AS59" s="250">
        <f t="shared" si="117"/>
        <v>0.9</v>
      </c>
      <c r="AT59" s="250">
        <f t="shared" si="117"/>
        <v>0.9</v>
      </c>
      <c r="AU59" s="250">
        <f t="shared" si="117"/>
        <v>0.9</v>
      </c>
      <c r="AV59" s="250">
        <f t="shared" si="117"/>
        <v>0.9</v>
      </c>
      <c r="AW59" s="250">
        <f t="shared" ref="AW59:BA59" si="118">AV59</f>
        <v>0.9</v>
      </c>
      <c r="AX59" s="250">
        <f t="shared" si="118"/>
        <v>0.9</v>
      </c>
      <c r="AY59" s="250">
        <f t="shared" si="118"/>
        <v>0.9</v>
      </c>
      <c r="AZ59" s="250">
        <f t="shared" si="118"/>
        <v>0.9</v>
      </c>
      <c r="BA59" s="250">
        <f t="shared" si="118"/>
        <v>0.9</v>
      </c>
    </row>
    <row r="60" spans="2:53" s="240" customFormat="1" ht="15" customHeight="1">
      <c r="B60" s="254"/>
      <c r="AH60" s="266"/>
      <c r="AI60" s="266"/>
      <c r="AJ60" s="266"/>
      <c r="AK60" s="266"/>
      <c r="AL60" s="266"/>
      <c r="AM60" s="266"/>
      <c r="AN60" s="266"/>
      <c r="AO60" s="266"/>
      <c r="AP60" s="266"/>
      <c r="AQ60" s="266"/>
      <c r="AR60" s="266"/>
      <c r="AS60" s="266"/>
      <c r="AT60" s="266"/>
      <c r="AU60" s="266"/>
      <c r="AV60" s="266"/>
      <c r="AW60" s="266"/>
      <c r="AX60" s="266"/>
      <c r="AY60" s="266"/>
      <c r="AZ60" s="266"/>
      <c r="BA60" s="266"/>
    </row>
    <row r="61" spans="2:53" s="240" customFormat="1" ht="15" customHeight="1">
      <c r="B61" s="245" t="s">
        <v>82</v>
      </c>
      <c r="AH61" s="251">
        <v>2011</v>
      </c>
      <c r="AI61" s="251">
        <v>2012</v>
      </c>
      <c r="AJ61" s="251">
        <v>2013</v>
      </c>
      <c r="AK61" s="251"/>
      <c r="AL61" s="251"/>
      <c r="AM61" s="251"/>
      <c r="AN61" s="251"/>
      <c r="AO61" s="251"/>
      <c r="AP61" s="251"/>
      <c r="AQ61" s="251"/>
      <c r="AR61" s="251"/>
      <c r="AS61" s="251"/>
      <c r="AT61" s="251"/>
      <c r="AU61" s="251"/>
      <c r="AV61" s="251"/>
      <c r="AW61" s="251"/>
      <c r="AX61" s="251"/>
      <c r="AY61" s="251"/>
      <c r="AZ61" s="251"/>
      <c r="BA61" s="251"/>
    </row>
    <row r="62" spans="2:53" s="240" customFormat="1" ht="15" customHeight="1">
      <c r="B62" s="247" t="s">
        <v>24</v>
      </c>
      <c r="AH62" s="267"/>
      <c r="AI62" s="267"/>
      <c r="AJ62" s="267"/>
      <c r="AK62" s="267">
        <f>AK53*AK47*$AK$44*AK58*AK59/1000</f>
        <v>39.764361461200544</v>
      </c>
      <c r="AL62" s="267">
        <f t="shared" ref="AL62:AV62" si="119">AL53*AL47*$AK$44*AL58*AL59/1000</f>
        <v>42.724934687379111</v>
      </c>
      <c r="AM62" s="267">
        <f t="shared" si="119"/>
        <v>44.4175541832441</v>
      </c>
      <c r="AN62" s="267">
        <f t="shared" si="119"/>
        <v>47.518932490733185</v>
      </c>
      <c r="AO62" s="267">
        <f t="shared" si="119"/>
        <v>49.693130807672816</v>
      </c>
      <c r="AP62" s="267">
        <f t="shared" si="119"/>
        <v>50.78948228765006</v>
      </c>
      <c r="AQ62" s="267">
        <f t="shared" si="119"/>
        <v>51.907578328813855</v>
      </c>
      <c r="AR62" s="267">
        <f t="shared" si="119"/>
        <v>53.047825116104846</v>
      </c>
      <c r="AS62" s="267">
        <f t="shared" si="119"/>
        <v>54.21063613543285</v>
      </c>
      <c r="AT62" s="267">
        <f t="shared" si="119"/>
        <v>55.396432301434288</v>
      </c>
      <c r="AU62" s="267">
        <f t="shared" si="119"/>
        <v>56.605642087421081</v>
      </c>
      <c r="AV62" s="267">
        <f t="shared" si="119"/>
        <v>57.838701657558723</v>
      </c>
      <c r="AW62" s="267">
        <f t="shared" ref="AW62:BA62" si="120">AW53*AW47*$AK$44*AW58*AW59/1000</f>
        <v>59.096055001310624</v>
      </c>
      <c r="AX62" s="267">
        <f t="shared" si="120"/>
        <v>60.378154070187243</v>
      </c>
      <c r="AY62" s="267">
        <f t="shared" si="120"/>
        <v>61.685458916839131</v>
      </c>
      <c r="AZ62" s="267">
        <f t="shared" si="120"/>
        <v>63.018437836532954</v>
      </c>
      <c r="BA62" s="267">
        <f t="shared" si="120"/>
        <v>64.37756751105124</v>
      </c>
    </row>
    <row r="63" spans="2:53" s="240" customFormat="1" ht="15" customHeight="1">
      <c r="B63" s="247" t="s">
        <v>25</v>
      </c>
      <c r="AH63" s="267"/>
      <c r="AI63" s="267"/>
      <c r="AJ63" s="267"/>
      <c r="AK63" s="267">
        <f>AK54*AK48*$AK$44*AK58*AK59/1000</f>
        <v>42.49773922133776</v>
      </c>
      <c r="AL63" s="267">
        <f t="shared" ref="AL63:AV63" si="121">AL54*AL48*$AK$44*AL58*AL59/1000</f>
        <v>42.161984212273033</v>
      </c>
      <c r="AM63" s="267">
        <f t="shared" si="121"/>
        <v>41.636298395398704</v>
      </c>
      <c r="AN63" s="267">
        <f t="shared" si="121"/>
        <v>44.410514751797663</v>
      </c>
      <c r="AO63" s="267">
        <f t="shared" si="121"/>
        <v>46.303855109514529</v>
      </c>
      <c r="AP63" s="267">
        <f t="shared" si="121"/>
        <v>47.18416097088722</v>
      </c>
      <c r="AQ63" s="267">
        <f t="shared" si="121"/>
        <v>48.078939385659567</v>
      </c>
      <c r="AR63" s="267">
        <f t="shared" si="121"/>
        <v>48.988411087072301</v>
      </c>
      <c r="AS63" s="267">
        <f t="shared" si="121"/>
        <v>49.912800023792975</v>
      </c>
      <c r="AT63" s="267">
        <f t="shared" si="121"/>
        <v>50.852333405323201</v>
      </c>
      <c r="AU63" s="267">
        <f t="shared" si="121"/>
        <v>51.807241748032858</v>
      </c>
      <c r="AV63" s="267">
        <f t="shared" si="121"/>
        <v>52.777758921829907</v>
      </c>
      <c r="AW63" s="267">
        <f t="shared" ref="AW63:BA63" si="122">AW54*AW48*$AK$44*AW58*AW59/1000</f>
        <v>53.764122197474364</v>
      </c>
      <c r="AX63" s="267">
        <f t="shared" si="122"/>
        <v>54.76657229454522</v>
      </c>
      <c r="AY63" s="267">
        <f t="shared" si="122"/>
        <v>55.785353430068909</v>
      </c>
      <c r="AZ63" s="267">
        <f t="shared" si="122"/>
        <v>56.820713367818854</v>
      </c>
      <c r="BA63" s="267">
        <f t="shared" si="122"/>
        <v>57.872903468294609</v>
      </c>
    </row>
    <row r="64" spans="2:53" s="240" customFormat="1" ht="15" customHeight="1">
      <c r="B64" s="247" t="s">
        <v>68</v>
      </c>
      <c r="AH64" s="267"/>
      <c r="AI64" s="267"/>
      <c r="AJ64" s="267"/>
      <c r="AK64" s="267">
        <f>AK55*AK49*$AK$44*AK58*AK59/1000</f>
        <v>8.0087430720162711</v>
      </c>
      <c r="AL64" s="267">
        <f t="shared" ref="AL64:AV64" si="123">AL55*AL49*$AK$44*AL58*AL59/1000</f>
        <v>7.3588557459912556</v>
      </c>
      <c r="AM64" s="267">
        <f t="shared" si="123"/>
        <v>6.8341980675607923</v>
      </c>
      <c r="AN64" s="267">
        <f t="shared" si="123"/>
        <v>7.2230562796301925</v>
      </c>
      <c r="AO64" s="267">
        <f t="shared" si="123"/>
        <v>7.4645135095046022</v>
      </c>
      <c r="AP64" s="267">
        <f t="shared" si="123"/>
        <v>7.5415531240208784</v>
      </c>
      <c r="AQ64" s="267">
        <f t="shared" si="123"/>
        <v>7.6213547506198545</v>
      </c>
      <c r="AR64" s="267">
        <f t="shared" si="123"/>
        <v>7.7040187813253782</v>
      </c>
      <c r="AS64" s="267">
        <f t="shared" si="123"/>
        <v>7.7896477825703281</v>
      </c>
      <c r="AT64" s="267">
        <f t="shared" si="123"/>
        <v>7.8783465325655477</v>
      </c>
      <c r="AU64" s="267">
        <f t="shared" si="123"/>
        <v>7.9702220592358275</v>
      </c>
      <c r="AV64" s="267">
        <f t="shared" si="123"/>
        <v>8.0653836787309707</v>
      </c>
      <c r="AW64" s="267">
        <f t="shared" ref="AW64:BA64" si="124">AW55*AW49*$AK$44*AW58*AW59/1000</f>
        <v>8.1639430345200132</v>
      </c>
      <c r="AX64" s="267">
        <f t="shared" si="124"/>
        <v>8.2660141370767377</v>
      </c>
      <c r="AY64" s="267">
        <f t="shared" si="124"/>
        <v>8.3717134041647956</v>
      </c>
      <c r="AZ64" s="267">
        <f t="shared" si="124"/>
        <v>8.4811597017308582</v>
      </c>
      <c r="BA64" s="267">
        <f t="shared" si="124"/>
        <v>8.5944743854142569</v>
      </c>
    </row>
    <row r="65" spans="2:53" s="240" customFormat="1" ht="15" customHeight="1">
      <c r="B65" s="247" t="s">
        <v>26</v>
      </c>
      <c r="AH65" s="267"/>
      <c r="AI65" s="267"/>
      <c r="AJ65" s="267"/>
      <c r="AK65" s="267">
        <f>AK56*AK50*AK44*AK58*AK59/1000</f>
        <v>244.32159787561639</v>
      </c>
      <c r="AL65" s="267">
        <f t="shared" ref="AL65:AV65" si="125">AL56*AL50*AL44*AL58*AL59/1000</f>
        <v>223.34745279306114</v>
      </c>
      <c r="AM65" s="267">
        <f t="shared" si="125"/>
        <v>216.92094653143423</v>
      </c>
      <c r="AN65" s="267">
        <f t="shared" si="125"/>
        <v>221.33363934816734</v>
      </c>
      <c r="AO65" s="267">
        <f t="shared" si="125"/>
        <v>240.61248754911787</v>
      </c>
      <c r="AP65" s="267">
        <f t="shared" si="125"/>
        <v>245.11492877258794</v>
      </c>
      <c r="AQ65" s="267">
        <f t="shared" si="125"/>
        <v>249.64721219493273</v>
      </c>
      <c r="AR65" s="267">
        <f t="shared" si="125"/>
        <v>254.20985747527862</v>
      </c>
      <c r="AS65" s="267">
        <f t="shared" si="125"/>
        <v>258.80338103158675</v>
      </c>
      <c r="AT65" s="267">
        <f t="shared" si="125"/>
        <v>263.42829608805425</v>
      </c>
      <c r="AU65" s="267">
        <f t="shared" si="125"/>
        <v>268.08511272213906</v>
      </c>
      <c r="AV65" s="267">
        <f t="shared" si="125"/>
        <v>272.77433791120814</v>
      </c>
      <c r="AW65" s="267">
        <f t="shared" ref="AW65:BA65" si="126">AW56*AW50*AW44*AW58*AW59/1000</f>
        <v>277.49647557881826</v>
      </c>
      <c r="AX65" s="267">
        <f t="shared" si="126"/>
        <v>282.25202664062897</v>
      </c>
      <c r="AY65" s="267">
        <f t="shared" si="126"/>
        <v>287.04148904995469</v>
      </c>
      <c r="AZ65" s="267">
        <f t="shared" si="126"/>
        <v>291.86535784295768</v>
      </c>
      <c r="BA65" s="267">
        <f t="shared" si="126"/>
        <v>296.72412518348619</v>
      </c>
    </row>
    <row r="66" spans="2:53" s="245" customFormat="1" ht="15" customHeight="1">
      <c r="B66" s="268" t="s">
        <v>72</v>
      </c>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269"/>
      <c r="AI66" s="269"/>
      <c r="AJ66" s="269"/>
      <c r="AK66" s="269">
        <f>SUM(AK62:AK65)</f>
        <v>334.59244163017098</v>
      </c>
      <c r="AL66" s="269">
        <f t="shared" ref="AL66:AV66" si="127">SUM(AL62:AL65)</f>
        <v>315.5932274387045</v>
      </c>
      <c r="AM66" s="269">
        <f t="shared" si="127"/>
        <v>309.80899717763782</v>
      </c>
      <c r="AN66" s="269">
        <f t="shared" si="127"/>
        <v>320.48614287032837</v>
      </c>
      <c r="AO66" s="269">
        <f t="shared" si="127"/>
        <v>344.07398697580982</v>
      </c>
      <c r="AP66" s="269">
        <f t="shared" si="127"/>
        <v>350.63012515514612</v>
      </c>
      <c r="AQ66" s="269">
        <f t="shared" si="127"/>
        <v>357.255084660026</v>
      </c>
      <c r="AR66" s="269">
        <f t="shared" si="127"/>
        <v>363.95011245978117</v>
      </c>
      <c r="AS66" s="269">
        <f t="shared" si="127"/>
        <v>370.71646497338293</v>
      </c>
      <c r="AT66" s="269">
        <f t="shared" si="127"/>
        <v>377.55540832737728</v>
      </c>
      <c r="AU66" s="269">
        <f t="shared" si="127"/>
        <v>384.46821861682884</v>
      </c>
      <c r="AV66" s="269">
        <f t="shared" si="127"/>
        <v>391.45618216932775</v>
      </c>
      <c r="AW66" s="269">
        <f t="shared" ref="AW66:BA66" si="128">SUM(AW62:AW65)</f>
        <v>398.52059581212325</v>
      </c>
      <c r="AX66" s="269">
        <f t="shared" si="128"/>
        <v>405.66276714243816</v>
      </c>
      <c r="AY66" s="269">
        <f t="shared" si="128"/>
        <v>412.88401480102755</v>
      </c>
      <c r="AZ66" s="269">
        <f t="shared" si="128"/>
        <v>420.18566874904036</v>
      </c>
      <c r="BA66" s="269">
        <f t="shared" si="128"/>
        <v>427.56907054824626</v>
      </c>
    </row>
    <row r="67" spans="2:53" s="272" customFormat="1" ht="15" customHeight="1">
      <c r="B67" s="270" t="s">
        <v>74</v>
      </c>
      <c r="C67" s="270"/>
      <c r="D67" s="270"/>
      <c r="E67" s="270"/>
      <c r="F67" s="270"/>
      <c r="G67" s="270"/>
      <c r="H67" s="270"/>
      <c r="I67" s="270"/>
      <c r="J67" s="270"/>
      <c r="K67" s="270"/>
      <c r="L67" s="270"/>
      <c r="M67" s="270"/>
      <c r="N67" s="270"/>
      <c r="O67" s="270"/>
      <c r="P67" s="270"/>
      <c r="Q67" s="270"/>
      <c r="R67" s="270"/>
      <c r="S67" s="270"/>
      <c r="T67" s="270"/>
      <c r="U67" s="270"/>
      <c r="V67" s="270"/>
      <c r="W67" s="270"/>
      <c r="X67" s="270"/>
      <c r="Y67" s="270"/>
      <c r="Z67" s="270"/>
      <c r="AA67" s="270"/>
      <c r="AB67" s="270"/>
      <c r="AC67" s="270"/>
      <c r="AD67" s="270"/>
      <c r="AE67" s="270"/>
      <c r="AF67" s="270"/>
      <c r="AG67" s="270"/>
      <c r="AH67" s="271"/>
      <c r="AI67" s="271"/>
      <c r="AJ67" s="271"/>
      <c r="AK67" s="271"/>
      <c r="AL67" s="271">
        <f t="shared" ref="AL67:AV67" si="129">AL66/AK66-1</f>
        <v>-5.6783154152856063E-2</v>
      </c>
      <c r="AM67" s="271">
        <f t="shared" si="129"/>
        <v>-1.832811910448906E-2</v>
      </c>
      <c r="AN67" s="271">
        <f t="shared" si="129"/>
        <v>3.4463639823114844E-2</v>
      </c>
      <c r="AO67" s="271">
        <f t="shared" si="129"/>
        <v>7.3600199666121968E-2</v>
      </c>
      <c r="AP67" s="271">
        <f t="shared" si="129"/>
        <v>1.9054443019539402E-2</v>
      </c>
      <c r="AQ67" s="271">
        <f t="shared" si="129"/>
        <v>1.8894438981671868E-2</v>
      </c>
      <c r="AR67" s="271">
        <f t="shared" si="129"/>
        <v>1.874018897764973E-2</v>
      </c>
      <c r="AS67" s="271">
        <f t="shared" si="129"/>
        <v>1.859142855560858E-2</v>
      </c>
      <c r="AT67" s="271">
        <f t="shared" si="129"/>
        <v>1.8447908307728911E-2</v>
      </c>
      <c r="AU67" s="271">
        <f t="shared" si="129"/>
        <v>1.8309392838725902E-2</v>
      </c>
      <c r="AV67" s="271">
        <f t="shared" si="129"/>
        <v>1.8175659818226331E-2</v>
      </c>
      <c r="AW67" s="271">
        <f t="shared" ref="AW67" si="130">AW66/AV66-1</f>
        <v>1.8046499109164005E-2</v>
      </c>
      <c r="AX67" s="271">
        <f t="shared" ref="AX67" si="131">AX66/AW66-1</f>
        <v>1.7921711965125153E-2</v>
      </c>
      <c r="AY67" s="271">
        <f t="shared" ref="AY67" si="132">AY66/AX66-1</f>
        <v>1.7801110290345701E-2</v>
      </c>
      <c r="AZ67" s="271">
        <f t="shared" ref="AZ67" si="133">AZ66/AY66-1</f>
        <v>1.7684515956694291E-2</v>
      </c>
      <c r="BA67" s="271">
        <f t="shared" ref="BA67" si="134">BA66/AZ66-1</f>
        <v>1.7571760172562456E-2</v>
      </c>
    </row>
    <row r="74" spans="2:53" s="240" customFormat="1" ht="12.75">
      <c r="B74" s="240" t="s">
        <v>535</v>
      </c>
    </row>
    <row r="75" spans="2:53" s="240" customFormat="1" ht="12.75"/>
    <row r="76" spans="2:53" s="240" customFormat="1" ht="12.75">
      <c r="B76" s="240" t="s">
        <v>33</v>
      </c>
      <c r="AK76" s="627">
        <f>AK66*(1-0.87)</f>
        <v>43.497017411922229</v>
      </c>
      <c r="AL76" s="627">
        <f>'Rev-Exp'!Q128</f>
        <v>41.028000000000006</v>
      </c>
      <c r="AM76" s="627">
        <f>'Rev-Exp'!V128</f>
        <v>48.220969548422062</v>
      </c>
      <c r="AN76" s="627">
        <f>'Rev-Exp'!AA128</f>
        <v>51.27778285925254</v>
      </c>
      <c r="AO76" s="627">
        <f>'Rev-Exp'!AF128</f>
        <v>55.051837916129578</v>
      </c>
      <c r="AP76" s="627">
        <f>'Rev-Exp'!AG128</f>
        <v>56.100820024823392</v>
      </c>
      <c r="AQ76" s="627">
        <f>'Rev-Exp'!AH128</f>
        <v>57.160813545604171</v>
      </c>
      <c r="AR76" s="627">
        <f>'Rev-Exp'!AI128</f>
        <v>58.232017993564995</v>
      </c>
      <c r="AS76" s="627">
        <f>'Rev-Exp'!AJ128</f>
        <v>59.31463439574128</v>
      </c>
      <c r="AT76" s="627">
        <f>'Rev-Exp'!AK128</f>
        <v>60.40886533238038</v>
      </c>
      <c r="AU76" s="627">
        <f>'Rev-Exp'!AL128</f>
        <v>61.514914978692623</v>
      </c>
      <c r="AV76" s="627">
        <f>'Rev-Exp'!AM128</f>
        <v>62.632989147092452</v>
      </c>
      <c r="AW76" s="627">
        <f>'Rev-Exp'!AN128</f>
        <v>63.76329532993973</v>
      </c>
      <c r="AX76" s="627">
        <f>'Rev-Exp'!AO128</f>
        <v>64.90604274279012</v>
      </c>
      <c r="AY76" s="627">
        <f>'Rev-Exp'!AP128</f>
        <v>66.061442368164421</v>
      </c>
      <c r="AZ76" s="627">
        <f>'Rev-Exp'!AQ128</f>
        <v>67.229706999846471</v>
      </c>
      <c r="BA76" s="627">
        <f>'Rev-Exp'!AR128</f>
        <v>68.411051287719417</v>
      </c>
    </row>
    <row r="77" spans="2:53" s="240" customFormat="1" ht="12.75"/>
    <row r="78" spans="2:53" s="240" customFormat="1" ht="12.75">
      <c r="B78" s="240" t="s">
        <v>536</v>
      </c>
      <c r="AK78" s="240">
        <f>IS!V32+IS!V56+12</f>
        <v>63.9</v>
      </c>
      <c r="AL78" s="240">
        <f>IS!AA32+IS!AA56</f>
        <v>59.6</v>
      </c>
      <c r="AM78" s="240">
        <f>13+12*4</f>
        <v>61</v>
      </c>
      <c r="AN78" s="627">
        <f>AM78*1.025</f>
        <v>62.524999999999991</v>
      </c>
      <c r="AO78" s="627">
        <f t="shared" ref="AO78:BA78" si="135">AN78*1.025</f>
        <v>64.088124999999991</v>
      </c>
      <c r="AP78" s="627">
        <f t="shared" si="135"/>
        <v>65.690328124999979</v>
      </c>
      <c r="AQ78" s="627">
        <f t="shared" si="135"/>
        <v>67.332586328124975</v>
      </c>
      <c r="AR78" s="627">
        <f t="shared" si="135"/>
        <v>69.015900986328091</v>
      </c>
      <c r="AS78" s="627">
        <f t="shared" si="135"/>
        <v>70.741298510986283</v>
      </c>
      <c r="AT78" s="627">
        <f t="shared" si="135"/>
        <v>72.509830973760927</v>
      </c>
      <c r="AU78" s="627">
        <f t="shared" si="135"/>
        <v>74.32257674810495</v>
      </c>
      <c r="AV78" s="627">
        <f t="shared" si="135"/>
        <v>76.180641166807561</v>
      </c>
      <c r="AW78" s="627">
        <f t="shared" si="135"/>
        <v>78.085157195977743</v>
      </c>
      <c r="AX78" s="627">
        <f t="shared" si="135"/>
        <v>80.037286125877174</v>
      </c>
      <c r="AY78" s="627">
        <f t="shared" si="135"/>
        <v>82.038218279024093</v>
      </c>
      <c r="AZ78" s="627">
        <f t="shared" si="135"/>
        <v>84.089173735999694</v>
      </c>
      <c r="BA78" s="627">
        <f t="shared" si="135"/>
        <v>86.191403079399677</v>
      </c>
    </row>
    <row r="79" spans="2:53" s="240" customFormat="1" ht="12.75"/>
    <row r="80" spans="2:53" s="240" customFormat="1" ht="12.75">
      <c r="B80" s="240" t="s">
        <v>37</v>
      </c>
      <c r="AK80" s="627">
        <f>AK66-AK76-AK78</f>
        <v>227.19542421824875</v>
      </c>
      <c r="AL80" s="627">
        <f t="shared" ref="AL80:BA80" si="136">AL66-AL76-AL78</f>
        <v>214.96522743870449</v>
      </c>
      <c r="AM80" s="627">
        <f t="shared" si="136"/>
        <v>200.58802762921573</v>
      </c>
      <c r="AN80" s="627">
        <f t="shared" si="136"/>
        <v>206.68336001107582</v>
      </c>
      <c r="AO80" s="627">
        <f t="shared" si="136"/>
        <v>224.93402405968027</v>
      </c>
      <c r="AP80" s="627">
        <f t="shared" si="136"/>
        <v>228.83897700532273</v>
      </c>
      <c r="AQ80" s="627">
        <f t="shared" si="136"/>
        <v>232.76168478629683</v>
      </c>
      <c r="AR80" s="627">
        <f t="shared" si="136"/>
        <v>236.70219347988805</v>
      </c>
      <c r="AS80" s="627">
        <f t="shared" si="136"/>
        <v>240.66053206665538</v>
      </c>
      <c r="AT80" s="627">
        <f t="shared" si="136"/>
        <v>244.63671202123595</v>
      </c>
      <c r="AU80" s="627">
        <f t="shared" si="136"/>
        <v>248.63072689003127</v>
      </c>
      <c r="AV80" s="627">
        <f t="shared" si="136"/>
        <v>252.64255185542771</v>
      </c>
      <c r="AW80" s="627">
        <f t="shared" si="136"/>
        <v>256.67214328620577</v>
      </c>
      <c r="AX80" s="627">
        <f t="shared" si="136"/>
        <v>260.71943827377083</v>
      </c>
      <c r="AY80" s="627">
        <f t="shared" si="136"/>
        <v>264.78435415383905</v>
      </c>
      <c r="AZ80" s="627">
        <f t="shared" si="136"/>
        <v>268.8667880131942</v>
      </c>
      <c r="BA80" s="627">
        <f t="shared" si="136"/>
        <v>272.96661618112716</v>
      </c>
    </row>
    <row r="81" spans="2:54" s="240" customFormat="1" ht="12.75">
      <c r="B81" s="626" t="s">
        <v>537</v>
      </c>
      <c r="AK81" s="566">
        <f>AK80/AK66</f>
        <v>0.6790213882636672</v>
      </c>
      <c r="AL81" s="566">
        <f t="shared" ref="AL81:BA81" si="137">AL80/AL66</f>
        <v>0.68114651630303347</v>
      </c>
      <c r="AM81" s="566">
        <f t="shared" si="137"/>
        <v>0.64745707663939422</v>
      </c>
      <c r="AN81" s="566">
        <f t="shared" si="137"/>
        <v>0.64490576147843559</v>
      </c>
      <c r="AO81" s="566">
        <f t="shared" si="137"/>
        <v>0.65373737211785876</v>
      </c>
      <c r="AP81" s="566">
        <f t="shared" si="137"/>
        <v>0.65265064404852979</v>
      </c>
      <c r="AQ81" s="566">
        <f t="shared" si="137"/>
        <v>0.65152798317146243</v>
      </c>
      <c r="AR81" s="566">
        <f t="shared" si="137"/>
        <v>0.65036988690598407</v>
      </c>
      <c r="AS81" s="566">
        <f t="shared" si="137"/>
        <v>0.64917680978624615</v>
      </c>
      <c r="AT81" s="566">
        <f t="shared" si="137"/>
        <v>0.6479491662032083</v>
      </c>
      <c r="AU81" s="566">
        <f t="shared" si="137"/>
        <v>0.64668733292054814</v>
      </c>
      <c r="AV81" s="566">
        <f t="shared" si="137"/>
        <v>0.64539165138576093</v>
      </c>
      <c r="AW81" s="566">
        <f t="shared" si="137"/>
        <v>0.64406242985547002</v>
      </c>
      <c r="AX81" s="566">
        <f t="shared" si="137"/>
        <v>0.6426999453519624</v>
      </c>
      <c r="AY81" s="566">
        <f t="shared" si="137"/>
        <v>0.64130444546621879</v>
      </c>
      <c r="AZ81" s="566">
        <f t="shared" si="137"/>
        <v>0.63987615002114051</v>
      </c>
      <c r="BA81" s="566">
        <f t="shared" si="137"/>
        <v>0.63841525260730014</v>
      </c>
    </row>
    <row r="82" spans="2:54" s="240" customFormat="1" ht="12.75"/>
    <row r="83" spans="2:54" s="240" customFormat="1" ht="12.75">
      <c r="B83" s="240" t="s">
        <v>40</v>
      </c>
      <c r="AK83" s="250">
        <f>Vimizim!BE83</f>
        <v>0</v>
      </c>
      <c r="AL83" s="250">
        <f>Vimizim!BF83</f>
        <v>0</v>
      </c>
      <c r="AM83" s="250">
        <f>Vimizim!BG83</f>
        <v>0</v>
      </c>
      <c r="AN83" s="250">
        <f>Vimizim!BH83</f>
        <v>-1.7531556802243933E-4</v>
      </c>
      <c r="AO83" s="250">
        <f>Vimizim!BI83</f>
        <v>0.20000000000000004</v>
      </c>
      <c r="AP83" s="250">
        <f>Vimizim!BJ83</f>
        <v>0.2</v>
      </c>
      <c r="AQ83" s="250">
        <f>Vimizim!BK83</f>
        <v>0.19999999999999998</v>
      </c>
      <c r="AR83" s="250">
        <f>Vimizim!BL83</f>
        <v>0.2</v>
      </c>
      <c r="AS83" s="250">
        <f>Vimizim!BM83</f>
        <v>0.2</v>
      </c>
      <c r="AT83" s="250">
        <f>Vimizim!BN83</f>
        <v>0.2</v>
      </c>
      <c r="AU83" s="250">
        <f>Vimizim!BO83</f>
        <v>0.2</v>
      </c>
      <c r="AV83" s="250">
        <f>Vimizim!BP83</f>
        <v>0.2</v>
      </c>
      <c r="AW83" s="250">
        <f>Vimizim!BQ83</f>
        <v>0.2</v>
      </c>
      <c r="AX83" s="250">
        <f>Vimizim!BR83</f>
        <v>0.2</v>
      </c>
      <c r="AY83" s="250">
        <f>Vimizim!BS83</f>
        <v>0.2</v>
      </c>
      <c r="AZ83" s="250">
        <f>Vimizim!BT83</f>
        <v>0.20000000000000004</v>
      </c>
      <c r="BA83" s="250">
        <f>Vimizim!BU83</f>
        <v>0.2</v>
      </c>
    </row>
    <row r="84" spans="2:54" s="240" customFormat="1" ht="12.75">
      <c r="B84" s="240" t="s">
        <v>301</v>
      </c>
      <c r="AK84" s="628">
        <f>AK83*AK80</f>
        <v>0</v>
      </c>
      <c r="AL84" s="628">
        <f t="shared" ref="AL84:BA84" si="138">AL83*AL80</f>
        <v>0</v>
      </c>
      <c r="AM84" s="628">
        <f t="shared" si="138"/>
        <v>0</v>
      </c>
      <c r="AN84" s="628">
        <f t="shared" si="138"/>
        <v>-3.6234810661128082E-2</v>
      </c>
      <c r="AO84" s="628">
        <f t="shared" si="138"/>
        <v>44.986804811936061</v>
      </c>
      <c r="AP84" s="628">
        <f t="shared" si="138"/>
        <v>45.767795401064546</v>
      </c>
      <c r="AQ84" s="628">
        <f t="shared" si="138"/>
        <v>46.552336957259364</v>
      </c>
      <c r="AR84" s="628">
        <f t="shared" si="138"/>
        <v>47.34043869597761</v>
      </c>
      <c r="AS84" s="628">
        <f t="shared" si="138"/>
        <v>48.13210641333108</v>
      </c>
      <c r="AT84" s="628">
        <f t="shared" si="138"/>
        <v>48.927342404247192</v>
      </c>
      <c r="AU84" s="628">
        <f t="shared" si="138"/>
        <v>49.726145378006258</v>
      </c>
      <c r="AV84" s="628">
        <f t="shared" si="138"/>
        <v>50.528510371085545</v>
      </c>
      <c r="AW84" s="628">
        <f t="shared" si="138"/>
        <v>51.334428657241155</v>
      </c>
      <c r="AX84" s="628">
        <f t="shared" si="138"/>
        <v>52.143887654754167</v>
      </c>
      <c r="AY84" s="628">
        <f t="shared" si="138"/>
        <v>52.956870830767812</v>
      </c>
      <c r="AZ84" s="628">
        <f t="shared" si="138"/>
        <v>53.773357602638846</v>
      </c>
      <c r="BA84" s="628">
        <f t="shared" si="138"/>
        <v>54.593323236225437</v>
      </c>
    </row>
    <row r="85" spans="2:54" s="240" customFormat="1" ht="12.75"/>
    <row r="86" spans="2:54" s="240" customFormat="1" ht="12.75">
      <c r="B86" s="240" t="s">
        <v>302</v>
      </c>
      <c r="AK86" s="627">
        <f>AK80-AK84</f>
        <v>227.19542421824875</v>
      </c>
      <c r="AL86" s="627">
        <f t="shared" ref="AL86:BA86" si="139">AL80-AL84</f>
        <v>214.96522743870449</v>
      </c>
      <c r="AM86" s="627">
        <f t="shared" si="139"/>
        <v>200.58802762921573</v>
      </c>
      <c r="AN86" s="627">
        <f t="shared" si="139"/>
        <v>206.71959482173696</v>
      </c>
      <c r="AO86" s="627">
        <f t="shared" si="139"/>
        <v>179.94721924774421</v>
      </c>
      <c r="AP86" s="627">
        <f t="shared" si="139"/>
        <v>183.07118160425819</v>
      </c>
      <c r="AQ86" s="627">
        <f t="shared" si="139"/>
        <v>186.20934782903745</v>
      </c>
      <c r="AR86" s="627">
        <f t="shared" si="139"/>
        <v>189.36175478391044</v>
      </c>
      <c r="AS86" s="627">
        <f t="shared" si="139"/>
        <v>192.52842565332429</v>
      </c>
      <c r="AT86" s="627">
        <f t="shared" si="139"/>
        <v>195.70936961698877</v>
      </c>
      <c r="AU86" s="627">
        <f t="shared" si="139"/>
        <v>198.904581512025</v>
      </c>
      <c r="AV86" s="627">
        <f t="shared" si="139"/>
        <v>202.11404148434218</v>
      </c>
      <c r="AW86" s="627">
        <f t="shared" si="139"/>
        <v>205.33771462896462</v>
      </c>
      <c r="AX86" s="627">
        <f t="shared" si="139"/>
        <v>208.57555061901667</v>
      </c>
      <c r="AY86" s="627">
        <f t="shared" si="139"/>
        <v>211.82748332307125</v>
      </c>
      <c r="AZ86" s="627">
        <f t="shared" si="139"/>
        <v>215.09343041055536</v>
      </c>
      <c r="BA86" s="627">
        <f t="shared" si="139"/>
        <v>218.37329294490172</v>
      </c>
      <c r="BB86" s="627">
        <f>BA86*(1+Vimizim!BE92)/(DCF!C24-Vimizim!BE92)</f>
        <v>3624.996662885369</v>
      </c>
    </row>
    <row r="87" spans="2:54" s="240" customFormat="1" ht="12.75">
      <c r="AK87" s="627"/>
      <c r="AL87" s="627"/>
      <c r="AM87" s="627"/>
      <c r="AN87" s="627">
        <f>DCF!D41</f>
        <v>1.1265250579928898</v>
      </c>
      <c r="AO87" s="627">
        <f>DCF!E41</f>
        <v>1.0241136890844451</v>
      </c>
      <c r="AP87" s="627">
        <f>DCF!F41</f>
        <v>0.93101244462222288</v>
      </c>
      <c r="AQ87" s="627">
        <f>DCF!G41</f>
        <v>0.84637494965656612</v>
      </c>
      <c r="AR87" s="627">
        <f>DCF!H41</f>
        <v>0.76943177241506011</v>
      </c>
      <c r="AS87" s="627">
        <f>DCF!I41</f>
        <v>0.69948342946823638</v>
      </c>
      <c r="AT87" s="627">
        <f>DCF!J41</f>
        <v>0.63589402678930573</v>
      </c>
      <c r="AU87" s="627">
        <f>DCF!K41</f>
        <v>0.57808547889936879</v>
      </c>
      <c r="AV87" s="627">
        <f>DCF!L41</f>
        <v>0.52553225354488076</v>
      </c>
      <c r="AW87" s="627">
        <f>DCF!M41</f>
        <v>0.47775659413170962</v>
      </c>
      <c r="AX87" s="627">
        <f>DCF!N41</f>
        <v>0.4343241764833724</v>
      </c>
      <c r="AY87" s="627">
        <f>DCF!O41</f>
        <v>0.39484016043942943</v>
      </c>
      <c r="AZ87" s="627">
        <f>DCF!P41</f>
        <v>0.35894560039948126</v>
      </c>
      <c r="BA87" s="627">
        <f>DCF!Q41</f>
        <v>0.32631418218134656</v>
      </c>
      <c r="BB87" s="627">
        <f>DCF!R41</f>
        <v>0.29664925652849683</v>
      </c>
    </row>
    <row r="88" spans="2:54" s="240" customFormat="1" thickBot="1">
      <c r="AN88" s="627">
        <f>AN87*AN86*0.75</f>
        <v>174.65610265861795</v>
      </c>
      <c r="AO88" s="627">
        <f t="shared" ref="AO88:BB88" si="140">AO87*AO86</f>
        <v>184.2864105442948</v>
      </c>
      <c r="AP88" s="627">
        <f t="shared" si="140"/>
        <v>170.44154832525933</v>
      </c>
      <c r="AQ88" s="627">
        <f t="shared" si="140"/>
        <v>157.60292739438358</v>
      </c>
      <c r="AR88" s="627">
        <f t="shared" si="140"/>
        <v>145.7009506110102</v>
      </c>
      <c r="AS88" s="627">
        <f t="shared" si="140"/>
        <v>134.67044344610764</v>
      </c>
      <c r="AT88" s="627">
        <f t="shared" si="140"/>
        <v>124.45041912614359</v>
      </c>
      <c r="AU88" s="627">
        <f t="shared" si="140"/>
        <v>114.98385025865751</v>
      </c>
      <c r="AV88" s="627">
        <f t="shared" si="140"/>
        <v>106.21744769432986</v>
      </c>
      <c r="AW88" s="627">
        <f t="shared" si="140"/>
        <v>98.101447187923057</v>
      </c>
      <c r="AX88" s="627">
        <f t="shared" si="140"/>
        <v>90.589404257170372</v>
      </c>
      <c r="AY88" s="627">
        <f t="shared" si="140"/>
        <v>83.637997500762012</v>
      </c>
      <c r="AZ88" s="627">
        <f t="shared" si="140"/>
        <v>77.206840520700837</v>
      </c>
      <c r="BA88" s="627">
        <f t="shared" si="140"/>
        <v>71.258302497563221</v>
      </c>
      <c r="BB88" s="627">
        <f t="shared" si="140"/>
        <v>1075.3525649632268</v>
      </c>
    </row>
    <row r="89" spans="2:54" s="240" customFormat="1" thickBot="1">
      <c r="B89" s="629" t="s">
        <v>538</v>
      </c>
      <c r="C89" s="630"/>
      <c r="D89" s="630"/>
      <c r="E89" s="630"/>
      <c r="F89" s="630"/>
      <c r="G89" s="630"/>
      <c r="H89" s="630"/>
      <c r="I89" s="630"/>
      <c r="J89" s="630"/>
      <c r="K89" s="630"/>
      <c r="L89" s="630"/>
      <c r="M89" s="630"/>
      <c r="N89" s="630"/>
      <c r="O89" s="630"/>
      <c r="P89" s="630"/>
      <c r="Q89" s="630"/>
      <c r="R89" s="630"/>
      <c r="S89" s="630"/>
      <c r="T89" s="630"/>
      <c r="U89" s="630"/>
      <c r="V89" s="630"/>
      <c r="W89" s="630"/>
      <c r="X89" s="630"/>
      <c r="Y89" s="630"/>
      <c r="Z89" s="630"/>
      <c r="AA89" s="630"/>
      <c r="AB89" s="630"/>
      <c r="AC89" s="630"/>
      <c r="AD89" s="630"/>
      <c r="AE89" s="630"/>
      <c r="AF89" s="630"/>
      <c r="AG89" s="630"/>
      <c r="AH89" s="630"/>
      <c r="AI89" s="630"/>
      <c r="AJ89" s="630"/>
      <c r="AK89" s="631">
        <f>SUM(AN88:BB88)/DCF!C27</f>
        <v>15.902034759553654</v>
      </c>
    </row>
  </sheetData>
  <pageMargins left="0" right="0" top="0" bottom="0" header="0" footer="0"/>
  <pageSetup paperSize="5" scale="38" orientation="landscape" r:id="rId1"/>
  <ignoredErrors>
    <ignoredError sqref="AO40" formula="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B1:Z235"/>
  <sheetViews>
    <sheetView zoomScale="85" zoomScaleNormal="85" workbookViewId="0">
      <pane xSplit="5" ySplit="6" topLeftCell="F54" activePane="bottomRight" state="frozen"/>
      <selection pane="topRight" activeCell="F1" sqref="F1"/>
      <selection pane="bottomLeft" activeCell="A5" sqref="A5"/>
      <selection pane="bottomRight" activeCell="J94" sqref="J94"/>
    </sheetView>
  </sheetViews>
  <sheetFormatPr defaultRowHeight="12.75" outlineLevelRow="2" outlineLevelCol="1"/>
  <cols>
    <col min="1" max="1" width="9" style="205"/>
    <col min="2" max="2" width="27.875" style="205" customWidth="1"/>
    <col min="3" max="5" width="9.625" style="205" customWidth="1" outlineLevel="1"/>
    <col min="6" max="6" width="9" style="205" customWidth="1"/>
    <col min="7" max="16384" width="9" style="205"/>
  </cols>
  <sheetData>
    <row r="1" spans="2:23" ht="13.5" thickBot="1"/>
    <row r="2" spans="2:23" ht="13.5" thickBot="1">
      <c r="B2" s="287" t="s">
        <v>167</v>
      </c>
      <c r="C2" s="706"/>
      <c r="D2" s="706"/>
      <c r="E2" s="706"/>
      <c r="F2" s="706"/>
      <c r="G2" s="3">
        <f>DCF!C30</f>
        <v>2</v>
      </c>
    </row>
    <row r="3" spans="2:23" ht="13.5" thickBot="1">
      <c r="B3" s="213"/>
      <c r="C3" s="213"/>
      <c r="D3" s="213"/>
      <c r="E3" s="213"/>
      <c r="F3" s="213"/>
    </row>
    <row r="4" spans="2:23" ht="13.5" thickBot="1">
      <c r="B4" s="287" t="s">
        <v>563</v>
      </c>
      <c r="C4" s="706"/>
      <c r="D4" s="706"/>
      <c r="E4" s="706"/>
      <c r="F4" s="706"/>
      <c r="G4" s="3">
        <f>DCF!C36</f>
        <v>2</v>
      </c>
    </row>
    <row r="6" spans="2:23">
      <c r="B6" s="220"/>
      <c r="C6" s="220">
        <v>2011</v>
      </c>
      <c r="D6" s="220">
        <v>2012</v>
      </c>
      <c r="E6" s="220">
        <v>2013</v>
      </c>
      <c r="F6" s="220">
        <v>2014</v>
      </c>
      <c r="G6" s="220">
        <v>2015</v>
      </c>
      <c r="H6" s="220">
        <v>2016</v>
      </c>
      <c r="I6" s="220">
        <v>2017</v>
      </c>
      <c r="J6" s="220">
        <v>2018</v>
      </c>
      <c r="K6" s="220">
        <v>2019</v>
      </c>
      <c r="L6" s="220">
        <v>2020</v>
      </c>
      <c r="M6" s="220">
        <v>2021</v>
      </c>
      <c r="N6" s="220">
        <v>2022</v>
      </c>
      <c r="O6" s="220">
        <v>2023</v>
      </c>
      <c r="P6" s="220">
        <v>2024</v>
      </c>
      <c r="Q6" s="220">
        <v>2025</v>
      </c>
      <c r="R6" s="220">
        <v>2026</v>
      </c>
      <c r="S6" s="220">
        <v>2027</v>
      </c>
      <c r="T6" s="220">
        <v>2028</v>
      </c>
      <c r="U6" s="220">
        <v>2029</v>
      </c>
      <c r="V6" s="220">
        <v>2030</v>
      </c>
      <c r="W6" s="639">
        <f>V6+1</f>
        <v>2031</v>
      </c>
    </row>
    <row r="7" spans="2:23">
      <c r="B7" s="225" t="s">
        <v>161</v>
      </c>
      <c r="C7" s="288">
        <f>D7/1.011</f>
        <v>301334.18646128988</v>
      </c>
      <c r="D7" s="288">
        <f>E7/1.011</f>
        <v>304648.86251236405</v>
      </c>
      <c r="E7" s="288">
        <f>308000</f>
        <v>308000</v>
      </c>
      <c r="F7" s="288">
        <f>E7*1.011</f>
        <v>311387.99999999994</v>
      </c>
      <c r="G7" s="354">
        <f t="shared" ref="G7:Q7" si="0">F7*1.011</f>
        <v>314813.26799999992</v>
      </c>
      <c r="H7" s="354">
        <f t="shared" si="0"/>
        <v>318276.21394799987</v>
      </c>
      <c r="I7" s="354">
        <f t="shared" si="0"/>
        <v>321777.25230142783</v>
      </c>
      <c r="J7" s="354">
        <f t="shared" si="0"/>
        <v>325316.80207674351</v>
      </c>
      <c r="K7" s="354">
        <f t="shared" si="0"/>
        <v>328895.28689958766</v>
      </c>
      <c r="L7" s="354">
        <f t="shared" si="0"/>
        <v>332513.13505548309</v>
      </c>
      <c r="M7" s="354">
        <f t="shared" si="0"/>
        <v>336170.77954109339</v>
      </c>
      <c r="N7" s="354">
        <f t="shared" si="0"/>
        <v>339868.65811604541</v>
      </c>
      <c r="O7" s="354">
        <f t="shared" si="0"/>
        <v>343607.21335532184</v>
      </c>
      <c r="P7" s="354">
        <f t="shared" si="0"/>
        <v>347386.89270223037</v>
      </c>
      <c r="Q7" s="354">
        <f t="shared" si="0"/>
        <v>351208.14852195489</v>
      </c>
      <c r="R7" s="354">
        <f t="shared" ref="R7" si="1">Q7*1.011</f>
        <v>355071.43815569638</v>
      </c>
      <c r="S7" s="354">
        <f t="shared" ref="S7" si="2">R7*1.011</f>
        <v>358977.223975409</v>
      </c>
      <c r="T7" s="354">
        <f t="shared" ref="T7" si="3">S7*1.011</f>
        <v>362925.97343913844</v>
      </c>
      <c r="U7" s="354">
        <f t="shared" ref="U7" si="4">T7*1.011</f>
        <v>366918.15914696892</v>
      </c>
      <c r="V7" s="354">
        <f t="shared" ref="V7" si="5">U7*1.011</f>
        <v>370954.25889758556</v>
      </c>
    </row>
    <row r="9" spans="2:23">
      <c r="B9" s="225" t="s">
        <v>75</v>
      </c>
      <c r="C9" s="288">
        <f>C7*C10</f>
        <v>144792.05495239803</v>
      </c>
      <c r="D9" s="288">
        <f t="shared" ref="D9:Q9" si="6">D7*D10</f>
        <v>146384.7675568744</v>
      </c>
      <c r="E9" s="288">
        <v>147995</v>
      </c>
      <c r="F9" s="288">
        <f>F7*F10</f>
        <v>149622.94499999998</v>
      </c>
      <c r="G9" s="354">
        <f t="shared" si="6"/>
        <v>151268.79739499997</v>
      </c>
      <c r="H9" s="354">
        <f t="shared" si="6"/>
        <v>152932.75416634494</v>
      </c>
      <c r="I9" s="354">
        <f t="shared" si="6"/>
        <v>154615.0144621747</v>
      </c>
      <c r="J9" s="354">
        <f t="shared" si="6"/>
        <v>156315.77962125861</v>
      </c>
      <c r="K9" s="354">
        <f t="shared" si="6"/>
        <v>158035.25319709245</v>
      </c>
      <c r="L9" s="354">
        <f t="shared" si="6"/>
        <v>159773.64098226043</v>
      </c>
      <c r="M9" s="354">
        <f t="shared" si="6"/>
        <v>161531.15103306531</v>
      </c>
      <c r="N9" s="354">
        <f t="shared" si="6"/>
        <v>163307.99369442902</v>
      </c>
      <c r="O9" s="354">
        <f t="shared" si="6"/>
        <v>165104.3816250677</v>
      </c>
      <c r="P9" s="354">
        <f t="shared" si="6"/>
        <v>166920.52982294344</v>
      </c>
      <c r="Q9" s="354">
        <f t="shared" si="6"/>
        <v>168756.65565099582</v>
      </c>
      <c r="R9" s="354">
        <f t="shared" ref="R9:V9" si="7">R7*R10</f>
        <v>170612.97886315678</v>
      </c>
      <c r="S9" s="354">
        <f t="shared" si="7"/>
        <v>172489.72163065147</v>
      </c>
      <c r="T9" s="354">
        <f t="shared" si="7"/>
        <v>174387.10856858862</v>
      </c>
      <c r="U9" s="354">
        <f t="shared" si="7"/>
        <v>176305.36676284307</v>
      </c>
      <c r="V9" s="354">
        <f t="shared" si="7"/>
        <v>178244.72579723434</v>
      </c>
    </row>
    <row r="10" spans="2:23">
      <c r="B10" s="225" t="s">
        <v>226</v>
      </c>
      <c r="C10" s="289">
        <f>D10</f>
        <v>0.48050324675324674</v>
      </c>
      <c r="D10" s="289">
        <f>E10</f>
        <v>0.48050324675324674</v>
      </c>
      <c r="E10" s="289">
        <f>E9/E7</f>
        <v>0.48050324675324674</v>
      </c>
      <c r="F10" s="289">
        <f t="shared" ref="F10:Q10" si="8">E10</f>
        <v>0.48050324675324674</v>
      </c>
      <c r="G10" s="289">
        <f t="shared" si="8"/>
        <v>0.48050324675324674</v>
      </c>
      <c r="H10" s="289">
        <f t="shared" si="8"/>
        <v>0.48050324675324674</v>
      </c>
      <c r="I10" s="289">
        <f t="shared" si="8"/>
        <v>0.48050324675324674</v>
      </c>
      <c r="J10" s="289">
        <f t="shared" si="8"/>
        <v>0.48050324675324674</v>
      </c>
      <c r="K10" s="289">
        <f t="shared" si="8"/>
        <v>0.48050324675324674</v>
      </c>
      <c r="L10" s="289">
        <f t="shared" si="8"/>
        <v>0.48050324675324674</v>
      </c>
      <c r="M10" s="289">
        <f t="shared" si="8"/>
        <v>0.48050324675324674</v>
      </c>
      <c r="N10" s="289">
        <f t="shared" si="8"/>
        <v>0.48050324675324674</v>
      </c>
      <c r="O10" s="289">
        <f t="shared" si="8"/>
        <v>0.48050324675324674</v>
      </c>
      <c r="P10" s="289">
        <f t="shared" si="8"/>
        <v>0.48050324675324674</v>
      </c>
      <c r="Q10" s="289">
        <f t="shared" si="8"/>
        <v>0.48050324675324674</v>
      </c>
      <c r="R10" s="289">
        <f t="shared" ref="R10" si="9">Q10</f>
        <v>0.48050324675324674</v>
      </c>
      <c r="S10" s="289">
        <f t="shared" ref="S10" si="10">R10</f>
        <v>0.48050324675324674</v>
      </c>
      <c r="T10" s="289">
        <f t="shared" ref="T10" si="11">S10</f>
        <v>0.48050324675324674</v>
      </c>
      <c r="U10" s="289">
        <f t="shared" ref="U10" si="12">T10</f>
        <v>0.48050324675324674</v>
      </c>
      <c r="V10" s="289">
        <f t="shared" ref="V10" si="13">U10</f>
        <v>0.48050324675324674</v>
      </c>
    </row>
    <row r="11" spans="2:23">
      <c r="B11" s="225" t="s">
        <v>225</v>
      </c>
      <c r="C11" s="288">
        <f>C7*C12</f>
        <v>59901.909852160374</v>
      </c>
      <c r="D11" s="288">
        <f>D7*D12</f>
        <v>60560.830860534137</v>
      </c>
      <c r="E11" s="288">
        <v>61227</v>
      </c>
      <c r="F11" s="288">
        <f>F7*F12</f>
        <v>61900.496999999988</v>
      </c>
      <c r="G11" s="354">
        <f t="shared" ref="G11:Q11" si="14">G7*G12</f>
        <v>62581.402466999985</v>
      </c>
      <c r="H11" s="354">
        <f t="shared" si="14"/>
        <v>63269.797894136973</v>
      </c>
      <c r="I11" s="354">
        <f t="shared" si="14"/>
        <v>63965.765670972476</v>
      </c>
      <c r="J11" s="354">
        <f t="shared" si="14"/>
        <v>64669.389093353166</v>
      </c>
      <c r="K11" s="354">
        <f t="shared" si="14"/>
        <v>65380.752373380048</v>
      </c>
      <c r="L11" s="354">
        <f t="shared" si="14"/>
        <v>66099.940649487224</v>
      </c>
      <c r="M11" s="354">
        <f t="shared" si="14"/>
        <v>66827.039996631574</v>
      </c>
      <c r="N11" s="354">
        <f t="shared" si="14"/>
        <v>67562.137436594523</v>
      </c>
      <c r="O11" s="354">
        <f t="shared" si="14"/>
        <v>68305.320948397042</v>
      </c>
      <c r="P11" s="354">
        <f t="shared" si="14"/>
        <v>69056.679478829406</v>
      </c>
      <c r="Q11" s="354">
        <f t="shared" si="14"/>
        <v>69816.302953096529</v>
      </c>
      <c r="R11" s="354">
        <f t="shared" ref="R11:V11" si="15">R7*R12</f>
        <v>70584.282285580586</v>
      </c>
      <c r="S11" s="354">
        <f t="shared" si="15"/>
        <v>71360.709390721968</v>
      </c>
      <c r="T11" s="354">
        <f t="shared" si="15"/>
        <v>72145.677194019896</v>
      </c>
      <c r="U11" s="354">
        <f t="shared" si="15"/>
        <v>72939.279643154106</v>
      </c>
      <c r="V11" s="354">
        <f t="shared" si="15"/>
        <v>73741.611719228807</v>
      </c>
    </row>
    <row r="12" spans="2:23">
      <c r="B12" s="225" t="s">
        <v>226</v>
      </c>
      <c r="C12" s="289">
        <f>D12</f>
        <v>0.19878896103896104</v>
      </c>
      <c r="D12" s="289">
        <f>E12</f>
        <v>0.19878896103896104</v>
      </c>
      <c r="E12" s="289">
        <f>E11/E7</f>
        <v>0.19878896103896104</v>
      </c>
      <c r="F12" s="289">
        <f t="shared" ref="F12:Q12" si="16">E12</f>
        <v>0.19878896103896104</v>
      </c>
      <c r="G12" s="289">
        <f t="shared" si="16"/>
        <v>0.19878896103896104</v>
      </c>
      <c r="H12" s="289">
        <f t="shared" si="16"/>
        <v>0.19878896103896104</v>
      </c>
      <c r="I12" s="289">
        <f t="shared" si="16"/>
        <v>0.19878896103896104</v>
      </c>
      <c r="J12" s="289">
        <f t="shared" si="16"/>
        <v>0.19878896103896104</v>
      </c>
      <c r="K12" s="289">
        <f t="shared" si="16"/>
        <v>0.19878896103896104</v>
      </c>
      <c r="L12" s="289">
        <f t="shared" si="16"/>
        <v>0.19878896103896104</v>
      </c>
      <c r="M12" s="289">
        <f t="shared" si="16"/>
        <v>0.19878896103896104</v>
      </c>
      <c r="N12" s="289">
        <f t="shared" si="16"/>
        <v>0.19878896103896104</v>
      </c>
      <c r="O12" s="289">
        <f t="shared" si="16"/>
        <v>0.19878896103896104</v>
      </c>
      <c r="P12" s="289">
        <f t="shared" si="16"/>
        <v>0.19878896103896104</v>
      </c>
      <c r="Q12" s="289">
        <f t="shared" si="16"/>
        <v>0.19878896103896104</v>
      </c>
      <c r="R12" s="289">
        <f t="shared" ref="R12" si="17">Q12</f>
        <v>0.19878896103896104</v>
      </c>
      <c r="S12" s="289">
        <f t="shared" ref="S12" si="18">R12</f>
        <v>0.19878896103896104</v>
      </c>
      <c r="T12" s="289">
        <f t="shared" ref="T12" si="19">S12</f>
        <v>0.19878896103896104</v>
      </c>
      <c r="U12" s="289">
        <f t="shared" ref="U12" si="20">T12</f>
        <v>0.19878896103896104</v>
      </c>
      <c r="V12" s="289">
        <f t="shared" ref="V12" si="21">U12</f>
        <v>0.19878896103896104</v>
      </c>
    </row>
    <row r="14" spans="2:23">
      <c r="B14" s="225" t="s">
        <v>227</v>
      </c>
      <c r="C14" s="288">
        <f>C9/15</f>
        <v>9652.8036634932014</v>
      </c>
      <c r="D14" s="288">
        <f>D9/15</f>
        <v>9758.9845037916275</v>
      </c>
      <c r="E14" s="288">
        <f>E9/15</f>
        <v>9866.3333333333339</v>
      </c>
      <c r="F14" s="288">
        <f t="shared" ref="F14:Q14" si="22">F9/15</f>
        <v>9974.8629999999994</v>
      </c>
      <c r="G14" s="354">
        <f t="shared" si="22"/>
        <v>10084.586492999999</v>
      </c>
      <c r="H14" s="354">
        <f t="shared" si="22"/>
        <v>10195.516944422996</v>
      </c>
      <c r="I14" s="354">
        <f t="shared" si="22"/>
        <v>10307.667630811648</v>
      </c>
      <c r="J14" s="354">
        <f t="shared" si="22"/>
        <v>10421.051974750573</v>
      </c>
      <c r="K14" s="354">
        <f t="shared" si="22"/>
        <v>10535.68354647283</v>
      </c>
      <c r="L14" s="354">
        <f t="shared" si="22"/>
        <v>10651.576065484029</v>
      </c>
      <c r="M14" s="354">
        <f t="shared" si="22"/>
        <v>10768.743402204354</v>
      </c>
      <c r="N14" s="354">
        <f t="shared" si="22"/>
        <v>10887.199579628601</v>
      </c>
      <c r="O14" s="354">
        <f t="shared" si="22"/>
        <v>11006.958775004514</v>
      </c>
      <c r="P14" s="354">
        <f t="shared" si="22"/>
        <v>11128.035321529564</v>
      </c>
      <c r="Q14" s="354">
        <f t="shared" si="22"/>
        <v>11250.443710066387</v>
      </c>
      <c r="R14" s="354">
        <f t="shared" ref="R14:V14" si="23">R9/15</f>
        <v>11374.198590877118</v>
      </c>
      <c r="S14" s="354">
        <f t="shared" si="23"/>
        <v>11499.314775376764</v>
      </c>
      <c r="T14" s="354">
        <f t="shared" si="23"/>
        <v>11625.807237905909</v>
      </c>
      <c r="U14" s="354">
        <f t="shared" si="23"/>
        <v>11753.691117522871</v>
      </c>
      <c r="V14" s="354">
        <f t="shared" si="23"/>
        <v>11882.981719815622</v>
      </c>
    </row>
    <row r="15" spans="2:23">
      <c r="B15" s="225" t="s">
        <v>228</v>
      </c>
      <c r="C15" s="288">
        <f>C11/15</f>
        <v>3993.4606568106915</v>
      </c>
      <c r="D15" s="288">
        <f>D11/15</f>
        <v>4037.3887240356094</v>
      </c>
      <c r="E15" s="288">
        <f>E11/15</f>
        <v>4081.8</v>
      </c>
      <c r="F15" s="288">
        <f t="shared" ref="F15:Q15" si="24">F11/15</f>
        <v>4126.6997999999994</v>
      </c>
      <c r="G15" s="354">
        <f t="shared" si="24"/>
        <v>4172.0934977999987</v>
      </c>
      <c r="H15" s="354">
        <f t="shared" si="24"/>
        <v>4217.9865262757985</v>
      </c>
      <c r="I15" s="354">
        <f t="shared" si="24"/>
        <v>4264.3843780648322</v>
      </c>
      <c r="J15" s="354">
        <f t="shared" si="24"/>
        <v>4311.2926062235447</v>
      </c>
      <c r="K15" s="354">
        <f t="shared" si="24"/>
        <v>4358.7168248920034</v>
      </c>
      <c r="L15" s="354">
        <f t="shared" si="24"/>
        <v>4406.6627099658153</v>
      </c>
      <c r="M15" s="354">
        <f t="shared" si="24"/>
        <v>4455.135999775438</v>
      </c>
      <c r="N15" s="354">
        <f t="shared" si="24"/>
        <v>4504.1424957729678</v>
      </c>
      <c r="O15" s="354">
        <f t="shared" si="24"/>
        <v>4553.6880632264692</v>
      </c>
      <c r="P15" s="354">
        <f t="shared" si="24"/>
        <v>4603.7786319219604</v>
      </c>
      <c r="Q15" s="354">
        <f t="shared" si="24"/>
        <v>4654.4201968731022</v>
      </c>
      <c r="R15" s="354">
        <f t="shared" ref="R15:V15" si="25">R11/15</f>
        <v>4705.6188190387056</v>
      </c>
      <c r="S15" s="354">
        <f t="shared" si="25"/>
        <v>4757.3806260481315</v>
      </c>
      <c r="T15" s="354">
        <f t="shared" si="25"/>
        <v>4809.71181293466</v>
      </c>
      <c r="U15" s="354">
        <f t="shared" si="25"/>
        <v>4862.6186428769406</v>
      </c>
      <c r="V15" s="354">
        <f t="shared" si="25"/>
        <v>4916.1074479485869</v>
      </c>
    </row>
    <row r="16" spans="2:23">
      <c r="G16" s="609"/>
      <c r="H16" s="609"/>
      <c r="I16" s="609"/>
      <c r="J16" s="609"/>
      <c r="K16" s="609"/>
      <c r="L16" s="609"/>
      <c r="M16" s="609"/>
      <c r="N16" s="609"/>
      <c r="O16" s="609"/>
      <c r="P16" s="609"/>
      <c r="Q16" s="609"/>
      <c r="R16" s="609"/>
      <c r="S16" s="609"/>
      <c r="T16" s="609"/>
      <c r="U16" s="609"/>
      <c r="V16" s="609"/>
    </row>
    <row r="17" spans="2:22">
      <c r="B17" s="290" t="s">
        <v>227</v>
      </c>
      <c r="C17" s="288"/>
      <c r="D17" s="288"/>
      <c r="E17" s="288"/>
      <c r="F17" s="288"/>
      <c r="G17" s="354"/>
      <c r="H17" s="354"/>
      <c r="I17" s="354"/>
      <c r="J17" s="354"/>
      <c r="K17" s="354"/>
      <c r="L17" s="354"/>
      <c r="M17" s="354"/>
      <c r="N17" s="354"/>
      <c r="O17" s="354"/>
      <c r="P17" s="354"/>
      <c r="Q17" s="354"/>
      <c r="R17" s="354"/>
      <c r="S17" s="354"/>
      <c r="T17" s="354"/>
      <c r="U17" s="354"/>
      <c r="V17" s="354"/>
    </row>
    <row r="18" spans="2:22">
      <c r="B18" s="225" t="s">
        <v>76</v>
      </c>
      <c r="C18" s="288">
        <f>C$14*0.2</f>
        <v>1930.5607326986403</v>
      </c>
      <c r="D18" s="288">
        <f>D$14*0.2</f>
        <v>1951.7969007583256</v>
      </c>
      <c r="E18" s="288">
        <f>E$14*0.2</f>
        <v>1973.2666666666669</v>
      </c>
      <c r="F18" s="288">
        <f t="shared" ref="F18:V18" si="26">F$14*0.2</f>
        <v>1994.9726000000001</v>
      </c>
      <c r="G18" s="354">
        <f t="shared" si="26"/>
        <v>2016.9172985999999</v>
      </c>
      <c r="H18" s="354">
        <f t="shared" si="26"/>
        <v>2039.1033888845993</v>
      </c>
      <c r="I18" s="354">
        <f t="shared" si="26"/>
        <v>2061.5335261623295</v>
      </c>
      <c r="J18" s="354">
        <f t="shared" si="26"/>
        <v>2084.2103949501147</v>
      </c>
      <c r="K18" s="354">
        <f t="shared" si="26"/>
        <v>2107.1367092945661</v>
      </c>
      <c r="L18" s="354">
        <f t="shared" si="26"/>
        <v>2130.315213096806</v>
      </c>
      <c r="M18" s="354">
        <f t="shared" si="26"/>
        <v>2153.7486804408709</v>
      </c>
      <c r="N18" s="354">
        <f t="shared" si="26"/>
        <v>2177.4399159257205</v>
      </c>
      <c r="O18" s="354">
        <f t="shared" si="26"/>
        <v>2201.3917550009028</v>
      </c>
      <c r="P18" s="354">
        <f t="shared" si="26"/>
        <v>2225.6070643059129</v>
      </c>
      <c r="Q18" s="354">
        <f t="shared" si="26"/>
        <v>2250.0887420132776</v>
      </c>
      <c r="R18" s="354">
        <f t="shared" si="26"/>
        <v>2274.839718175424</v>
      </c>
      <c r="S18" s="354">
        <f t="shared" si="26"/>
        <v>2299.8629550753531</v>
      </c>
      <c r="T18" s="354">
        <f t="shared" si="26"/>
        <v>2325.1614475811816</v>
      </c>
      <c r="U18" s="354">
        <f t="shared" si="26"/>
        <v>2350.7382235045743</v>
      </c>
      <c r="V18" s="354">
        <f t="shared" si="26"/>
        <v>2376.5963439631246</v>
      </c>
    </row>
    <row r="19" spans="2:22">
      <c r="B19" s="225" t="s">
        <v>229</v>
      </c>
      <c r="C19" s="288">
        <f t="shared" ref="C19:E20" si="27">C$14*0.4</f>
        <v>3861.1214653972806</v>
      </c>
      <c r="D19" s="288">
        <f t="shared" si="27"/>
        <v>3903.5938015166512</v>
      </c>
      <c r="E19" s="288">
        <f t="shared" si="27"/>
        <v>3946.5333333333338</v>
      </c>
      <c r="F19" s="288">
        <f t="shared" ref="F19:U20" si="28">F$14*0.4</f>
        <v>3989.9452000000001</v>
      </c>
      <c r="G19" s="354">
        <f t="shared" si="28"/>
        <v>4033.8345971999997</v>
      </c>
      <c r="H19" s="354">
        <f t="shared" si="28"/>
        <v>4078.2067777691987</v>
      </c>
      <c r="I19" s="354">
        <f t="shared" si="28"/>
        <v>4123.067052324659</v>
      </c>
      <c r="J19" s="354">
        <f t="shared" si="28"/>
        <v>4168.4207899002295</v>
      </c>
      <c r="K19" s="354">
        <f t="shared" si="28"/>
        <v>4214.2734185891322</v>
      </c>
      <c r="L19" s="354">
        <f t="shared" si="28"/>
        <v>4260.630426193612</v>
      </c>
      <c r="M19" s="354">
        <f t="shared" si="28"/>
        <v>4307.4973608817418</v>
      </c>
      <c r="N19" s="354">
        <f t="shared" si="28"/>
        <v>4354.8798318514409</v>
      </c>
      <c r="O19" s="354">
        <f t="shared" si="28"/>
        <v>4402.7835100018056</v>
      </c>
      <c r="P19" s="354">
        <f t="shared" si="28"/>
        <v>4451.2141286118258</v>
      </c>
      <c r="Q19" s="354">
        <f t="shared" si="28"/>
        <v>4500.1774840265552</v>
      </c>
      <c r="R19" s="354">
        <f t="shared" si="28"/>
        <v>4549.6794363508479</v>
      </c>
      <c r="S19" s="354">
        <f t="shared" si="28"/>
        <v>4599.7259101507061</v>
      </c>
      <c r="T19" s="354">
        <f t="shared" si="28"/>
        <v>4650.3228951623632</v>
      </c>
      <c r="U19" s="354">
        <f t="shared" si="28"/>
        <v>4701.4764470091486</v>
      </c>
      <c r="V19" s="354">
        <f t="shared" ref="R19:V20" si="29">V$14*0.4</f>
        <v>4753.1926879262492</v>
      </c>
    </row>
    <row r="20" spans="2:22">
      <c r="B20" s="225" t="s">
        <v>162</v>
      </c>
      <c r="C20" s="288">
        <f t="shared" si="27"/>
        <v>3861.1214653972806</v>
      </c>
      <c r="D20" s="288">
        <f t="shared" si="27"/>
        <v>3903.5938015166512</v>
      </c>
      <c r="E20" s="288">
        <f t="shared" si="27"/>
        <v>3946.5333333333338</v>
      </c>
      <c r="F20" s="288">
        <f t="shared" si="28"/>
        <v>3989.9452000000001</v>
      </c>
      <c r="G20" s="354">
        <f t="shared" si="28"/>
        <v>4033.8345971999997</v>
      </c>
      <c r="H20" s="354">
        <f t="shared" si="28"/>
        <v>4078.2067777691987</v>
      </c>
      <c r="I20" s="354">
        <f t="shared" si="28"/>
        <v>4123.067052324659</v>
      </c>
      <c r="J20" s="354">
        <f t="shared" si="28"/>
        <v>4168.4207899002295</v>
      </c>
      <c r="K20" s="354">
        <f t="shared" si="28"/>
        <v>4214.2734185891322</v>
      </c>
      <c r="L20" s="354">
        <f t="shared" si="28"/>
        <v>4260.630426193612</v>
      </c>
      <c r="M20" s="354">
        <f t="shared" si="28"/>
        <v>4307.4973608817418</v>
      </c>
      <c r="N20" s="354">
        <f t="shared" si="28"/>
        <v>4354.8798318514409</v>
      </c>
      <c r="O20" s="354">
        <f t="shared" si="28"/>
        <v>4402.7835100018056</v>
      </c>
      <c r="P20" s="354">
        <f t="shared" si="28"/>
        <v>4451.2141286118258</v>
      </c>
      <c r="Q20" s="354">
        <f t="shared" si="28"/>
        <v>4500.1774840265552</v>
      </c>
      <c r="R20" s="354">
        <f t="shared" si="29"/>
        <v>4549.6794363508479</v>
      </c>
      <c r="S20" s="354">
        <f t="shared" si="29"/>
        <v>4599.7259101507061</v>
      </c>
      <c r="T20" s="354">
        <f t="shared" si="29"/>
        <v>4650.3228951623632</v>
      </c>
      <c r="U20" s="354">
        <f t="shared" si="29"/>
        <v>4701.4764470091486</v>
      </c>
      <c r="V20" s="354">
        <f t="shared" si="29"/>
        <v>4753.1926879262492</v>
      </c>
    </row>
    <row r="21" spans="2:22">
      <c r="G21" s="609"/>
      <c r="H21" s="609"/>
      <c r="I21" s="609"/>
      <c r="J21" s="609"/>
      <c r="K21" s="609"/>
      <c r="L21" s="609"/>
      <c r="M21" s="609"/>
      <c r="N21" s="609"/>
      <c r="O21" s="609"/>
      <c r="P21" s="609"/>
      <c r="Q21" s="609"/>
      <c r="R21" s="609"/>
      <c r="S21" s="609"/>
      <c r="T21" s="609"/>
      <c r="U21" s="609"/>
      <c r="V21" s="609"/>
    </row>
    <row r="22" spans="2:22">
      <c r="B22" s="290" t="s">
        <v>228</v>
      </c>
      <c r="G22" s="609"/>
      <c r="H22" s="609"/>
      <c r="I22" s="609"/>
      <c r="J22" s="609"/>
      <c r="K22" s="609"/>
      <c r="L22" s="609"/>
      <c r="M22" s="609"/>
      <c r="N22" s="609"/>
      <c r="O22" s="609"/>
      <c r="P22" s="609"/>
      <c r="Q22" s="609"/>
      <c r="R22" s="609"/>
      <c r="S22" s="609"/>
      <c r="T22" s="609"/>
      <c r="U22" s="609"/>
      <c r="V22" s="609"/>
    </row>
    <row r="23" spans="2:22">
      <c r="B23" s="225" t="s">
        <v>76</v>
      </c>
      <c r="C23" s="288">
        <f>C$15*0.2</f>
        <v>798.6921313621383</v>
      </c>
      <c r="D23" s="288">
        <f>D$15*0.2</f>
        <v>807.47774480712189</v>
      </c>
      <c r="E23" s="288">
        <f>E$15*0.2</f>
        <v>816.36000000000013</v>
      </c>
      <c r="F23" s="288">
        <f t="shared" ref="F23:V23" si="30">F$15*0.2</f>
        <v>825.33995999999991</v>
      </c>
      <c r="G23" s="354">
        <f t="shared" si="30"/>
        <v>834.41869955999982</v>
      </c>
      <c r="H23" s="354">
        <f t="shared" si="30"/>
        <v>843.59730525515977</v>
      </c>
      <c r="I23" s="354">
        <f t="shared" si="30"/>
        <v>852.8768756129665</v>
      </c>
      <c r="J23" s="354">
        <f t="shared" si="30"/>
        <v>862.25852124470896</v>
      </c>
      <c r="K23" s="354">
        <f t="shared" si="30"/>
        <v>871.74336497840068</v>
      </c>
      <c r="L23" s="354">
        <f t="shared" si="30"/>
        <v>881.33254199316309</v>
      </c>
      <c r="M23" s="354">
        <f t="shared" si="30"/>
        <v>891.02719995508767</v>
      </c>
      <c r="N23" s="354">
        <f t="shared" si="30"/>
        <v>900.8284991545936</v>
      </c>
      <c r="O23" s="354">
        <f t="shared" si="30"/>
        <v>910.73761264529389</v>
      </c>
      <c r="P23" s="354">
        <f t="shared" si="30"/>
        <v>920.75572638439212</v>
      </c>
      <c r="Q23" s="354">
        <f t="shared" si="30"/>
        <v>930.88403937462044</v>
      </c>
      <c r="R23" s="354">
        <f t="shared" si="30"/>
        <v>941.12376380774117</v>
      </c>
      <c r="S23" s="354">
        <f t="shared" si="30"/>
        <v>951.47612520962639</v>
      </c>
      <c r="T23" s="354">
        <f t="shared" si="30"/>
        <v>961.94236258693206</v>
      </c>
      <c r="U23" s="354">
        <f t="shared" si="30"/>
        <v>972.52372857538819</v>
      </c>
      <c r="V23" s="354">
        <f t="shared" si="30"/>
        <v>983.22148958971741</v>
      </c>
    </row>
    <row r="24" spans="2:22">
      <c r="B24" s="225" t="s">
        <v>229</v>
      </c>
      <c r="C24" s="288">
        <f t="shared" ref="C24:E25" si="31">C$15*0.4</f>
        <v>1597.3842627242766</v>
      </c>
      <c r="D24" s="288">
        <f t="shared" si="31"/>
        <v>1614.9554896142438</v>
      </c>
      <c r="E24" s="288">
        <f t="shared" si="31"/>
        <v>1632.7200000000003</v>
      </c>
      <c r="F24" s="288">
        <f t="shared" ref="F24:U25" si="32">F$15*0.4</f>
        <v>1650.6799199999998</v>
      </c>
      <c r="G24" s="354">
        <f t="shared" si="32"/>
        <v>1668.8373991199996</v>
      </c>
      <c r="H24" s="354">
        <f t="shared" si="32"/>
        <v>1687.1946105103195</v>
      </c>
      <c r="I24" s="354">
        <f t="shared" si="32"/>
        <v>1705.753751225933</v>
      </c>
      <c r="J24" s="354">
        <f t="shared" si="32"/>
        <v>1724.5170424894179</v>
      </c>
      <c r="K24" s="354">
        <f t="shared" si="32"/>
        <v>1743.4867299568014</v>
      </c>
      <c r="L24" s="354">
        <f t="shared" si="32"/>
        <v>1762.6650839863262</v>
      </c>
      <c r="M24" s="354">
        <f t="shared" si="32"/>
        <v>1782.0543999101753</v>
      </c>
      <c r="N24" s="354">
        <f t="shared" si="32"/>
        <v>1801.6569983091872</v>
      </c>
      <c r="O24" s="354">
        <f t="shared" si="32"/>
        <v>1821.4752252905878</v>
      </c>
      <c r="P24" s="354">
        <f t="shared" si="32"/>
        <v>1841.5114527687842</v>
      </c>
      <c r="Q24" s="354">
        <f t="shared" si="32"/>
        <v>1861.7680787492409</v>
      </c>
      <c r="R24" s="354">
        <f t="shared" si="32"/>
        <v>1882.2475276154823</v>
      </c>
      <c r="S24" s="354">
        <f t="shared" si="32"/>
        <v>1902.9522504192528</v>
      </c>
      <c r="T24" s="354">
        <f t="shared" si="32"/>
        <v>1923.8847251738641</v>
      </c>
      <c r="U24" s="354">
        <f t="shared" si="32"/>
        <v>1945.0474571507764</v>
      </c>
      <c r="V24" s="354">
        <f t="shared" ref="R24:V25" si="33">V$15*0.4</f>
        <v>1966.4429791794348</v>
      </c>
    </row>
    <row r="25" spans="2:22">
      <c r="B25" s="225" t="s">
        <v>162</v>
      </c>
      <c r="C25" s="288">
        <f t="shared" si="31"/>
        <v>1597.3842627242766</v>
      </c>
      <c r="D25" s="288">
        <f t="shared" si="31"/>
        <v>1614.9554896142438</v>
      </c>
      <c r="E25" s="288">
        <f t="shared" si="31"/>
        <v>1632.7200000000003</v>
      </c>
      <c r="F25" s="288">
        <f t="shared" si="32"/>
        <v>1650.6799199999998</v>
      </c>
      <c r="G25" s="354">
        <f t="shared" si="32"/>
        <v>1668.8373991199996</v>
      </c>
      <c r="H25" s="354">
        <f t="shared" si="32"/>
        <v>1687.1946105103195</v>
      </c>
      <c r="I25" s="354">
        <f t="shared" si="32"/>
        <v>1705.753751225933</v>
      </c>
      <c r="J25" s="354">
        <f t="shared" si="32"/>
        <v>1724.5170424894179</v>
      </c>
      <c r="K25" s="354">
        <f t="shared" si="32"/>
        <v>1743.4867299568014</v>
      </c>
      <c r="L25" s="354">
        <f t="shared" si="32"/>
        <v>1762.6650839863262</v>
      </c>
      <c r="M25" s="354">
        <f t="shared" si="32"/>
        <v>1782.0543999101753</v>
      </c>
      <c r="N25" s="354">
        <f t="shared" si="32"/>
        <v>1801.6569983091872</v>
      </c>
      <c r="O25" s="354">
        <f t="shared" si="32"/>
        <v>1821.4752252905878</v>
      </c>
      <c r="P25" s="354">
        <f t="shared" si="32"/>
        <v>1841.5114527687842</v>
      </c>
      <c r="Q25" s="354">
        <f t="shared" si="32"/>
        <v>1861.7680787492409</v>
      </c>
      <c r="R25" s="354">
        <f t="shared" si="33"/>
        <v>1882.2475276154823</v>
      </c>
      <c r="S25" s="354">
        <f t="shared" si="33"/>
        <v>1902.9522504192528</v>
      </c>
      <c r="T25" s="354">
        <f t="shared" si="33"/>
        <v>1923.8847251738641</v>
      </c>
      <c r="U25" s="354">
        <f t="shared" si="33"/>
        <v>1945.0474571507764</v>
      </c>
      <c r="V25" s="354">
        <f t="shared" si="33"/>
        <v>1966.4429791794348</v>
      </c>
    </row>
    <row r="26" spans="2:22">
      <c r="G26" s="609"/>
      <c r="H26" s="609"/>
      <c r="I26" s="609"/>
      <c r="J26" s="609"/>
      <c r="K26" s="609"/>
      <c r="L26" s="609"/>
      <c r="M26" s="609"/>
      <c r="N26" s="609"/>
      <c r="O26" s="609"/>
      <c r="P26" s="609"/>
      <c r="Q26" s="609"/>
      <c r="R26" s="609"/>
      <c r="S26" s="609"/>
      <c r="T26" s="609"/>
      <c r="U26" s="609"/>
      <c r="V26" s="609"/>
    </row>
    <row r="27" spans="2:22">
      <c r="B27" s="291" t="s">
        <v>201</v>
      </c>
      <c r="G27" s="609"/>
      <c r="H27" s="609"/>
      <c r="I27" s="609"/>
      <c r="J27" s="609"/>
      <c r="K27" s="609"/>
      <c r="L27" s="609"/>
      <c r="M27" s="609"/>
      <c r="N27" s="609"/>
      <c r="O27" s="609"/>
      <c r="P27" s="609"/>
      <c r="Q27" s="609"/>
      <c r="R27" s="609"/>
      <c r="S27" s="609"/>
      <c r="T27" s="609"/>
      <c r="U27" s="609"/>
      <c r="V27" s="609"/>
    </row>
    <row r="28" spans="2:22">
      <c r="B28" s="290" t="s">
        <v>227</v>
      </c>
      <c r="C28" s="288"/>
      <c r="D28" s="288"/>
      <c r="E28" s="288"/>
      <c r="F28" s="288"/>
      <c r="G28" s="354"/>
      <c r="H28" s="354"/>
      <c r="I28" s="354"/>
      <c r="J28" s="354"/>
      <c r="K28" s="354"/>
      <c r="L28" s="354"/>
      <c r="M28" s="354"/>
      <c r="N28" s="354"/>
      <c r="O28" s="354"/>
      <c r="P28" s="354"/>
      <c r="Q28" s="354"/>
      <c r="R28" s="354"/>
      <c r="S28" s="354"/>
      <c r="T28" s="354"/>
      <c r="U28" s="354"/>
      <c r="V28" s="354"/>
    </row>
    <row r="29" spans="2:22">
      <c r="B29" s="225" t="s">
        <v>76</v>
      </c>
      <c r="C29" s="288">
        <f>C18*0.6</f>
        <v>1158.3364396191841</v>
      </c>
      <c r="D29" s="288">
        <f t="shared" ref="D29:Q29" si="34">D18*0.6</f>
        <v>1171.0781404549953</v>
      </c>
      <c r="E29" s="288">
        <f t="shared" si="34"/>
        <v>1183.96</v>
      </c>
      <c r="F29" s="288">
        <f t="shared" si="34"/>
        <v>1196.9835599999999</v>
      </c>
      <c r="G29" s="354">
        <f t="shared" si="34"/>
        <v>1210.1503791599998</v>
      </c>
      <c r="H29" s="354">
        <f t="shared" si="34"/>
        <v>1223.4620333307596</v>
      </c>
      <c r="I29" s="354">
        <f t="shared" si="34"/>
        <v>1236.9201156973977</v>
      </c>
      <c r="J29" s="354">
        <f t="shared" si="34"/>
        <v>1250.5262369700688</v>
      </c>
      <c r="K29" s="354">
        <f t="shared" si="34"/>
        <v>1264.2820255767397</v>
      </c>
      <c r="L29" s="354">
        <f t="shared" si="34"/>
        <v>1278.1891278580836</v>
      </c>
      <c r="M29" s="354">
        <f t="shared" si="34"/>
        <v>1292.2492082645224</v>
      </c>
      <c r="N29" s="354">
        <f t="shared" si="34"/>
        <v>1306.4639495554322</v>
      </c>
      <c r="O29" s="354">
        <f t="shared" si="34"/>
        <v>1320.8350530005416</v>
      </c>
      <c r="P29" s="354">
        <f t="shared" si="34"/>
        <v>1335.3642385835476</v>
      </c>
      <c r="Q29" s="354">
        <f t="shared" si="34"/>
        <v>1350.0532452079665</v>
      </c>
      <c r="R29" s="354">
        <f t="shared" ref="R29:V29" si="35">R18*0.6</f>
        <v>1364.9038309052544</v>
      </c>
      <c r="S29" s="354">
        <f t="shared" si="35"/>
        <v>1379.9177730452118</v>
      </c>
      <c r="T29" s="354">
        <f t="shared" si="35"/>
        <v>1395.0968685487089</v>
      </c>
      <c r="U29" s="354">
        <f t="shared" si="35"/>
        <v>1410.4429341027446</v>
      </c>
      <c r="V29" s="354">
        <f t="shared" si="35"/>
        <v>1425.9578063778747</v>
      </c>
    </row>
    <row r="30" spans="2:22">
      <c r="B30" s="225" t="s">
        <v>229</v>
      </c>
      <c r="C30" s="288">
        <f>C19*0.6</f>
        <v>2316.6728792383683</v>
      </c>
      <c r="D30" s="288">
        <f t="shared" ref="D30:Q30" si="36">D19*0.6</f>
        <v>2342.1562809099905</v>
      </c>
      <c r="E30" s="288">
        <f t="shared" si="36"/>
        <v>2367.92</v>
      </c>
      <c r="F30" s="288">
        <f t="shared" si="36"/>
        <v>2393.9671199999998</v>
      </c>
      <c r="G30" s="354">
        <f t="shared" si="36"/>
        <v>2420.3007583199997</v>
      </c>
      <c r="H30" s="354">
        <f t="shared" si="36"/>
        <v>2446.9240666615192</v>
      </c>
      <c r="I30" s="354">
        <f t="shared" si="36"/>
        <v>2473.8402313947954</v>
      </c>
      <c r="J30" s="354">
        <f t="shared" si="36"/>
        <v>2501.0524739401376</v>
      </c>
      <c r="K30" s="354">
        <f t="shared" si="36"/>
        <v>2528.5640511534793</v>
      </c>
      <c r="L30" s="354">
        <f t="shared" si="36"/>
        <v>2556.3782557161671</v>
      </c>
      <c r="M30" s="354">
        <f t="shared" si="36"/>
        <v>2584.4984165290448</v>
      </c>
      <c r="N30" s="354">
        <f t="shared" si="36"/>
        <v>2612.9278991108645</v>
      </c>
      <c r="O30" s="354">
        <f t="shared" si="36"/>
        <v>2641.6701060010832</v>
      </c>
      <c r="P30" s="354">
        <f t="shared" si="36"/>
        <v>2670.7284771670952</v>
      </c>
      <c r="Q30" s="354">
        <f t="shared" si="36"/>
        <v>2700.106490415933</v>
      </c>
      <c r="R30" s="354">
        <f t="shared" ref="R30:V30" si="37">R19*0.6</f>
        <v>2729.8076618105088</v>
      </c>
      <c r="S30" s="354">
        <f t="shared" si="37"/>
        <v>2759.8355460904236</v>
      </c>
      <c r="T30" s="354">
        <f t="shared" si="37"/>
        <v>2790.1937370974179</v>
      </c>
      <c r="U30" s="354">
        <f t="shared" si="37"/>
        <v>2820.8858682054893</v>
      </c>
      <c r="V30" s="354">
        <f t="shared" si="37"/>
        <v>2851.9156127557494</v>
      </c>
    </row>
    <row r="31" spans="2:22">
      <c r="B31" s="225" t="s">
        <v>162</v>
      </c>
      <c r="C31" s="288">
        <f>C20*0.26</f>
        <v>1003.891581003293</v>
      </c>
      <c r="D31" s="288">
        <f t="shared" ref="D31:Q31" si="38">D20*0.26</f>
        <v>1014.9343883943293</v>
      </c>
      <c r="E31" s="288">
        <f t="shared" si="38"/>
        <v>1026.0986666666668</v>
      </c>
      <c r="F31" s="288">
        <f t="shared" si="38"/>
        <v>1037.3857520000001</v>
      </c>
      <c r="G31" s="354">
        <f t="shared" si="38"/>
        <v>1048.796995272</v>
      </c>
      <c r="H31" s="354">
        <f t="shared" si="38"/>
        <v>1060.3337622199917</v>
      </c>
      <c r="I31" s="354">
        <f t="shared" si="38"/>
        <v>1071.9974336044113</v>
      </c>
      <c r="J31" s="354">
        <f t="shared" si="38"/>
        <v>1083.7894053740597</v>
      </c>
      <c r="K31" s="354">
        <f t="shared" si="38"/>
        <v>1095.7110888331745</v>
      </c>
      <c r="L31" s="354">
        <f t="shared" si="38"/>
        <v>1107.7639108103392</v>
      </c>
      <c r="M31" s="354">
        <f t="shared" si="38"/>
        <v>1119.9493138292528</v>
      </c>
      <c r="N31" s="354">
        <f t="shared" si="38"/>
        <v>1132.2687562813746</v>
      </c>
      <c r="O31" s="354">
        <f t="shared" si="38"/>
        <v>1144.7237126004695</v>
      </c>
      <c r="P31" s="354">
        <f t="shared" si="38"/>
        <v>1157.3156734390748</v>
      </c>
      <c r="Q31" s="354">
        <f t="shared" si="38"/>
        <v>1170.0461458469044</v>
      </c>
      <c r="R31" s="354">
        <f t="shared" ref="R31:V31" si="39">R20*0.26</f>
        <v>1182.9166534512206</v>
      </c>
      <c r="S31" s="354">
        <f t="shared" si="39"/>
        <v>1195.9287366391836</v>
      </c>
      <c r="T31" s="354">
        <f t="shared" si="39"/>
        <v>1209.0839527422145</v>
      </c>
      <c r="U31" s="354">
        <f t="shared" si="39"/>
        <v>1222.3838762223786</v>
      </c>
      <c r="V31" s="354">
        <f t="shared" si="39"/>
        <v>1235.8300988608248</v>
      </c>
    </row>
    <row r="32" spans="2:22">
      <c r="G32" s="609"/>
      <c r="H32" s="609"/>
      <c r="I32" s="609"/>
      <c r="J32" s="609"/>
      <c r="K32" s="609"/>
      <c r="L32" s="609"/>
      <c r="M32" s="609"/>
      <c r="N32" s="609"/>
      <c r="O32" s="609"/>
      <c r="P32" s="609"/>
      <c r="Q32" s="609"/>
      <c r="R32" s="609"/>
      <c r="S32" s="609"/>
      <c r="T32" s="609"/>
      <c r="U32" s="609"/>
      <c r="V32" s="609"/>
    </row>
    <row r="33" spans="2:22">
      <c r="B33" s="290" t="s">
        <v>228</v>
      </c>
      <c r="G33" s="609"/>
      <c r="H33" s="609"/>
      <c r="I33" s="609"/>
      <c r="J33" s="609"/>
      <c r="K33" s="609"/>
      <c r="L33" s="609"/>
      <c r="M33" s="609"/>
      <c r="N33" s="609"/>
      <c r="O33" s="609"/>
      <c r="P33" s="609"/>
      <c r="Q33" s="609"/>
      <c r="R33" s="609"/>
      <c r="S33" s="609"/>
      <c r="T33" s="609"/>
      <c r="U33" s="609"/>
      <c r="V33" s="609"/>
    </row>
    <row r="34" spans="2:22">
      <c r="B34" s="225" t="s">
        <v>76</v>
      </c>
      <c r="C34" s="288">
        <f>C23*0.6</f>
        <v>479.21527881728298</v>
      </c>
      <c r="D34" s="288">
        <f t="shared" ref="D34:Q34" si="40">D23*0.6</f>
        <v>484.48664688427311</v>
      </c>
      <c r="E34" s="288">
        <f t="shared" si="40"/>
        <v>489.81600000000003</v>
      </c>
      <c r="F34" s="288">
        <f t="shared" si="40"/>
        <v>495.2039759999999</v>
      </c>
      <c r="G34" s="354">
        <f t="shared" si="40"/>
        <v>500.65121973599986</v>
      </c>
      <c r="H34" s="354">
        <f t="shared" si="40"/>
        <v>506.15838315309583</v>
      </c>
      <c r="I34" s="354">
        <f t="shared" si="40"/>
        <v>511.7261253677799</v>
      </c>
      <c r="J34" s="354">
        <f t="shared" si="40"/>
        <v>517.3551127468254</v>
      </c>
      <c r="K34" s="354">
        <f t="shared" si="40"/>
        <v>523.04601898704038</v>
      </c>
      <c r="L34" s="354">
        <f t="shared" si="40"/>
        <v>528.79952519589779</v>
      </c>
      <c r="M34" s="354">
        <f t="shared" si="40"/>
        <v>534.61631997305255</v>
      </c>
      <c r="N34" s="354">
        <f t="shared" si="40"/>
        <v>540.49709949275609</v>
      </c>
      <c r="O34" s="354">
        <f t="shared" si="40"/>
        <v>546.44256758717631</v>
      </c>
      <c r="P34" s="354">
        <f t="shared" si="40"/>
        <v>552.45343583063527</v>
      </c>
      <c r="Q34" s="354">
        <f t="shared" si="40"/>
        <v>558.5304236247722</v>
      </c>
      <c r="R34" s="354">
        <f t="shared" ref="R34:V34" si="41">R23*0.6</f>
        <v>564.67425828464468</v>
      </c>
      <c r="S34" s="354">
        <f t="shared" si="41"/>
        <v>570.88567512577583</v>
      </c>
      <c r="T34" s="354">
        <f t="shared" si="41"/>
        <v>577.16541755215917</v>
      </c>
      <c r="U34" s="354">
        <f t="shared" si="41"/>
        <v>583.51423714523287</v>
      </c>
      <c r="V34" s="354">
        <f t="shared" si="41"/>
        <v>589.9328937538304</v>
      </c>
    </row>
    <row r="35" spans="2:22">
      <c r="B35" s="225" t="s">
        <v>229</v>
      </c>
      <c r="C35" s="288">
        <f>C24*0.6</f>
        <v>958.43055763456596</v>
      </c>
      <c r="D35" s="288">
        <f t="shared" ref="D35:Q35" si="42">D24*0.6</f>
        <v>968.97329376854623</v>
      </c>
      <c r="E35" s="288">
        <f t="shared" si="42"/>
        <v>979.63200000000006</v>
      </c>
      <c r="F35" s="288">
        <f t="shared" si="42"/>
        <v>990.4079519999998</v>
      </c>
      <c r="G35" s="354">
        <f t="shared" si="42"/>
        <v>1001.3024394719997</v>
      </c>
      <c r="H35" s="354">
        <f t="shared" si="42"/>
        <v>1012.3167663061917</v>
      </c>
      <c r="I35" s="354">
        <f t="shared" si="42"/>
        <v>1023.4522507355598</v>
      </c>
      <c r="J35" s="354">
        <f t="shared" si="42"/>
        <v>1034.7102254936508</v>
      </c>
      <c r="K35" s="354">
        <f t="shared" si="42"/>
        <v>1046.0920379740808</v>
      </c>
      <c r="L35" s="354">
        <f t="shared" si="42"/>
        <v>1057.5990503917956</v>
      </c>
      <c r="M35" s="354">
        <f t="shared" si="42"/>
        <v>1069.2326399461051</v>
      </c>
      <c r="N35" s="354">
        <f t="shared" si="42"/>
        <v>1080.9941989855122</v>
      </c>
      <c r="O35" s="354">
        <f t="shared" si="42"/>
        <v>1092.8851351743526</v>
      </c>
      <c r="P35" s="354">
        <f t="shared" si="42"/>
        <v>1104.9068716612705</v>
      </c>
      <c r="Q35" s="354">
        <f t="shared" si="42"/>
        <v>1117.0608472495444</v>
      </c>
      <c r="R35" s="354">
        <f t="shared" ref="R35:V35" si="43">R24*0.6</f>
        <v>1129.3485165692894</v>
      </c>
      <c r="S35" s="354">
        <f t="shared" si="43"/>
        <v>1141.7713502515517</v>
      </c>
      <c r="T35" s="354">
        <f t="shared" si="43"/>
        <v>1154.3308351043183</v>
      </c>
      <c r="U35" s="354">
        <f t="shared" si="43"/>
        <v>1167.0284742904657</v>
      </c>
      <c r="V35" s="354">
        <f t="shared" si="43"/>
        <v>1179.8657875076608</v>
      </c>
    </row>
    <row r="36" spans="2:22">
      <c r="B36" s="225" t="s">
        <v>162</v>
      </c>
      <c r="C36" s="288">
        <f>C25*0.26</f>
        <v>415.31990830831194</v>
      </c>
      <c r="D36" s="288">
        <f t="shared" ref="D36:Q36" si="44">D25*0.26</f>
        <v>419.88842729970338</v>
      </c>
      <c r="E36" s="288">
        <f t="shared" si="44"/>
        <v>424.50720000000007</v>
      </c>
      <c r="F36" s="288">
        <f t="shared" si="44"/>
        <v>429.17677919999994</v>
      </c>
      <c r="G36" s="354">
        <f t="shared" si="44"/>
        <v>433.89772377119994</v>
      </c>
      <c r="H36" s="354">
        <f t="shared" si="44"/>
        <v>438.67059873268312</v>
      </c>
      <c r="I36" s="354">
        <f t="shared" si="44"/>
        <v>443.49597531874258</v>
      </c>
      <c r="J36" s="354">
        <f t="shared" si="44"/>
        <v>448.37443104724866</v>
      </c>
      <c r="K36" s="354">
        <f t="shared" si="44"/>
        <v>453.30654978876839</v>
      </c>
      <c r="L36" s="354">
        <f t="shared" si="44"/>
        <v>458.2929218364448</v>
      </c>
      <c r="M36" s="354">
        <f t="shared" si="44"/>
        <v>463.33414397664558</v>
      </c>
      <c r="N36" s="354">
        <f t="shared" si="44"/>
        <v>468.43081956038867</v>
      </c>
      <c r="O36" s="354">
        <f t="shared" si="44"/>
        <v>473.58355857555284</v>
      </c>
      <c r="P36" s="354">
        <f t="shared" si="44"/>
        <v>478.79297771988394</v>
      </c>
      <c r="Q36" s="354">
        <f t="shared" si="44"/>
        <v>484.05970047480264</v>
      </c>
      <c r="R36" s="354">
        <f t="shared" ref="R36:V36" si="45">R25*0.26</f>
        <v>489.3843571800254</v>
      </c>
      <c r="S36" s="354">
        <f t="shared" si="45"/>
        <v>494.76758510900572</v>
      </c>
      <c r="T36" s="354">
        <f t="shared" si="45"/>
        <v>500.21002854520469</v>
      </c>
      <c r="U36" s="354">
        <f t="shared" si="45"/>
        <v>505.71233885920185</v>
      </c>
      <c r="V36" s="354">
        <f t="shared" si="45"/>
        <v>511.27517458665307</v>
      </c>
    </row>
    <row r="37" spans="2:22">
      <c r="B37" s="291"/>
    </row>
    <row r="38" spans="2:22">
      <c r="B38" s="291" t="s">
        <v>202</v>
      </c>
    </row>
    <row r="39" spans="2:22">
      <c r="B39" s="290" t="s">
        <v>227</v>
      </c>
    </row>
    <row r="40" spans="2:22" outlineLevel="1">
      <c r="B40" s="255" t="s">
        <v>108</v>
      </c>
      <c r="C40" s="616"/>
      <c r="D40" s="616"/>
      <c r="E40" s="293">
        <f>E41</f>
        <v>0.26690000000000003</v>
      </c>
      <c r="F40" s="293">
        <f>F41</f>
        <v>0.31640000000000001</v>
      </c>
      <c r="G40" s="293">
        <f>G41</f>
        <v>0.36430000000000001</v>
      </c>
      <c r="H40" s="493">
        <f>H41</f>
        <v>0.39500000000000002</v>
      </c>
      <c r="I40" s="493">
        <f t="shared" ref="I40:V40" si="46">I41</f>
        <v>0.43000000000000005</v>
      </c>
      <c r="J40" s="493">
        <f t="shared" si="46"/>
        <v>0.46000000000000008</v>
      </c>
      <c r="K40" s="493">
        <f t="shared" si="46"/>
        <v>0.4850000000000001</v>
      </c>
      <c r="L40" s="493">
        <f t="shared" si="46"/>
        <v>0.50500000000000012</v>
      </c>
      <c r="M40" s="493">
        <f t="shared" si="46"/>
        <v>0.52000000000000013</v>
      </c>
      <c r="N40" s="493">
        <f t="shared" si="46"/>
        <v>0.53500000000000014</v>
      </c>
      <c r="O40" s="493">
        <f t="shared" si="46"/>
        <v>0.55000000000000016</v>
      </c>
      <c r="P40" s="493">
        <f t="shared" si="46"/>
        <v>0.55500000000000016</v>
      </c>
      <c r="Q40" s="493">
        <f t="shared" si="46"/>
        <v>0.56000000000000016</v>
      </c>
      <c r="R40" s="493">
        <f t="shared" si="46"/>
        <v>0.56500000000000017</v>
      </c>
      <c r="S40" s="493">
        <f t="shared" si="46"/>
        <v>0.57000000000000017</v>
      </c>
      <c r="T40" s="493">
        <f t="shared" si="46"/>
        <v>0.57500000000000018</v>
      </c>
      <c r="U40" s="493">
        <f t="shared" si="46"/>
        <v>0.58000000000000018</v>
      </c>
      <c r="V40" s="493">
        <f t="shared" si="46"/>
        <v>0.58500000000000019</v>
      </c>
    </row>
    <row r="41" spans="2:22" outlineLevel="1">
      <c r="B41" s="255" t="s">
        <v>109</v>
      </c>
      <c r="C41" s="616"/>
      <c r="D41" s="616"/>
      <c r="E41" s="292">
        <v>0.26690000000000003</v>
      </c>
      <c r="F41" s="293">
        <v>0.31640000000000001</v>
      </c>
      <c r="G41" s="293">
        <v>0.36430000000000001</v>
      </c>
      <c r="H41" s="292">
        <v>0.39500000000000002</v>
      </c>
      <c r="I41" s="292">
        <f>H41+0.035</f>
        <v>0.43000000000000005</v>
      </c>
      <c r="J41" s="292">
        <f>I41+0.03</f>
        <v>0.46000000000000008</v>
      </c>
      <c r="K41" s="292">
        <f>J41+0.025</f>
        <v>0.4850000000000001</v>
      </c>
      <c r="L41" s="292">
        <f>K41+0.02</f>
        <v>0.50500000000000012</v>
      </c>
      <c r="M41" s="292">
        <f>L41+0.015</f>
        <v>0.52000000000000013</v>
      </c>
      <c r="N41" s="292">
        <f>M41+0.015</f>
        <v>0.53500000000000014</v>
      </c>
      <c r="O41" s="292">
        <f>N41+0.015</f>
        <v>0.55000000000000016</v>
      </c>
      <c r="P41" s="292">
        <f>O41+0.005</f>
        <v>0.55500000000000016</v>
      </c>
      <c r="Q41" s="292">
        <f>P41+0.005</f>
        <v>0.56000000000000016</v>
      </c>
      <c r="R41" s="292">
        <f t="shared" ref="R41:V41" si="47">Q41+0.005</f>
        <v>0.56500000000000017</v>
      </c>
      <c r="S41" s="292">
        <f t="shared" si="47"/>
        <v>0.57000000000000017</v>
      </c>
      <c r="T41" s="292">
        <f t="shared" si="47"/>
        <v>0.57500000000000018</v>
      </c>
      <c r="U41" s="292">
        <f t="shared" si="47"/>
        <v>0.58000000000000018</v>
      </c>
      <c r="V41" s="292">
        <f t="shared" si="47"/>
        <v>0.58500000000000019</v>
      </c>
    </row>
    <row r="42" spans="2:22" outlineLevel="1">
      <c r="B42" s="255" t="s">
        <v>166</v>
      </c>
      <c r="C42" s="616"/>
      <c r="D42" s="616"/>
      <c r="E42" s="293">
        <f>E41</f>
        <v>0.26690000000000003</v>
      </c>
      <c r="F42" s="293">
        <f>F41</f>
        <v>0.31640000000000001</v>
      </c>
      <c r="G42" s="293">
        <f>G41</f>
        <v>0.36430000000000001</v>
      </c>
      <c r="H42" s="493">
        <f>H41</f>
        <v>0.39500000000000002</v>
      </c>
      <c r="I42" s="493">
        <f t="shared" ref="I42:Q42" si="48">I41</f>
        <v>0.43000000000000005</v>
      </c>
      <c r="J42" s="493">
        <f t="shared" si="48"/>
        <v>0.46000000000000008</v>
      </c>
      <c r="K42" s="493">
        <f t="shared" si="48"/>
        <v>0.4850000000000001</v>
      </c>
      <c r="L42" s="493">
        <f t="shared" si="48"/>
        <v>0.50500000000000012</v>
      </c>
      <c r="M42" s="493">
        <f t="shared" si="48"/>
        <v>0.52000000000000013</v>
      </c>
      <c r="N42" s="493">
        <f t="shared" si="48"/>
        <v>0.53500000000000014</v>
      </c>
      <c r="O42" s="493">
        <f t="shared" si="48"/>
        <v>0.55000000000000016</v>
      </c>
      <c r="P42" s="493">
        <f t="shared" si="48"/>
        <v>0.55500000000000016</v>
      </c>
      <c r="Q42" s="493">
        <f t="shared" si="48"/>
        <v>0.56000000000000016</v>
      </c>
      <c r="R42" s="493">
        <f t="shared" ref="R42:V42" si="49">R41</f>
        <v>0.56500000000000017</v>
      </c>
      <c r="S42" s="493">
        <f t="shared" si="49"/>
        <v>0.57000000000000017</v>
      </c>
      <c r="T42" s="493">
        <f t="shared" si="49"/>
        <v>0.57500000000000018</v>
      </c>
      <c r="U42" s="493">
        <f t="shared" si="49"/>
        <v>0.58000000000000018</v>
      </c>
      <c r="V42" s="493">
        <f t="shared" si="49"/>
        <v>0.58500000000000019</v>
      </c>
    </row>
    <row r="43" spans="2:22" s="291" customFormat="1">
      <c r="B43" s="294" t="s">
        <v>76</v>
      </c>
      <c r="C43" s="617"/>
      <c r="D43" s="617"/>
      <c r="E43" s="295">
        <f t="shared" ref="E43:Q43" si="50">CHOOSE($G$2,E40,E41,E42)</f>
        <v>0.26690000000000003</v>
      </c>
      <c r="F43" s="295">
        <f t="shared" si="50"/>
        <v>0.31640000000000001</v>
      </c>
      <c r="G43" s="228">
        <f t="shared" si="50"/>
        <v>0.36430000000000001</v>
      </c>
      <c r="H43" s="228">
        <f t="shared" si="50"/>
        <v>0.39500000000000002</v>
      </c>
      <c r="I43" s="228">
        <f t="shared" si="50"/>
        <v>0.43000000000000005</v>
      </c>
      <c r="J43" s="228">
        <f t="shared" si="50"/>
        <v>0.46000000000000008</v>
      </c>
      <c r="K43" s="228">
        <f t="shared" si="50"/>
        <v>0.4850000000000001</v>
      </c>
      <c r="L43" s="228">
        <f t="shared" si="50"/>
        <v>0.50500000000000012</v>
      </c>
      <c r="M43" s="228">
        <f t="shared" si="50"/>
        <v>0.52000000000000013</v>
      </c>
      <c r="N43" s="228">
        <f t="shared" si="50"/>
        <v>0.53500000000000014</v>
      </c>
      <c r="O43" s="228">
        <f t="shared" si="50"/>
        <v>0.55000000000000016</v>
      </c>
      <c r="P43" s="228">
        <f t="shared" si="50"/>
        <v>0.55500000000000016</v>
      </c>
      <c r="Q43" s="228">
        <f t="shared" si="50"/>
        <v>0.56000000000000016</v>
      </c>
      <c r="R43" s="228">
        <f t="shared" ref="R43:V43" si="51">CHOOSE($G$2,R40,R41,R42)</f>
        <v>0.56500000000000017</v>
      </c>
      <c r="S43" s="228">
        <f t="shared" si="51"/>
        <v>0.57000000000000017</v>
      </c>
      <c r="T43" s="228">
        <f t="shared" si="51"/>
        <v>0.57500000000000018</v>
      </c>
      <c r="U43" s="228">
        <f t="shared" si="51"/>
        <v>0.58000000000000018</v>
      </c>
      <c r="V43" s="228">
        <f t="shared" si="51"/>
        <v>0.58500000000000019</v>
      </c>
    </row>
    <row r="44" spans="2:22" outlineLevel="1">
      <c r="B44" s="255" t="s">
        <v>108</v>
      </c>
      <c r="C44" s="292"/>
      <c r="D44" s="616"/>
      <c r="E44" s="293">
        <f>E45</f>
        <v>0.26690000000000003</v>
      </c>
      <c r="F44" s="293">
        <f>F45</f>
        <v>0.31640000000000001</v>
      </c>
      <c r="G44" s="293">
        <f>G45</f>
        <v>0.36430000000000001</v>
      </c>
      <c r="H44" s="293">
        <f>H40</f>
        <v>0.39500000000000002</v>
      </c>
      <c r="I44" s="293">
        <f t="shared" ref="I44:Q44" si="52">I40</f>
        <v>0.43000000000000005</v>
      </c>
      <c r="J44" s="293">
        <f t="shared" si="52"/>
        <v>0.46000000000000008</v>
      </c>
      <c r="K44" s="293">
        <f t="shared" si="52"/>
        <v>0.4850000000000001</v>
      </c>
      <c r="L44" s="293">
        <f t="shared" si="52"/>
        <v>0.50500000000000012</v>
      </c>
      <c r="M44" s="293">
        <f t="shared" si="52"/>
        <v>0.52000000000000013</v>
      </c>
      <c r="N44" s="293">
        <f t="shared" si="52"/>
        <v>0.53500000000000014</v>
      </c>
      <c r="O44" s="293">
        <f t="shared" si="52"/>
        <v>0.55000000000000016</v>
      </c>
      <c r="P44" s="293">
        <f t="shared" si="52"/>
        <v>0.55500000000000016</v>
      </c>
      <c r="Q44" s="293">
        <f t="shared" si="52"/>
        <v>0.56000000000000016</v>
      </c>
      <c r="R44" s="293">
        <f t="shared" ref="R44:V44" si="53">R40</f>
        <v>0.56500000000000017</v>
      </c>
      <c r="S44" s="293">
        <f t="shared" si="53"/>
        <v>0.57000000000000017</v>
      </c>
      <c r="T44" s="293">
        <f t="shared" si="53"/>
        <v>0.57500000000000018</v>
      </c>
      <c r="U44" s="293">
        <f t="shared" si="53"/>
        <v>0.58000000000000018</v>
      </c>
      <c r="V44" s="293">
        <f t="shared" si="53"/>
        <v>0.58500000000000019</v>
      </c>
    </row>
    <row r="45" spans="2:22" outlineLevel="1">
      <c r="B45" s="255" t="s">
        <v>109</v>
      </c>
      <c r="C45" s="292"/>
      <c r="D45" s="616"/>
      <c r="E45" s="293">
        <f>E41</f>
        <v>0.26690000000000003</v>
      </c>
      <c r="F45" s="293">
        <f>F41</f>
        <v>0.31640000000000001</v>
      </c>
      <c r="G45" s="293">
        <f>G41</f>
        <v>0.36430000000000001</v>
      </c>
      <c r="H45" s="293">
        <f>H41</f>
        <v>0.39500000000000002</v>
      </c>
      <c r="I45" s="293">
        <f t="shared" ref="I45:Q45" si="54">I41</f>
        <v>0.43000000000000005</v>
      </c>
      <c r="J45" s="293">
        <f t="shared" si="54"/>
        <v>0.46000000000000008</v>
      </c>
      <c r="K45" s="293">
        <f t="shared" si="54"/>
        <v>0.4850000000000001</v>
      </c>
      <c r="L45" s="293">
        <f t="shared" si="54"/>
        <v>0.50500000000000012</v>
      </c>
      <c r="M45" s="293">
        <f t="shared" si="54"/>
        <v>0.52000000000000013</v>
      </c>
      <c r="N45" s="293">
        <f t="shared" si="54"/>
        <v>0.53500000000000014</v>
      </c>
      <c r="O45" s="293">
        <f t="shared" si="54"/>
        <v>0.55000000000000016</v>
      </c>
      <c r="P45" s="293">
        <f t="shared" si="54"/>
        <v>0.55500000000000016</v>
      </c>
      <c r="Q45" s="293">
        <f t="shared" si="54"/>
        <v>0.56000000000000016</v>
      </c>
      <c r="R45" s="293">
        <f t="shared" ref="R45:V45" si="55">R41</f>
        <v>0.56500000000000017</v>
      </c>
      <c r="S45" s="293">
        <f t="shared" si="55"/>
        <v>0.57000000000000017</v>
      </c>
      <c r="T45" s="293">
        <f t="shared" si="55"/>
        <v>0.57500000000000018</v>
      </c>
      <c r="U45" s="293">
        <f t="shared" si="55"/>
        <v>0.58000000000000018</v>
      </c>
      <c r="V45" s="293">
        <f t="shared" si="55"/>
        <v>0.58500000000000019</v>
      </c>
    </row>
    <row r="46" spans="2:22" outlineLevel="1">
      <c r="B46" s="255" t="s">
        <v>166</v>
      </c>
      <c r="C46" s="292"/>
      <c r="D46" s="616"/>
      <c r="E46" s="293">
        <f>E45</f>
        <v>0.26690000000000003</v>
      </c>
      <c r="F46" s="293">
        <f>F45</f>
        <v>0.31640000000000001</v>
      </c>
      <c r="G46" s="293">
        <f>G45</f>
        <v>0.36430000000000001</v>
      </c>
      <c r="H46" s="293">
        <f>H42</f>
        <v>0.39500000000000002</v>
      </c>
      <c r="I46" s="293">
        <f t="shared" ref="I46:Q46" si="56">I42</f>
        <v>0.43000000000000005</v>
      </c>
      <c r="J46" s="293">
        <f t="shared" si="56"/>
        <v>0.46000000000000008</v>
      </c>
      <c r="K46" s="293">
        <f t="shared" si="56"/>
        <v>0.4850000000000001</v>
      </c>
      <c r="L46" s="293">
        <f t="shared" si="56"/>
        <v>0.50500000000000012</v>
      </c>
      <c r="M46" s="293">
        <f t="shared" si="56"/>
        <v>0.52000000000000013</v>
      </c>
      <c r="N46" s="293">
        <f t="shared" si="56"/>
        <v>0.53500000000000014</v>
      </c>
      <c r="O46" s="293">
        <f t="shared" si="56"/>
        <v>0.55000000000000016</v>
      </c>
      <c r="P46" s="293">
        <f t="shared" si="56"/>
        <v>0.55500000000000016</v>
      </c>
      <c r="Q46" s="293">
        <f t="shared" si="56"/>
        <v>0.56000000000000016</v>
      </c>
      <c r="R46" s="293">
        <f t="shared" ref="R46:V46" si="57">R42</f>
        <v>0.56500000000000017</v>
      </c>
      <c r="S46" s="293">
        <f t="shared" si="57"/>
        <v>0.57000000000000017</v>
      </c>
      <c r="T46" s="293">
        <f t="shared" si="57"/>
        <v>0.57500000000000018</v>
      </c>
      <c r="U46" s="293">
        <f t="shared" si="57"/>
        <v>0.58000000000000018</v>
      </c>
      <c r="V46" s="293">
        <f t="shared" si="57"/>
        <v>0.58500000000000019</v>
      </c>
    </row>
    <row r="47" spans="2:22" s="291" customFormat="1">
      <c r="B47" s="294" t="s">
        <v>229</v>
      </c>
      <c r="C47" s="295"/>
      <c r="D47" s="617"/>
      <c r="E47" s="295">
        <f t="shared" ref="E47:Q47" si="58">CHOOSE($G$2,E44,E45,E46)</f>
        <v>0.26690000000000003</v>
      </c>
      <c r="F47" s="295">
        <f t="shared" si="58"/>
        <v>0.31640000000000001</v>
      </c>
      <c r="G47" s="228">
        <f t="shared" si="58"/>
        <v>0.36430000000000001</v>
      </c>
      <c r="H47" s="228">
        <f t="shared" si="58"/>
        <v>0.39500000000000002</v>
      </c>
      <c r="I47" s="228">
        <f t="shared" si="58"/>
        <v>0.43000000000000005</v>
      </c>
      <c r="J47" s="228">
        <f t="shared" si="58"/>
        <v>0.46000000000000008</v>
      </c>
      <c r="K47" s="228">
        <f t="shared" si="58"/>
        <v>0.4850000000000001</v>
      </c>
      <c r="L47" s="228">
        <f t="shared" si="58"/>
        <v>0.50500000000000012</v>
      </c>
      <c r="M47" s="228">
        <f t="shared" si="58"/>
        <v>0.52000000000000013</v>
      </c>
      <c r="N47" s="228">
        <f t="shared" si="58"/>
        <v>0.53500000000000014</v>
      </c>
      <c r="O47" s="228">
        <f t="shared" si="58"/>
        <v>0.55000000000000016</v>
      </c>
      <c r="P47" s="228">
        <f t="shared" si="58"/>
        <v>0.55500000000000016</v>
      </c>
      <c r="Q47" s="228">
        <f t="shared" si="58"/>
        <v>0.56000000000000016</v>
      </c>
      <c r="R47" s="228">
        <f t="shared" ref="R47:V47" si="59">CHOOSE($G$2,R44,R45,R46)</f>
        <v>0.56500000000000017</v>
      </c>
      <c r="S47" s="228">
        <f t="shared" si="59"/>
        <v>0.57000000000000017</v>
      </c>
      <c r="T47" s="228">
        <f t="shared" si="59"/>
        <v>0.57500000000000018</v>
      </c>
      <c r="U47" s="228">
        <f t="shared" si="59"/>
        <v>0.58000000000000018</v>
      </c>
      <c r="V47" s="228">
        <f t="shared" si="59"/>
        <v>0.58500000000000019</v>
      </c>
    </row>
    <row r="48" spans="2:22" outlineLevel="1">
      <c r="B48" s="255" t="s">
        <v>108</v>
      </c>
      <c r="C48" s="292"/>
      <c r="D48" s="616"/>
      <c r="E48" s="293">
        <f>E49</f>
        <v>0.13345000000000001</v>
      </c>
      <c r="F48" s="293">
        <f>F49</f>
        <v>0.15820000000000001</v>
      </c>
      <c r="G48" s="293">
        <f>G49</f>
        <v>0.18215000000000001</v>
      </c>
      <c r="H48" s="293">
        <f t="shared" ref="H48:V48" si="60">H49</f>
        <v>0.19750000000000001</v>
      </c>
      <c r="I48" s="293">
        <f t="shared" si="60"/>
        <v>0.21500000000000002</v>
      </c>
      <c r="J48" s="293">
        <f t="shared" si="60"/>
        <v>0.23000000000000004</v>
      </c>
      <c r="K48" s="293">
        <f t="shared" si="60"/>
        <v>0.24250000000000005</v>
      </c>
      <c r="L48" s="293">
        <f t="shared" si="60"/>
        <v>0.25250000000000006</v>
      </c>
      <c r="M48" s="293">
        <f t="shared" si="60"/>
        <v>0.26000000000000006</v>
      </c>
      <c r="N48" s="293">
        <f t="shared" si="60"/>
        <v>0.26750000000000007</v>
      </c>
      <c r="O48" s="293">
        <f t="shared" si="60"/>
        <v>0.27500000000000008</v>
      </c>
      <c r="P48" s="293">
        <f t="shared" si="60"/>
        <v>0.27750000000000008</v>
      </c>
      <c r="Q48" s="293">
        <f t="shared" si="60"/>
        <v>0.28000000000000008</v>
      </c>
      <c r="R48" s="293">
        <f t="shared" si="60"/>
        <v>0.28250000000000008</v>
      </c>
      <c r="S48" s="293">
        <f t="shared" si="60"/>
        <v>0.28500000000000009</v>
      </c>
      <c r="T48" s="293">
        <f t="shared" si="60"/>
        <v>0.28750000000000009</v>
      </c>
      <c r="U48" s="293">
        <f t="shared" si="60"/>
        <v>0.29000000000000009</v>
      </c>
      <c r="V48" s="293">
        <f t="shared" si="60"/>
        <v>0.29250000000000009</v>
      </c>
    </row>
    <row r="49" spans="2:22" outlineLevel="1">
      <c r="B49" s="255" t="s">
        <v>109</v>
      </c>
      <c r="C49" s="292"/>
      <c r="D49" s="616"/>
      <c r="E49" s="293">
        <f>E45*0.5</f>
        <v>0.13345000000000001</v>
      </c>
      <c r="F49" s="293">
        <f>F45*0.5</f>
        <v>0.15820000000000001</v>
      </c>
      <c r="G49" s="293">
        <f>G45*0.5</f>
        <v>0.18215000000000001</v>
      </c>
      <c r="H49" s="293">
        <f t="shared" ref="H49:Q49" si="61">H45*0.5</f>
        <v>0.19750000000000001</v>
      </c>
      <c r="I49" s="293">
        <f t="shared" si="61"/>
        <v>0.21500000000000002</v>
      </c>
      <c r="J49" s="293">
        <f t="shared" si="61"/>
        <v>0.23000000000000004</v>
      </c>
      <c r="K49" s="293">
        <f t="shared" si="61"/>
        <v>0.24250000000000005</v>
      </c>
      <c r="L49" s="293">
        <f t="shared" si="61"/>
        <v>0.25250000000000006</v>
      </c>
      <c r="M49" s="293">
        <f t="shared" si="61"/>
        <v>0.26000000000000006</v>
      </c>
      <c r="N49" s="293">
        <f t="shared" si="61"/>
        <v>0.26750000000000007</v>
      </c>
      <c r="O49" s="293">
        <f t="shared" si="61"/>
        <v>0.27500000000000008</v>
      </c>
      <c r="P49" s="293">
        <f t="shared" si="61"/>
        <v>0.27750000000000008</v>
      </c>
      <c r="Q49" s="293">
        <f t="shared" si="61"/>
        <v>0.28000000000000008</v>
      </c>
      <c r="R49" s="293">
        <f t="shared" ref="R49:V49" si="62">R45*0.5</f>
        <v>0.28250000000000008</v>
      </c>
      <c r="S49" s="293">
        <f t="shared" si="62"/>
        <v>0.28500000000000009</v>
      </c>
      <c r="T49" s="293">
        <f t="shared" si="62"/>
        <v>0.28750000000000009</v>
      </c>
      <c r="U49" s="293">
        <f t="shared" si="62"/>
        <v>0.29000000000000009</v>
      </c>
      <c r="V49" s="293">
        <f t="shared" si="62"/>
        <v>0.29250000000000009</v>
      </c>
    </row>
    <row r="50" spans="2:22" outlineLevel="1">
      <c r="B50" s="255" t="s">
        <v>166</v>
      </c>
      <c r="C50" s="292"/>
      <c r="D50" s="616"/>
      <c r="E50" s="293">
        <f>E49</f>
        <v>0.13345000000000001</v>
      </c>
      <c r="F50" s="293">
        <f>F49</f>
        <v>0.15820000000000001</v>
      </c>
      <c r="G50" s="293">
        <f>G49</f>
        <v>0.18215000000000001</v>
      </c>
      <c r="H50" s="293">
        <f t="shared" ref="H50:Q50" si="63">H49</f>
        <v>0.19750000000000001</v>
      </c>
      <c r="I50" s="293">
        <f t="shared" si="63"/>
        <v>0.21500000000000002</v>
      </c>
      <c r="J50" s="293">
        <f t="shared" si="63"/>
        <v>0.23000000000000004</v>
      </c>
      <c r="K50" s="293">
        <f t="shared" si="63"/>
        <v>0.24250000000000005</v>
      </c>
      <c r="L50" s="293">
        <f t="shared" si="63"/>
        <v>0.25250000000000006</v>
      </c>
      <c r="M50" s="293">
        <f t="shared" si="63"/>
        <v>0.26000000000000006</v>
      </c>
      <c r="N50" s="293">
        <f t="shared" si="63"/>
        <v>0.26750000000000007</v>
      </c>
      <c r="O50" s="293">
        <f t="shared" si="63"/>
        <v>0.27500000000000008</v>
      </c>
      <c r="P50" s="293">
        <f t="shared" si="63"/>
        <v>0.27750000000000008</v>
      </c>
      <c r="Q50" s="293">
        <f t="shared" si="63"/>
        <v>0.28000000000000008</v>
      </c>
      <c r="R50" s="293">
        <f t="shared" ref="R50:V50" si="64">R49</f>
        <v>0.28250000000000008</v>
      </c>
      <c r="S50" s="293">
        <f t="shared" si="64"/>
        <v>0.28500000000000009</v>
      </c>
      <c r="T50" s="293">
        <f t="shared" si="64"/>
        <v>0.28750000000000009</v>
      </c>
      <c r="U50" s="293">
        <f t="shared" si="64"/>
        <v>0.29000000000000009</v>
      </c>
      <c r="V50" s="293">
        <f t="shared" si="64"/>
        <v>0.29250000000000009</v>
      </c>
    </row>
    <row r="51" spans="2:22" s="291" customFormat="1">
      <c r="B51" s="294" t="s">
        <v>162</v>
      </c>
      <c r="C51" s="295"/>
      <c r="D51" s="617"/>
      <c r="E51" s="295">
        <f t="shared" ref="E51:Q51" si="65">CHOOSE($G$2,E48,E49,E50)</f>
        <v>0.13345000000000001</v>
      </c>
      <c r="F51" s="295">
        <f t="shared" si="65"/>
        <v>0.15820000000000001</v>
      </c>
      <c r="G51" s="228">
        <f t="shared" si="65"/>
        <v>0.18215000000000001</v>
      </c>
      <c r="H51" s="228">
        <f t="shared" si="65"/>
        <v>0.19750000000000001</v>
      </c>
      <c r="I51" s="228">
        <f t="shared" si="65"/>
        <v>0.21500000000000002</v>
      </c>
      <c r="J51" s="228">
        <f t="shared" si="65"/>
        <v>0.23000000000000004</v>
      </c>
      <c r="K51" s="228">
        <f t="shared" si="65"/>
        <v>0.24250000000000005</v>
      </c>
      <c r="L51" s="228">
        <f t="shared" si="65"/>
        <v>0.25250000000000006</v>
      </c>
      <c r="M51" s="228">
        <f t="shared" si="65"/>
        <v>0.26000000000000006</v>
      </c>
      <c r="N51" s="228">
        <f t="shared" si="65"/>
        <v>0.26750000000000007</v>
      </c>
      <c r="O51" s="228">
        <f t="shared" si="65"/>
        <v>0.27500000000000008</v>
      </c>
      <c r="P51" s="228">
        <f t="shared" si="65"/>
        <v>0.27750000000000008</v>
      </c>
      <c r="Q51" s="228">
        <f t="shared" si="65"/>
        <v>0.28000000000000008</v>
      </c>
      <c r="R51" s="228">
        <f t="shared" ref="R51:V51" si="66">CHOOSE($G$2,R48,R49,R50)</f>
        <v>0.28250000000000008</v>
      </c>
      <c r="S51" s="228">
        <f t="shared" si="66"/>
        <v>0.28500000000000009</v>
      </c>
      <c r="T51" s="228">
        <f t="shared" si="66"/>
        <v>0.28750000000000009</v>
      </c>
      <c r="U51" s="228">
        <f t="shared" si="66"/>
        <v>0.29000000000000009</v>
      </c>
      <c r="V51" s="228">
        <f t="shared" si="66"/>
        <v>0.29250000000000009</v>
      </c>
    </row>
    <row r="53" spans="2:22">
      <c r="B53" s="290" t="s">
        <v>230</v>
      </c>
    </row>
    <row r="54" spans="2:22" outlineLevel="1">
      <c r="B54" s="255" t="s">
        <v>108</v>
      </c>
      <c r="C54" s="292"/>
      <c r="D54" s="616"/>
      <c r="E54" s="293">
        <v>0.29359000000000007</v>
      </c>
      <c r="F54" s="293">
        <f t="shared" ref="F54:V54" si="67">F55</f>
        <v>0.34804000000000007</v>
      </c>
      <c r="G54" s="293">
        <f t="shared" si="67"/>
        <v>0.40073000000000003</v>
      </c>
      <c r="H54" s="293">
        <f t="shared" si="67"/>
        <v>0.43450000000000005</v>
      </c>
      <c r="I54" s="293">
        <f t="shared" si="67"/>
        <v>0.47300000000000009</v>
      </c>
      <c r="J54" s="293">
        <f t="shared" si="67"/>
        <v>0.50600000000000012</v>
      </c>
      <c r="K54" s="293">
        <f t="shared" si="67"/>
        <v>0.5335000000000002</v>
      </c>
      <c r="L54" s="293">
        <f t="shared" si="67"/>
        <v>0.55550000000000022</v>
      </c>
      <c r="M54" s="293">
        <f t="shared" si="67"/>
        <v>0.57200000000000017</v>
      </c>
      <c r="N54" s="293">
        <f t="shared" si="67"/>
        <v>0.58850000000000025</v>
      </c>
      <c r="O54" s="293">
        <f t="shared" si="67"/>
        <v>0.6050000000000002</v>
      </c>
      <c r="P54" s="293">
        <f t="shared" si="67"/>
        <v>0.61050000000000026</v>
      </c>
      <c r="Q54" s="293">
        <f t="shared" si="67"/>
        <v>0.61600000000000021</v>
      </c>
      <c r="R54" s="293">
        <f t="shared" si="67"/>
        <v>0.62150000000000027</v>
      </c>
      <c r="S54" s="293">
        <f t="shared" si="67"/>
        <v>0.62700000000000022</v>
      </c>
      <c r="T54" s="293">
        <f t="shared" si="67"/>
        <v>0.63250000000000028</v>
      </c>
      <c r="U54" s="293">
        <f t="shared" si="67"/>
        <v>0.63800000000000023</v>
      </c>
      <c r="V54" s="293">
        <f t="shared" si="67"/>
        <v>0.64350000000000029</v>
      </c>
    </row>
    <row r="55" spans="2:22" outlineLevel="1">
      <c r="B55" s="255" t="s">
        <v>109</v>
      </c>
      <c r="C55" s="292"/>
      <c r="D55" s="616"/>
      <c r="E55" s="293">
        <v>0.29359000000000007</v>
      </c>
      <c r="F55" s="293">
        <f t="shared" ref="F55:Q55" si="68">F41*1.1</f>
        <v>0.34804000000000007</v>
      </c>
      <c r="G55" s="293">
        <f t="shared" si="68"/>
        <v>0.40073000000000003</v>
      </c>
      <c r="H55" s="293">
        <f t="shared" si="68"/>
        <v>0.43450000000000005</v>
      </c>
      <c r="I55" s="293">
        <f t="shared" si="68"/>
        <v>0.47300000000000009</v>
      </c>
      <c r="J55" s="293">
        <f t="shared" si="68"/>
        <v>0.50600000000000012</v>
      </c>
      <c r="K55" s="293">
        <f t="shared" si="68"/>
        <v>0.5335000000000002</v>
      </c>
      <c r="L55" s="293">
        <f t="shared" si="68"/>
        <v>0.55550000000000022</v>
      </c>
      <c r="M55" s="293">
        <f t="shared" si="68"/>
        <v>0.57200000000000017</v>
      </c>
      <c r="N55" s="293">
        <f t="shared" si="68"/>
        <v>0.58850000000000025</v>
      </c>
      <c r="O55" s="293">
        <f t="shared" si="68"/>
        <v>0.6050000000000002</v>
      </c>
      <c r="P55" s="293">
        <f t="shared" si="68"/>
        <v>0.61050000000000026</v>
      </c>
      <c r="Q55" s="293">
        <f t="shared" si="68"/>
        <v>0.61600000000000021</v>
      </c>
      <c r="R55" s="293">
        <f t="shared" ref="R55:V55" si="69">R41*1.1</f>
        <v>0.62150000000000027</v>
      </c>
      <c r="S55" s="293">
        <f t="shared" si="69"/>
        <v>0.62700000000000022</v>
      </c>
      <c r="T55" s="293">
        <f t="shared" si="69"/>
        <v>0.63250000000000028</v>
      </c>
      <c r="U55" s="293">
        <f t="shared" si="69"/>
        <v>0.63800000000000023</v>
      </c>
      <c r="V55" s="293">
        <f t="shared" si="69"/>
        <v>0.64350000000000029</v>
      </c>
    </row>
    <row r="56" spans="2:22" outlineLevel="1">
      <c r="B56" s="255" t="s">
        <v>166</v>
      </c>
      <c r="C56" s="292"/>
      <c r="D56" s="616"/>
      <c r="E56" s="293">
        <v>0.29359000000000007</v>
      </c>
      <c r="F56" s="293">
        <f t="shared" ref="F56:Q56" si="70">F55</f>
        <v>0.34804000000000007</v>
      </c>
      <c r="G56" s="293">
        <f t="shared" si="70"/>
        <v>0.40073000000000003</v>
      </c>
      <c r="H56" s="293">
        <f t="shared" si="70"/>
        <v>0.43450000000000005</v>
      </c>
      <c r="I56" s="293">
        <f t="shared" si="70"/>
        <v>0.47300000000000009</v>
      </c>
      <c r="J56" s="293">
        <f t="shared" si="70"/>
        <v>0.50600000000000012</v>
      </c>
      <c r="K56" s="293">
        <f t="shared" si="70"/>
        <v>0.5335000000000002</v>
      </c>
      <c r="L56" s="293">
        <f t="shared" si="70"/>
        <v>0.55550000000000022</v>
      </c>
      <c r="M56" s="293">
        <f t="shared" si="70"/>
        <v>0.57200000000000017</v>
      </c>
      <c r="N56" s="293">
        <f t="shared" si="70"/>
        <v>0.58850000000000025</v>
      </c>
      <c r="O56" s="293">
        <f t="shared" si="70"/>
        <v>0.6050000000000002</v>
      </c>
      <c r="P56" s="293">
        <f t="shared" si="70"/>
        <v>0.61050000000000026</v>
      </c>
      <c r="Q56" s="293">
        <f t="shared" si="70"/>
        <v>0.61600000000000021</v>
      </c>
      <c r="R56" s="293">
        <f t="shared" ref="R56:V56" si="71">R55</f>
        <v>0.62150000000000027</v>
      </c>
      <c r="S56" s="293">
        <f t="shared" si="71"/>
        <v>0.62700000000000022</v>
      </c>
      <c r="T56" s="293">
        <f t="shared" si="71"/>
        <v>0.63250000000000028</v>
      </c>
      <c r="U56" s="293">
        <f t="shared" si="71"/>
        <v>0.63800000000000023</v>
      </c>
      <c r="V56" s="293">
        <f t="shared" si="71"/>
        <v>0.64350000000000029</v>
      </c>
    </row>
    <row r="57" spans="2:22" s="291" customFormat="1">
      <c r="B57" s="294" t="s">
        <v>76</v>
      </c>
      <c r="C57" s="295"/>
      <c r="D57" s="617"/>
      <c r="E57" s="295">
        <v>0.29359000000000007</v>
      </c>
      <c r="F57" s="295">
        <f t="shared" ref="F57:Q57" si="72">CHOOSE($G$2,F54,F55,F56)</f>
        <v>0.34804000000000007</v>
      </c>
      <c r="G57" s="228">
        <f t="shared" si="72"/>
        <v>0.40073000000000003</v>
      </c>
      <c r="H57" s="228">
        <f t="shared" si="72"/>
        <v>0.43450000000000005</v>
      </c>
      <c r="I57" s="228">
        <f t="shared" si="72"/>
        <v>0.47300000000000009</v>
      </c>
      <c r="J57" s="228">
        <f t="shared" si="72"/>
        <v>0.50600000000000012</v>
      </c>
      <c r="K57" s="228">
        <f t="shared" si="72"/>
        <v>0.5335000000000002</v>
      </c>
      <c r="L57" s="228">
        <f t="shared" si="72"/>
        <v>0.55550000000000022</v>
      </c>
      <c r="M57" s="228">
        <f t="shared" si="72"/>
        <v>0.57200000000000017</v>
      </c>
      <c r="N57" s="228">
        <f t="shared" si="72"/>
        <v>0.58850000000000025</v>
      </c>
      <c r="O57" s="228">
        <f t="shared" si="72"/>
        <v>0.6050000000000002</v>
      </c>
      <c r="P57" s="228">
        <f t="shared" si="72"/>
        <v>0.61050000000000026</v>
      </c>
      <c r="Q57" s="228">
        <f t="shared" si="72"/>
        <v>0.61600000000000021</v>
      </c>
      <c r="R57" s="228">
        <f t="shared" ref="R57:V57" si="73">CHOOSE($G$2,R54,R55,R56)</f>
        <v>0.62150000000000027</v>
      </c>
      <c r="S57" s="228">
        <f t="shared" si="73"/>
        <v>0.62700000000000022</v>
      </c>
      <c r="T57" s="228">
        <f t="shared" si="73"/>
        <v>0.63250000000000028</v>
      </c>
      <c r="U57" s="228">
        <f t="shared" si="73"/>
        <v>0.63800000000000023</v>
      </c>
      <c r="V57" s="228">
        <f t="shared" si="73"/>
        <v>0.64350000000000029</v>
      </c>
    </row>
    <row r="58" spans="2:22" outlineLevel="1">
      <c r="B58" s="255" t="s">
        <v>108</v>
      </c>
      <c r="C58" s="292"/>
      <c r="D58" s="616"/>
      <c r="E58" s="293">
        <v>0.29359000000000007</v>
      </c>
      <c r="F58" s="293">
        <f t="shared" ref="F58:V58" si="74">F59</f>
        <v>0.34804000000000007</v>
      </c>
      <c r="G58" s="293">
        <f t="shared" si="74"/>
        <v>0.40073000000000003</v>
      </c>
      <c r="H58" s="293">
        <f t="shared" si="74"/>
        <v>0.43450000000000005</v>
      </c>
      <c r="I58" s="293">
        <f t="shared" si="74"/>
        <v>0.47300000000000009</v>
      </c>
      <c r="J58" s="293">
        <f t="shared" si="74"/>
        <v>0.50600000000000012</v>
      </c>
      <c r="K58" s="293">
        <f t="shared" si="74"/>
        <v>0.5335000000000002</v>
      </c>
      <c r="L58" s="293">
        <f t="shared" si="74"/>
        <v>0.55550000000000022</v>
      </c>
      <c r="M58" s="293">
        <f t="shared" si="74"/>
        <v>0.57200000000000017</v>
      </c>
      <c r="N58" s="293">
        <f t="shared" si="74"/>
        <v>0.58850000000000025</v>
      </c>
      <c r="O58" s="293">
        <f t="shared" si="74"/>
        <v>0.6050000000000002</v>
      </c>
      <c r="P58" s="293">
        <f t="shared" si="74"/>
        <v>0.61050000000000026</v>
      </c>
      <c r="Q58" s="293">
        <f t="shared" si="74"/>
        <v>0.61600000000000021</v>
      </c>
      <c r="R58" s="293">
        <f t="shared" si="74"/>
        <v>0.62150000000000027</v>
      </c>
      <c r="S58" s="293">
        <f t="shared" si="74"/>
        <v>0.62700000000000022</v>
      </c>
      <c r="T58" s="293">
        <f t="shared" si="74"/>
        <v>0.63250000000000028</v>
      </c>
      <c r="U58" s="293">
        <f t="shared" si="74"/>
        <v>0.63800000000000023</v>
      </c>
      <c r="V58" s="293">
        <f t="shared" si="74"/>
        <v>0.64350000000000029</v>
      </c>
    </row>
    <row r="59" spans="2:22" outlineLevel="1">
      <c r="B59" s="255" t="s">
        <v>109</v>
      </c>
      <c r="C59" s="292"/>
      <c r="D59" s="616"/>
      <c r="E59" s="293">
        <v>0.29359000000000007</v>
      </c>
      <c r="F59" s="293">
        <f t="shared" ref="F59:Q59" si="75">F45*1.1</f>
        <v>0.34804000000000007</v>
      </c>
      <c r="G59" s="293">
        <f t="shared" si="75"/>
        <v>0.40073000000000003</v>
      </c>
      <c r="H59" s="293">
        <f t="shared" si="75"/>
        <v>0.43450000000000005</v>
      </c>
      <c r="I59" s="293">
        <f t="shared" si="75"/>
        <v>0.47300000000000009</v>
      </c>
      <c r="J59" s="293">
        <f t="shared" si="75"/>
        <v>0.50600000000000012</v>
      </c>
      <c r="K59" s="293">
        <f t="shared" si="75"/>
        <v>0.5335000000000002</v>
      </c>
      <c r="L59" s="293">
        <f t="shared" si="75"/>
        <v>0.55550000000000022</v>
      </c>
      <c r="M59" s="293">
        <f t="shared" si="75"/>
        <v>0.57200000000000017</v>
      </c>
      <c r="N59" s="293">
        <f t="shared" si="75"/>
        <v>0.58850000000000025</v>
      </c>
      <c r="O59" s="293">
        <f t="shared" si="75"/>
        <v>0.6050000000000002</v>
      </c>
      <c r="P59" s="293">
        <f t="shared" si="75"/>
        <v>0.61050000000000026</v>
      </c>
      <c r="Q59" s="293">
        <f t="shared" si="75"/>
        <v>0.61600000000000021</v>
      </c>
      <c r="R59" s="293">
        <f t="shared" ref="R59:V59" si="76">R45*1.1</f>
        <v>0.62150000000000027</v>
      </c>
      <c r="S59" s="293">
        <f t="shared" si="76"/>
        <v>0.62700000000000022</v>
      </c>
      <c r="T59" s="293">
        <f t="shared" si="76"/>
        <v>0.63250000000000028</v>
      </c>
      <c r="U59" s="293">
        <f t="shared" si="76"/>
        <v>0.63800000000000023</v>
      </c>
      <c r="V59" s="293">
        <f t="shared" si="76"/>
        <v>0.64350000000000029</v>
      </c>
    </row>
    <row r="60" spans="2:22" outlineLevel="1">
      <c r="B60" s="255" t="s">
        <v>166</v>
      </c>
      <c r="C60" s="292"/>
      <c r="D60" s="616"/>
      <c r="E60" s="293">
        <v>0.29359000000000007</v>
      </c>
      <c r="F60" s="293">
        <f t="shared" ref="F60:Q60" si="77">F59</f>
        <v>0.34804000000000007</v>
      </c>
      <c r="G60" s="293">
        <f t="shared" si="77"/>
        <v>0.40073000000000003</v>
      </c>
      <c r="H60" s="293">
        <f t="shared" si="77"/>
        <v>0.43450000000000005</v>
      </c>
      <c r="I60" s="293">
        <f t="shared" si="77"/>
        <v>0.47300000000000009</v>
      </c>
      <c r="J60" s="293">
        <f t="shared" si="77"/>
        <v>0.50600000000000012</v>
      </c>
      <c r="K60" s="293">
        <f t="shared" si="77"/>
        <v>0.5335000000000002</v>
      </c>
      <c r="L60" s="293">
        <f t="shared" si="77"/>
        <v>0.55550000000000022</v>
      </c>
      <c r="M60" s="293">
        <f t="shared" si="77"/>
        <v>0.57200000000000017</v>
      </c>
      <c r="N60" s="293">
        <f t="shared" si="77"/>
        <v>0.58850000000000025</v>
      </c>
      <c r="O60" s="293">
        <f t="shared" si="77"/>
        <v>0.6050000000000002</v>
      </c>
      <c r="P60" s="293">
        <f t="shared" si="77"/>
        <v>0.61050000000000026</v>
      </c>
      <c r="Q60" s="293">
        <f t="shared" si="77"/>
        <v>0.61600000000000021</v>
      </c>
      <c r="R60" s="293">
        <f t="shared" ref="R60:V60" si="78">R59</f>
        <v>0.62150000000000027</v>
      </c>
      <c r="S60" s="293">
        <f t="shared" si="78"/>
        <v>0.62700000000000022</v>
      </c>
      <c r="T60" s="293">
        <f t="shared" si="78"/>
        <v>0.63250000000000028</v>
      </c>
      <c r="U60" s="293">
        <f t="shared" si="78"/>
        <v>0.63800000000000023</v>
      </c>
      <c r="V60" s="293">
        <f t="shared" si="78"/>
        <v>0.64350000000000029</v>
      </c>
    </row>
    <row r="61" spans="2:22" s="291" customFormat="1">
      <c r="B61" s="294" t="s">
        <v>229</v>
      </c>
      <c r="C61" s="295"/>
      <c r="D61" s="617"/>
      <c r="E61" s="295">
        <v>0.29359000000000007</v>
      </c>
      <c r="F61" s="295">
        <f t="shared" ref="F61:Q61" si="79">CHOOSE($G$2,F58,F59,F60)</f>
        <v>0.34804000000000007</v>
      </c>
      <c r="G61" s="228">
        <f t="shared" si="79"/>
        <v>0.40073000000000003</v>
      </c>
      <c r="H61" s="228">
        <f t="shared" si="79"/>
        <v>0.43450000000000005</v>
      </c>
      <c r="I61" s="228">
        <f t="shared" si="79"/>
        <v>0.47300000000000009</v>
      </c>
      <c r="J61" s="228">
        <f t="shared" si="79"/>
        <v>0.50600000000000012</v>
      </c>
      <c r="K61" s="228">
        <f t="shared" si="79"/>
        <v>0.5335000000000002</v>
      </c>
      <c r="L61" s="228">
        <f t="shared" si="79"/>
        <v>0.55550000000000022</v>
      </c>
      <c r="M61" s="228">
        <f t="shared" si="79"/>
        <v>0.57200000000000017</v>
      </c>
      <c r="N61" s="228">
        <f t="shared" si="79"/>
        <v>0.58850000000000025</v>
      </c>
      <c r="O61" s="228">
        <f t="shared" si="79"/>
        <v>0.6050000000000002</v>
      </c>
      <c r="P61" s="228">
        <f t="shared" si="79"/>
        <v>0.61050000000000026</v>
      </c>
      <c r="Q61" s="228">
        <f t="shared" si="79"/>
        <v>0.61600000000000021</v>
      </c>
      <c r="R61" s="228">
        <f t="shared" ref="R61:V61" si="80">CHOOSE($G$2,R58,R59,R60)</f>
        <v>0.62150000000000027</v>
      </c>
      <c r="S61" s="228">
        <f t="shared" si="80"/>
        <v>0.62700000000000022</v>
      </c>
      <c r="T61" s="228">
        <f t="shared" si="80"/>
        <v>0.63250000000000028</v>
      </c>
      <c r="U61" s="228">
        <f t="shared" si="80"/>
        <v>0.63800000000000023</v>
      </c>
      <c r="V61" s="228">
        <f t="shared" si="80"/>
        <v>0.64350000000000029</v>
      </c>
    </row>
    <row r="62" spans="2:22" outlineLevel="1">
      <c r="B62" s="255" t="s">
        <v>108</v>
      </c>
      <c r="C62" s="292"/>
      <c r="D62" s="616"/>
      <c r="E62" s="293">
        <v>0.14679500000000004</v>
      </c>
      <c r="F62" s="293">
        <f t="shared" ref="F62:V62" si="81">F63</f>
        <v>0.17402000000000004</v>
      </c>
      <c r="G62" s="293">
        <f t="shared" si="81"/>
        <v>0.20036500000000002</v>
      </c>
      <c r="H62" s="293">
        <f t="shared" si="81"/>
        <v>0.21725000000000003</v>
      </c>
      <c r="I62" s="293">
        <f t="shared" si="81"/>
        <v>0.23650000000000004</v>
      </c>
      <c r="J62" s="293">
        <f t="shared" si="81"/>
        <v>0.25300000000000006</v>
      </c>
      <c r="K62" s="293">
        <f t="shared" si="81"/>
        <v>0.2667500000000001</v>
      </c>
      <c r="L62" s="293">
        <f t="shared" si="81"/>
        <v>0.27775000000000011</v>
      </c>
      <c r="M62" s="293">
        <f t="shared" si="81"/>
        <v>0.28600000000000009</v>
      </c>
      <c r="N62" s="293">
        <f t="shared" si="81"/>
        <v>0.29425000000000012</v>
      </c>
      <c r="O62" s="293">
        <f t="shared" si="81"/>
        <v>0.3025000000000001</v>
      </c>
      <c r="P62" s="293">
        <f t="shared" si="81"/>
        <v>0.30525000000000013</v>
      </c>
      <c r="Q62" s="293">
        <f t="shared" si="81"/>
        <v>0.30800000000000011</v>
      </c>
      <c r="R62" s="293">
        <f t="shared" si="81"/>
        <v>0.31075000000000014</v>
      </c>
      <c r="S62" s="293">
        <f t="shared" si="81"/>
        <v>0.31350000000000011</v>
      </c>
      <c r="T62" s="293">
        <f t="shared" si="81"/>
        <v>0.31625000000000014</v>
      </c>
      <c r="U62" s="293">
        <f t="shared" si="81"/>
        <v>0.31900000000000012</v>
      </c>
      <c r="V62" s="293">
        <f t="shared" si="81"/>
        <v>0.32175000000000015</v>
      </c>
    </row>
    <row r="63" spans="2:22" outlineLevel="1">
      <c r="B63" s="255" t="s">
        <v>109</v>
      </c>
      <c r="C63" s="292"/>
      <c r="D63" s="616"/>
      <c r="E63" s="293">
        <v>0.14679500000000004</v>
      </c>
      <c r="F63" s="293">
        <f>F49*1.1</f>
        <v>0.17402000000000004</v>
      </c>
      <c r="G63" s="293">
        <f>G59*0.5</f>
        <v>0.20036500000000002</v>
      </c>
      <c r="H63" s="293">
        <f t="shared" ref="H63:Q63" si="82">H59*0.5</f>
        <v>0.21725000000000003</v>
      </c>
      <c r="I63" s="293">
        <f t="shared" si="82"/>
        <v>0.23650000000000004</v>
      </c>
      <c r="J63" s="293">
        <f t="shared" si="82"/>
        <v>0.25300000000000006</v>
      </c>
      <c r="K63" s="293">
        <f t="shared" si="82"/>
        <v>0.2667500000000001</v>
      </c>
      <c r="L63" s="293">
        <f t="shared" si="82"/>
        <v>0.27775000000000011</v>
      </c>
      <c r="M63" s="293">
        <f t="shared" si="82"/>
        <v>0.28600000000000009</v>
      </c>
      <c r="N63" s="293">
        <f t="shared" si="82"/>
        <v>0.29425000000000012</v>
      </c>
      <c r="O63" s="293">
        <f t="shared" si="82"/>
        <v>0.3025000000000001</v>
      </c>
      <c r="P63" s="293">
        <f t="shared" si="82"/>
        <v>0.30525000000000013</v>
      </c>
      <c r="Q63" s="293">
        <f t="shared" si="82"/>
        <v>0.30800000000000011</v>
      </c>
      <c r="R63" s="293">
        <f t="shared" ref="R63:V63" si="83">R59*0.5</f>
        <v>0.31075000000000014</v>
      </c>
      <c r="S63" s="293">
        <f t="shared" si="83"/>
        <v>0.31350000000000011</v>
      </c>
      <c r="T63" s="293">
        <f t="shared" si="83"/>
        <v>0.31625000000000014</v>
      </c>
      <c r="U63" s="293">
        <f t="shared" si="83"/>
        <v>0.31900000000000012</v>
      </c>
      <c r="V63" s="293">
        <f t="shared" si="83"/>
        <v>0.32175000000000015</v>
      </c>
    </row>
    <row r="64" spans="2:22" outlineLevel="1">
      <c r="B64" s="255" t="s">
        <v>166</v>
      </c>
      <c r="C64" s="292"/>
      <c r="D64" s="616"/>
      <c r="E64" s="293">
        <v>0.14679500000000004</v>
      </c>
      <c r="F64" s="293">
        <f t="shared" ref="F64:Q64" si="84">F63</f>
        <v>0.17402000000000004</v>
      </c>
      <c r="G64" s="293">
        <f t="shared" si="84"/>
        <v>0.20036500000000002</v>
      </c>
      <c r="H64" s="293">
        <f t="shared" si="84"/>
        <v>0.21725000000000003</v>
      </c>
      <c r="I64" s="293">
        <f t="shared" si="84"/>
        <v>0.23650000000000004</v>
      </c>
      <c r="J64" s="293">
        <f t="shared" si="84"/>
        <v>0.25300000000000006</v>
      </c>
      <c r="K64" s="293">
        <f t="shared" si="84"/>
        <v>0.2667500000000001</v>
      </c>
      <c r="L64" s="293">
        <f t="shared" si="84"/>
        <v>0.27775000000000011</v>
      </c>
      <c r="M64" s="293">
        <f t="shared" si="84"/>
        <v>0.28600000000000009</v>
      </c>
      <c r="N64" s="293">
        <f t="shared" si="84"/>
        <v>0.29425000000000012</v>
      </c>
      <c r="O64" s="293">
        <f t="shared" si="84"/>
        <v>0.3025000000000001</v>
      </c>
      <c r="P64" s="293">
        <f t="shared" si="84"/>
        <v>0.30525000000000013</v>
      </c>
      <c r="Q64" s="293">
        <f t="shared" si="84"/>
        <v>0.30800000000000011</v>
      </c>
      <c r="R64" s="293">
        <f t="shared" ref="R64:V64" si="85">R63</f>
        <v>0.31075000000000014</v>
      </c>
      <c r="S64" s="293">
        <f t="shared" si="85"/>
        <v>0.31350000000000011</v>
      </c>
      <c r="T64" s="293">
        <f t="shared" si="85"/>
        <v>0.31625000000000014</v>
      </c>
      <c r="U64" s="293">
        <f t="shared" si="85"/>
        <v>0.31900000000000012</v>
      </c>
      <c r="V64" s="293">
        <f t="shared" si="85"/>
        <v>0.32175000000000015</v>
      </c>
    </row>
    <row r="65" spans="2:22" s="291" customFormat="1">
      <c r="B65" s="294" t="s">
        <v>162</v>
      </c>
      <c r="C65" s="295"/>
      <c r="D65" s="617">
        <f t="shared" ref="D65:Q65" si="86">CHOOSE($G$2,D62,D63,D64)</f>
        <v>0</v>
      </c>
      <c r="E65" s="295">
        <v>0.14679500000000004</v>
      </c>
      <c r="F65" s="295">
        <f t="shared" si="86"/>
        <v>0.17402000000000004</v>
      </c>
      <c r="G65" s="228">
        <f t="shared" si="86"/>
        <v>0.20036500000000002</v>
      </c>
      <c r="H65" s="228">
        <f t="shared" si="86"/>
        <v>0.21725000000000003</v>
      </c>
      <c r="I65" s="228">
        <f t="shared" si="86"/>
        <v>0.23650000000000004</v>
      </c>
      <c r="J65" s="228">
        <f t="shared" si="86"/>
        <v>0.25300000000000006</v>
      </c>
      <c r="K65" s="228">
        <f t="shared" si="86"/>
        <v>0.2667500000000001</v>
      </c>
      <c r="L65" s="228">
        <f t="shared" si="86"/>
        <v>0.27775000000000011</v>
      </c>
      <c r="M65" s="228">
        <f t="shared" si="86"/>
        <v>0.28600000000000009</v>
      </c>
      <c r="N65" s="228">
        <f t="shared" si="86"/>
        <v>0.29425000000000012</v>
      </c>
      <c r="O65" s="228">
        <f t="shared" si="86"/>
        <v>0.3025000000000001</v>
      </c>
      <c r="P65" s="228">
        <f t="shared" si="86"/>
        <v>0.30525000000000013</v>
      </c>
      <c r="Q65" s="228">
        <f t="shared" si="86"/>
        <v>0.30800000000000011</v>
      </c>
      <c r="R65" s="228">
        <f t="shared" ref="R65:V65" si="87">CHOOSE($G$2,R62,R63,R64)</f>
        <v>0.31075000000000014</v>
      </c>
      <c r="S65" s="228">
        <f t="shared" si="87"/>
        <v>0.31350000000000011</v>
      </c>
      <c r="T65" s="228">
        <f t="shared" si="87"/>
        <v>0.31625000000000014</v>
      </c>
      <c r="U65" s="228">
        <f t="shared" si="87"/>
        <v>0.31900000000000012</v>
      </c>
      <c r="V65" s="228">
        <f t="shared" si="87"/>
        <v>0.32175000000000015</v>
      </c>
    </row>
    <row r="67" spans="2:22" outlineLevel="1">
      <c r="B67" s="225" t="s">
        <v>231</v>
      </c>
      <c r="C67" s="296"/>
      <c r="D67" s="288">
        <v>944.86487965710546</v>
      </c>
      <c r="E67" s="288">
        <f t="shared" ref="E67:Q67" si="88">E29*E43+E30*E47+E31*E51</f>
        <v>1084.9296390666668</v>
      </c>
      <c r="F67" s="288">
        <f t="shared" si="88"/>
        <v>1300.2912211183998</v>
      </c>
      <c r="G67" s="354">
        <f t="shared" si="88"/>
        <v>1513.6117220727588</v>
      </c>
      <c r="H67" s="354">
        <f t="shared" si="88"/>
        <v>1659.2184275353986</v>
      </c>
      <c r="I67" s="354">
        <f t="shared" si="88"/>
        <v>1826.1063974745916</v>
      </c>
      <c r="J67" s="354">
        <f t="shared" si="88"/>
        <v>1974.9977702547289</v>
      </c>
      <c r="K67" s="354">
        <f t="shared" si="88"/>
        <v>2105.2402862562017</v>
      </c>
      <c r="L67" s="354">
        <f t="shared" si="88"/>
        <v>2216.1669161846075</v>
      </c>
      <c r="M67" s="354">
        <f t="shared" si="88"/>
        <v>2307.0955864882612</v>
      </c>
      <c r="N67" s="354">
        <f t="shared" si="88"/>
        <v>2399.7565313417372</v>
      </c>
      <c r="O67" s="354">
        <f t="shared" si="88"/>
        <v>2494.1768584160236</v>
      </c>
      <c r="P67" s="354">
        <f t="shared" si="88"/>
        <v>2544.5365566209507</v>
      </c>
      <c r="Q67" s="354">
        <f t="shared" si="88"/>
        <v>2595.702372786518</v>
      </c>
      <c r="R67" s="354">
        <f t="shared" ref="R67:V67" si="89">R29*R43+R30*R47+R31*R51</f>
        <v>2647.685947984377</v>
      </c>
      <c r="S67" s="354">
        <f t="shared" si="89"/>
        <v>2700.4990818494803</v>
      </c>
      <c r="T67" s="354">
        <f t="shared" si="89"/>
        <v>2754.1537346599107</v>
      </c>
      <c r="U67" s="354">
        <f t="shared" si="89"/>
        <v>2808.6620294432664</v>
      </c>
      <c r="V67" s="354">
        <f t="shared" si="89"/>
        <v>2864.0362541099626</v>
      </c>
    </row>
    <row r="68" spans="2:22" outlineLevel="1">
      <c r="B68" s="225" t="s">
        <v>232</v>
      </c>
      <c r="C68" s="296"/>
      <c r="D68" s="288">
        <v>429.98997388724047</v>
      </c>
      <c r="E68" s="288">
        <f t="shared" ref="E68:Q68" si="90">E34*E57+E35*E61+E36*E65</f>
        <v>493.73077274400015</v>
      </c>
      <c r="F68" s="288">
        <f t="shared" si="90"/>
        <v>591.73771853750407</v>
      </c>
      <c r="G68" s="354">
        <f t="shared" si="90"/>
        <v>688.81580727783819</v>
      </c>
      <c r="H68" s="354">
        <f t="shared" si="90"/>
        <v>755.07864001473581</v>
      </c>
      <c r="I68" s="354">
        <f t="shared" si="90"/>
        <v>831.02617005976253</v>
      </c>
      <c r="J68" s="354">
        <f t="shared" si="90"/>
        <v>898.78379220463512</v>
      </c>
      <c r="K68" s="354">
        <f t="shared" si="90"/>
        <v>958.05467554491247</v>
      </c>
      <c r="L68" s="354">
        <f t="shared" si="90"/>
        <v>1008.5352677790366</v>
      </c>
      <c r="M68" s="354">
        <f t="shared" si="90"/>
        <v>1049.9151702510792</v>
      </c>
      <c r="N68" s="354">
        <f t="shared" si="90"/>
        <v>1092.0833978101057</v>
      </c>
      <c r="O68" s="354">
        <f t="shared" si="90"/>
        <v>1135.0522866398301</v>
      </c>
      <c r="P68" s="354">
        <f t="shared" si="90"/>
        <v>1157.9700241728035</v>
      </c>
      <c r="Q68" s="354">
        <f t="shared" si="90"/>
        <v>1181.2546106048185</v>
      </c>
      <c r="R68" s="354">
        <f t="shared" ref="R68:V68" si="91">R34*R57+R35*R61+R36*R65</f>
        <v>1204.9113435654135</v>
      </c>
      <c r="S68" s="354">
        <f t="shared" si="91"/>
        <v>1228.9455928432583</v>
      </c>
      <c r="T68" s="354">
        <f t="shared" si="91"/>
        <v>1253.3628013326434</v>
      </c>
      <c r="U68" s="354">
        <f t="shared" si="91"/>
        <v>1278.1684859920615</v>
      </c>
      <c r="V68" s="354">
        <f t="shared" si="91"/>
        <v>1303.368238815026</v>
      </c>
    </row>
    <row r="69" spans="2:22" outlineLevel="1">
      <c r="B69" s="225"/>
      <c r="C69" s="288"/>
      <c r="D69" s="288"/>
      <c r="E69" s="288"/>
      <c r="F69" s="288"/>
      <c r="G69" s="354"/>
      <c r="H69" s="354"/>
      <c r="I69" s="354"/>
      <c r="J69" s="354"/>
      <c r="K69" s="354"/>
      <c r="L69" s="354"/>
      <c r="M69" s="354"/>
      <c r="N69" s="354"/>
      <c r="O69" s="354"/>
      <c r="P69" s="354"/>
      <c r="Q69" s="354"/>
      <c r="R69" s="354"/>
      <c r="S69" s="354"/>
      <c r="T69" s="354"/>
      <c r="U69" s="354"/>
      <c r="V69" s="354"/>
    </row>
    <row r="70" spans="2:22">
      <c r="B70" s="225" t="s">
        <v>233</v>
      </c>
      <c r="C70" s="288"/>
      <c r="D70" s="288">
        <v>570</v>
      </c>
      <c r="E70" s="288">
        <f t="shared" ref="E70:Q70" si="92">D70*E76+D73</f>
        <v>773.86487965710546</v>
      </c>
      <c r="F70" s="288">
        <f t="shared" si="92"/>
        <v>852.77017516953515</v>
      </c>
      <c r="G70" s="354">
        <f t="shared" si="92"/>
        <v>1044.4601685675393</v>
      </c>
      <c r="H70" s="354">
        <f t="shared" si="92"/>
        <v>1200.2736715024969</v>
      </c>
      <c r="I70" s="354">
        <f t="shared" si="92"/>
        <v>1299.1363260846497</v>
      </c>
      <c r="J70" s="354">
        <f t="shared" si="92"/>
        <v>1436.3654996491966</v>
      </c>
      <c r="K70" s="354">
        <f t="shared" si="92"/>
        <v>1544.0881203599699</v>
      </c>
      <c r="L70" s="354">
        <f t="shared" si="92"/>
        <v>1642.0138501482106</v>
      </c>
      <c r="M70" s="354">
        <f t="shared" si="92"/>
        <v>1723.5627611401442</v>
      </c>
      <c r="N70" s="354">
        <f t="shared" si="92"/>
        <v>1790.0267581462178</v>
      </c>
      <c r="O70" s="354">
        <f t="shared" si="92"/>
        <v>1862.7485038978718</v>
      </c>
      <c r="P70" s="354">
        <f t="shared" si="92"/>
        <v>1935.3523072466619</v>
      </c>
      <c r="Q70" s="354">
        <f t="shared" si="92"/>
        <v>1963.930864446952</v>
      </c>
      <c r="R70" s="354">
        <f t="shared" ref="R70:R71" si="93">Q70*R76+Q73</f>
        <v>2006.5231134524324</v>
      </c>
      <c r="S70" s="354">
        <f t="shared" ref="S70:S71" si="94">R70*S76+R73</f>
        <v>2045.7290139486472</v>
      </c>
      <c r="T70" s="354">
        <f t="shared" ref="T70:T71" si="95">S70*T76+S73</f>
        <v>2086.7803776648861</v>
      </c>
      <c r="U70" s="354">
        <f t="shared" ref="U70:U71" si="96">T70*U76+T73</f>
        <v>2128.1196213604449</v>
      </c>
      <c r="V70" s="354">
        <f t="shared" ref="V70:V71" si="97">U70*V76+U73</f>
        <v>2170.2261430351327</v>
      </c>
    </row>
    <row r="71" spans="2:22">
      <c r="B71" s="225" t="s">
        <v>234</v>
      </c>
      <c r="C71" s="288"/>
      <c r="D71" s="288">
        <v>342.5</v>
      </c>
      <c r="E71" s="288">
        <f t="shared" ref="E71:Q71" si="98">D71*E77+D74</f>
        <v>395.73997388724047</v>
      </c>
      <c r="F71" s="288">
        <f t="shared" si="98"/>
        <v>454.15677535527612</v>
      </c>
      <c r="G71" s="354">
        <f t="shared" si="98"/>
        <v>546.32204100197646</v>
      </c>
      <c r="H71" s="354">
        <f t="shared" si="98"/>
        <v>634.18360317764063</v>
      </c>
      <c r="I71" s="354">
        <f t="shared" si="98"/>
        <v>691.66027969697177</v>
      </c>
      <c r="J71" s="354">
        <f t="shared" si="98"/>
        <v>761.86014209006532</v>
      </c>
      <c r="K71" s="354">
        <f t="shared" si="98"/>
        <v>822.59777799562858</v>
      </c>
      <c r="L71" s="354">
        <f t="shared" si="98"/>
        <v>875.79489774534966</v>
      </c>
      <c r="M71" s="354">
        <f t="shared" si="98"/>
        <v>920.95577800450167</v>
      </c>
      <c r="N71" s="354">
        <f t="shared" si="98"/>
        <v>957.81959245062899</v>
      </c>
      <c r="O71" s="354">
        <f t="shared" si="98"/>
        <v>996.30143856504276</v>
      </c>
      <c r="P71" s="354">
        <f t="shared" si="98"/>
        <v>1035.4221427833259</v>
      </c>
      <c r="Q71" s="354">
        <f t="shared" si="98"/>
        <v>1054.427809894471</v>
      </c>
      <c r="R71" s="354">
        <f t="shared" si="93"/>
        <v>1075.8118296153714</v>
      </c>
      <c r="S71" s="354">
        <f t="shared" si="94"/>
        <v>1097.3301606038763</v>
      </c>
      <c r="T71" s="354">
        <f t="shared" si="95"/>
        <v>1119.2125767828707</v>
      </c>
      <c r="U71" s="354">
        <f t="shared" si="96"/>
        <v>1141.4415436543563</v>
      </c>
      <c r="V71" s="354">
        <f t="shared" si="97"/>
        <v>1164.024331626626</v>
      </c>
    </row>
    <row r="72" spans="2:22">
      <c r="B72" s="225"/>
      <c r="C72" s="288"/>
      <c r="D72" s="288"/>
      <c r="E72" s="288"/>
      <c r="F72" s="288"/>
      <c r="G72" s="354"/>
      <c r="H72" s="354"/>
      <c r="I72" s="354"/>
      <c r="J72" s="354"/>
      <c r="K72" s="354"/>
      <c r="L72" s="354"/>
      <c r="M72" s="354"/>
      <c r="N72" s="354"/>
      <c r="O72" s="354"/>
      <c r="P72" s="354"/>
      <c r="Q72" s="354"/>
      <c r="R72" s="354"/>
      <c r="S72" s="354"/>
      <c r="T72" s="354"/>
      <c r="U72" s="354"/>
      <c r="V72" s="354"/>
    </row>
    <row r="73" spans="2:22">
      <c r="B73" s="225" t="s">
        <v>235</v>
      </c>
      <c r="C73" s="296"/>
      <c r="D73" s="288">
        <v>374.86487965710546</v>
      </c>
      <c r="E73" s="288">
        <f t="shared" ref="E73:Q74" si="99">E67-E70</f>
        <v>311.06475940956136</v>
      </c>
      <c r="F73" s="288">
        <f t="shared" si="99"/>
        <v>447.52104594886464</v>
      </c>
      <c r="G73" s="354">
        <f t="shared" si="99"/>
        <v>469.15155350521945</v>
      </c>
      <c r="H73" s="354">
        <f t="shared" si="99"/>
        <v>458.94475603290175</v>
      </c>
      <c r="I73" s="354">
        <f t="shared" si="99"/>
        <v>526.97007138994195</v>
      </c>
      <c r="J73" s="354">
        <f t="shared" si="99"/>
        <v>538.63227060553231</v>
      </c>
      <c r="K73" s="354">
        <f t="shared" si="99"/>
        <v>561.15216589623174</v>
      </c>
      <c r="L73" s="354">
        <f t="shared" si="99"/>
        <v>574.15306603639692</v>
      </c>
      <c r="M73" s="354">
        <f t="shared" si="99"/>
        <v>583.53282534811706</v>
      </c>
      <c r="N73" s="354">
        <f t="shared" si="99"/>
        <v>609.72977319551933</v>
      </c>
      <c r="O73" s="354">
        <f t="shared" si="99"/>
        <v>631.42835451815176</v>
      </c>
      <c r="P73" s="354">
        <f t="shared" si="99"/>
        <v>609.18424937428881</v>
      </c>
      <c r="Q73" s="354">
        <f t="shared" si="99"/>
        <v>631.77150833956603</v>
      </c>
      <c r="R73" s="354">
        <f t="shared" ref="R73:V73" si="100">R67-R70</f>
        <v>641.16283453194455</v>
      </c>
      <c r="S73" s="354">
        <f t="shared" si="100"/>
        <v>654.77006790083306</v>
      </c>
      <c r="T73" s="354">
        <f t="shared" si="100"/>
        <v>667.37335699502455</v>
      </c>
      <c r="U73" s="354">
        <f t="shared" si="100"/>
        <v>680.54240808282157</v>
      </c>
      <c r="V73" s="354">
        <f t="shared" si="100"/>
        <v>693.81011107482982</v>
      </c>
    </row>
    <row r="74" spans="2:22">
      <c r="B74" s="225" t="s">
        <v>236</v>
      </c>
      <c r="C74" s="296"/>
      <c r="D74" s="288">
        <v>87.489973887240467</v>
      </c>
      <c r="E74" s="288">
        <f t="shared" si="99"/>
        <v>97.990798856759682</v>
      </c>
      <c r="F74" s="288">
        <f t="shared" si="99"/>
        <v>137.58094318222794</v>
      </c>
      <c r="G74" s="354">
        <f t="shared" si="99"/>
        <v>142.49376627586173</v>
      </c>
      <c r="H74" s="354">
        <f t="shared" si="99"/>
        <v>120.89503683709518</v>
      </c>
      <c r="I74" s="354">
        <f t="shared" si="99"/>
        <v>139.36589036279076</v>
      </c>
      <c r="J74" s="354">
        <f t="shared" si="99"/>
        <v>136.9236501145698</v>
      </c>
      <c r="K74" s="354">
        <f t="shared" si="99"/>
        <v>135.45689754928389</v>
      </c>
      <c r="L74" s="354">
        <f t="shared" si="99"/>
        <v>132.74037003368699</v>
      </c>
      <c r="M74" s="354">
        <f t="shared" si="99"/>
        <v>128.95939224657752</v>
      </c>
      <c r="N74" s="354">
        <f t="shared" si="99"/>
        <v>134.26380535947669</v>
      </c>
      <c r="O74" s="354">
        <f t="shared" si="99"/>
        <v>138.75084807478731</v>
      </c>
      <c r="P74" s="354">
        <f t="shared" si="99"/>
        <v>122.54788138947765</v>
      </c>
      <c r="Q74" s="354">
        <f t="shared" si="99"/>
        <v>126.82680071034747</v>
      </c>
      <c r="R74" s="354">
        <f t="shared" ref="R74:V74" si="101">R68-R71</f>
        <v>129.09951395004214</v>
      </c>
      <c r="S74" s="354">
        <f t="shared" si="101"/>
        <v>131.61543223938202</v>
      </c>
      <c r="T74" s="354">
        <f t="shared" si="101"/>
        <v>134.1502245497727</v>
      </c>
      <c r="U74" s="354">
        <f t="shared" si="101"/>
        <v>136.72694233770517</v>
      </c>
      <c r="V74" s="354">
        <f t="shared" si="101"/>
        <v>139.34390718839995</v>
      </c>
    </row>
    <row r="75" spans="2:22">
      <c r="B75" s="225"/>
      <c r="C75" s="288"/>
      <c r="D75" s="288"/>
      <c r="E75" s="288"/>
      <c r="F75" s="288"/>
      <c r="G75" s="288"/>
      <c r="H75" s="288"/>
      <c r="I75" s="288"/>
      <c r="J75" s="288"/>
      <c r="K75" s="288"/>
      <c r="L75" s="288"/>
      <c r="M75" s="288"/>
      <c r="N75" s="288"/>
      <c r="O75" s="288"/>
      <c r="P75" s="288"/>
      <c r="Q75" s="288"/>
      <c r="R75" s="288"/>
      <c r="S75" s="288"/>
      <c r="T75" s="288"/>
      <c r="U75" s="288"/>
      <c r="V75" s="288"/>
    </row>
    <row r="76" spans="2:22">
      <c r="B76" s="225" t="s">
        <v>237</v>
      </c>
      <c r="C76" s="289"/>
      <c r="D76" s="289">
        <v>0.7</v>
      </c>
      <c r="E76" s="289">
        <v>0.7</v>
      </c>
      <c r="F76" s="289">
        <f>E76</f>
        <v>0.7</v>
      </c>
      <c r="G76" s="289">
        <f t="shared" ref="G76:Q77" si="102">F76</f>
        <v>0.7</v>
      </c>
      <c r="H76" s="289">
        <f t="shared" si="102"/>
        <v>0.7</v>
      </c>
      <c r="I76" s="289">
        <f t="shared" si="102"/>
        <v>0.7</v>
      </c>
      <c r="J76" s="289">
        <f t="shared" si="102"/>
        <v>0.7</v>
      </c>
      <c r="K76" s="289">
        <f t="shared" si="102"/>
        <v>0.7</v>
      </c>
      <c r="L76" s="289">
        <f t="shared" si="102"/>
        <v>0.7</v>
      </c>
      <c r="M76" s="289">
        <f t="shared" si="102"/>
        <v>0.7</v>
      </c>
      <c r="N76" s="289">
        <f t="shared" si="102"/>
        <v>0.7</v>
      </c>
      <c r="O76" s="289">
        <f t="shared" si="102"/>
        <v>0.7</v>
      </c>
      <c r="P76" s="289">
        <f t="shared" si="102"/>
        <v>0.7</v>
      </c>
      <c r="Q76" s="289">
        <f t="shared" si="102"/>
        <v>0.7</v>
      </c>
      <c r="R76" s="289">
        <f t="shared" ref="R76:R77" si="103">Q76</f>
        <v>0.7</v>
      </c>
      <c r="S76" s="289">
        <f t="shared" ref="S76:S77" si="104">R76</f>
        <v>0.7</v>
      </c>
      <c r="T76" s="289">
        <f t="shared" ref="T76:T77" si="105">S76</f>
        <v>0.7</v>
      </c>
      <c r="U76" s="289">
        <f t="shared" ref="U76:U77" si="106">T76</f>
        <v>0.7</v>
      </c>
      <c r="V76" s="289">
        <f t="shared" ref="V76:V77" si="107">U76</f>
        <v>0.7</v>
      </c>
    </row>
    <row r="77" spans="2:22">
      <c r="B77" s="225" t="s">
        <v>238</v>
      </c>
      <c r="C77" s="289"/>
      <c r="D77" s="289">
        <v>0.9</v>
      </c>
      <c r="E77" s="289">
        <v>0.9</v>
      </c>
      <c r="F77" s="289">
        <f>E77</f>
        <v>0.9</v>
      </c>
      <c r="G77" s="289">
        <f t="shared" si="102"/>
        <v>0.9</v>
      </c>
      <c r="H77" s="289">
        <f t="shared" si="102"/>
        <v>0.9</v>
      </c>
      <c r="I77" s="289">
        <f t="shared" si="102"/>
        <v>0.9</v>
      </c>
      <c r="J77" s="289">
        <f t="shared" si="102"/>
        <v>0.9</v>
      </c>
      <c r="K77" s="289">
        <f t="shared" si="102"/>
        <v>0.9</v>
      </c>
      <c r="L77" s="289">
        <f t="shared" si="102"/>
        <v>0.9</v>
      </c>
      <c r="M77" s="289">
        <f t="shared" si="102"/>
        <v>0.9</v>
      </c>
      <c r="N77" s="289">
        <f t="shared" si="102"/>
        <v>0.9</v>
      </c>
      <c r="O77" s="289">
        <f t="shared" si="102"/>
        <v>0.9</v>
      </c>
      <c r="P77" s="289">
        <f t="shared" si="102"/>
        <v>0.9</v>
      </c>
      <c r="Q77" s="289">
        <f t="shared" si="102"/>
        <v>0.9</v>
      </c>
      <c r="R77" s="289">
        <f t="shared" si="103"/>
        <v>0.9</v>
      </c>
      <c r="S77" s="289">
        <f t="shared" si="104"/>
        <v>0.9</v>
      </c>
      <c r="T77" s="289">
        <f t="shared" si="105"/>
        <v>0.9</v>
      </c>
      <c r="U77" s="289">
        <f t="shared" si="106"/>
        <v>0.9</v>
      </c>
      <c r="V77" s="289">
        <f t="shared" si="107"/>
        <v>0.9</v>
      </c>
    </row>
    <row r="79" spans="2:22">
      <c r="B79" s="291" t="s">
        <v>224</v>
      </c>
    </row>
    <row r="80" spans="2:22">
      <c r="B80" s="225" t="s">
        <v>227</v>
      </c>
      <c r="C80" s="297">
        <f t="shared" ref="C80:F81" si="108">D80/1.015</f>
        <v>111.58907624192325</v>
      </c>
      <c r="D80" s="297">
        <f t="shared" si="108"/>
        <v>113.26291238555208</v>
      </c>
      <c r="E80" s="297">
        <f t="shared" si="108"/>
        <v>114.96185607133536</v>
      </c>
      <c r="F80" s="297">
        <f t="shared" si="108"/>
        <v>116.68628391240539</v>
      </c>
      <c r="G80" s="223">
        <f>H80/1.017</f>
        <v>118.43657817109145</v>
      </c>
      <c r="H80" s="223">
        <f>((40/100)*55*15*365)/1000</f>
        <v>120.45</v>
      </c>
      <c r="I80" s="223">
        <f>H80*1.015</f>
        <v>122.25675</v>
      </c>
      <c r="J80" s="223">
        <f t="shared" ref="J80:Q80" si="109">I80*1.015</f>
        <v>124.09060124999999</v>
      </c>
      <c r="K80" s="223">
        <f t="shared" si="109"/>
        <v>125.95196026874999</v>
      </c>
      <c r="L80" s="223">
        <f t="shared" si="109"/>
        <v>127.84123967278123</v>
      </c>
      <c r="M80" s="223">
        <f t="shared" si="109"/>
        <v>129.75885826787294</v>
      </c>
      <c r="N80" s="223">
        <f t="shared" si="109"/>
        <v>131.70524114189101</v>
      </c>
      <c r="O80" s="223">
        <f t="shared" si="109"/>
        <v>133.68081975901936</v>
      </c>
      <c r="P80" s="223">
        <f t="shared" si="109"/>
        <v>135.68603205540464</v>
      </c>
      <c r="Q80" s="223">
        <f t="shared" si="109"/>
        <v>137.7213225362357</v>
      </c>
      <c r="R80" s="223">
        <f t="shared" ref="R80:R81" si="110">Q80*1.015</f>
        <v>139.78714237427923</v>
      </c>
      <c r="S80" s="223">
        <f t="shared" ref="S80:S81" si="111">R80*1.015</f>
        <v>141.8839495098934</v>
      </c>
      <c r="T80" s="223">
        <f t="shared" ref="T80:T81" si="112">S80*1.015</f>
        <v>144.0122087525418</v>
      </c>
      <c r="U80" s="223">
        <f t="shared" ref="U80:U81" si="113">T80*1.015</f>
        <v>146.1723918838299</v>
      </c>
      <c r="V80" s="223">
        <f t="shared" ref="V80:V81" si="114">U80*1.015</f>
        <v>148.36497776208734</v>
      </c>
    </row>
    <row r="81" spans="2:26">
      <c r="B81" s="225" t="s">
        <v>228</v>
      </c>
      <c r="C81" s="297">
        <f t="shared" si="108"/>
        <v>81.155691812307808</v>
      </c>
      <c r="D81" s="297">
        <f t="shared" si="108"/>
        <v>82.373027189492419</v>
      </c>
      <c r="E81" s="297">
        <f t="shared" si="108"/>
        <v>83.608622597334801</v>
      </c>
      <c r="F81" s="297">
        <f t="shared" si="108"/>
        <v>84.862751936294814</v>
      </c>
      <c r="G81" s="223">
        <f>H81/1.017</f>
        <v>86.135693215339231</v>
      </c>
      <c r="H81" s="223">
        <f>((40/100)*40*15*365)/1000</f>
        <v>87.6</v>
      </c>
      <c r="I81" s="223">
        <f>H81*1.015</f>
        <v>88.913999999999987</v>
      </c>
      <c r="J81" s="223">
        <f t="shared" ref="J81:Q81" si="115">I81*1.015</f>
        <v>90.247709999999984</v>
      </c>
      <c r="K81" s="223">
        <f t="shared" si="115"/>
        <v>91.601425649999968</v>
      </c>
      <c r="L81" s="223">
        <f t="shared" si="115"/>
        <v>92.975447034749962</v>
      </c>
      <c r="M81" s="223">
        <f t="shared" si="115"/>
        <v>94.370078740271197</v>
      </c>
      <c r="N81" s="223">
        <f t="shared" si="115"/>
        <v>95.785629921375261</v>
      </c>
      <c r="O81" s="223">
        <f t="shared" si="115"/>
        <v>97.222414370195878</v>
      </c>
      <c r="P81" s="223">
        <f t="shared" si="115"/>
        <v>98.680750585748811</v>
      </c>
      <c r="Q81" s="223">
        <f t="shared" si="115"/>
        <v>100.16096184453504</v>
      </c>
      <c r="R81" s="223">
        <f t="shared" si="110"/>
        <v>101.66337627220305</v>
      </c>
      <c r="S81" s="223">
        <f t="shared" si="111"/>
        <v>103.18832691628609</v>
      </c>
      <c r="T81" s="223">
        <f t="shared" si="112"/>
        <v>104.73615182003037</v>
      </c>
      <c r="U81" s="223">
        <f t="shared" si="113"/>
        <v>106.30719409733082</v>
      </c>
      <c r="V81" s="223">
        <f t="shared" si="114"/>
        <v>107.90180200879077</v>
      </c>
    </row>
    <row r="82" spans="2:26">
      <c r="G82" s="611"/>
      <c r="H82" s="611"/>
      <c r="I82" s="611"/>
      <c r="J82" s="611"/>
      <c r="K82" s="611"/>
      <c r="L82" s="611"/>
      <c r="M82" s="611"/>
      <c r="N82" s="611"/>
      <c r="O82" s="611"/>
      <c r="P82" s="611"/>
      <c r="Q82" s="611"/>
      <c r="R82" s="611"/>
      <c r="S82" s="611"/>
      <c r="T82" s="611"/>
      <c r="U82" s="611"/>
      <c r="V82" s="611"/>
    </row>
    <row r="83" spans="2:26">
      <c r="B83" s="225" t="s">
        <v>235</v>
      </c>
      <c r="C83" s="297">
        <f t="shared" ref="C83:E84" si="116">C80*0.8</f>
        <v>89.271260993538604</v>
      </c>
      <c r="D83" s="297">
        <f t="shared" si="116"/>
        <v>90.61032990844167</v>
      </c>
      <c r="E83" s="297">
        <f t="shared" si="116"/>
        <v>91.969484857068295</v>
      </c>
      <c r="F83" s="297">
        <f t="shared" ref="F83:Q83" si="117">F80*0.8</f>
        <v>93.349027129924309</v>
      </c>
      <c r="G83" s="223">
        <f t="shared" si="117"/>
        <v>94.749262536873175</v>
      </c>
      <c r="H83" s="223">
        <f t="shared" si="117"/>
        <v>96.360000000000014</v>
      </c>
      <c r="I83" s="223">
        <f t="shared" si="117"/>
        <v>97.805400000000006</v>
      </c>
      <c r="J83" s="223">
        <f t="shared" si="117"/>
        <v>99.272480999999999</v>
      </c>
      <c r="K83" s="223">
        <f t="shared" si="117"/>
        <v>100.761568215</v>
      </c>
      <c r="L83" s="223">
        <f t="shared" si="117"/>
        <v>102.27299173822499</v>
      </c>
      <c r="M83" s="223">
        <f t="shared" si="117"/>
        <v>103.80708661429836</v>
      </c>
      <c r="N83" s="223">
        <f t="shared" si="117"/>
        <v>105.36419291351281</v>
      </c>
      <c r="O83" s="223">
        <f t="shared" si="117"/>
        <v>106.9446558072155</v>
      </c>
      <c r="P83" s="223">
        <f t="shared" si="117"/>
        <v>108.54882564432371</v>
      </c>
      <c r="Q83" s="223">
        <f t="shared" si="117"/>
        <v>110.17705802898857</v>
      </c>
      <c r="R83" s="223">
        <f t="shared" ref="R83:V83" si="118">R80*0.8</f>
        <v>111.82971389942338</v>
      </c>
      <c r="S83" s="223">
        <f t="shared" si="118"/>
        <v>113.50715960791473</v>
      </c>
      <c r="T83" s="223">
        <f t="shared" si="118"/>
        <v>115.20976700203344</v>
      </c>
      <c r="U83" s="223">
        <f t="shared" si="118"/>
        <v>116.93791350706393</v>
      </c>
      <c r="V83" s="223">
        <f t="shared" si="118"/>
        <v>118.69198220966987</v>
      </c>
    </row>
    <row r="84" spans="2:26">
      <c r="B84" s="225" t="s">
        <v>236</v>
      </c>
      <c r="C84" s="297">
        <f t="shared" si="116"/>
        <v>64.924553449846243</v>
      </c>
      <c r="D84" s="297">
        <f t="shared" si="116"/>
        <v>65.898421751593943</v>
      </c>
      <c r="E84" s="297">
        <f t="shared" si="116"/>
        <v>66.886898077867841</v>
      </c>
      <c r="F84" s="297">
        <f t="shared" ref="F84:Q84" si="119">F81*0.8</f>
        <v>67.890201549035851</v>
      </c>
      <c r="G84" s="223">
        <f t="shared" si="119"/>
        <v>68.908554572271385</v>
      </c>
      <c r="H84" s="223">
        <f t="shared" si="119"/>
        <v>70.08</v>
      </c>
      <c r="I84" s="223">
        <f t="shared" si="119"/>
        <v>71.131199999999993</v>
      </c>
      <c r="J84" s="223">
        <f t="shared" si="119"/>
        <v>72.198167999999995</v>
      </c>
      <c r="K84" s="223">
        <f t="shared" si="119"/>
        <v>73.28114051999998</v>
      </c>
      <c r="L84" s="223">
        <f t="shared" si="119"/>
        <v>74.380357627799967</v>
      </c>
      <c r="M84" s="223">
        <f t="shared" si="119"/>
        <v>75.496062992216963</v>
      </c>
      <c r="N84" s="223">
        <f t="shared" si="119"/>
        <v>76.628503937100206</v>
      </c>
      <c r="O84" s="223">
        <f t="shared" si="119"/>
        <v>77.777931496156711</v>
      </c>
      <c r="P84" s="223">
        <f t="shared" si="119"/>
        <v>78.944600468599049</v>
      </c>
      <c r="Q84" s="223">
        <f t="shared" si="119"/>
        <v>80.128769475628033</v>
      </c>
      <c r="R84" s="223">
        <f t="shared" ref="R84:V84" si="120">R81*0.8</f>
        <v>81.330701017762451</v>
      </c>
      <c r="S84" s="223">
        <f t="shared" si="120"/>
        <v>82.550661533028872</v>
      </c>
      <c r="T84" s="223">
        <f t="shared" si="120"/>
        <v>83.788921456024298</v>
      </c>
      <c r="U84" s="223">
        <f t="shared" si="120"/>
        <v>85.045755277864657</v>
      </c>
      <c r="V84" s="223">
        <f t="shared" si="120"/>
        <v>86.321441607032625</v>
      </c>
    </row>
    <row r="86" spans="2:26">
      <c r="B86" s="291" t="s">
        <v>239</v>
      </c>
      <c r="C86" s="229"/>
      <c r="D86" s="229"/>
      <c r="E86" s="229"/>
      <c r="F86" s="229"/>
      <c r="G86" s="229"/>
      <c r="H86" s="229"/>
      <c r="I86" s="229"/>
      <c r="J86" s="229"/>
      <c r="K86" s="229"/>
      <c r="L86" s="229"/>
      <c r="M86" s="229"/>
      <c r="N86" s="229"/>
      <c r="O86" s="229"/>
      <c r="P86" s="229"/>
      <c r="Q86" s="229"/>
      <c r="R86" s="229"/>
      <c r="S86" s="229"/>
      <c r="T86" s="229"/>
      <c r="U86" s="229"/>
      <c r="V86" s="229"/>
    </row>
    <row r="87" spans="2:26">
      <c r="B87" s="225" t="s">
        <v>227</v>
      </c>
      <c r="C87" s="298"/>
      <c r="D87" s="298"/>
      <c r="E87" s="298">
        <f t="shared" ref="E87:F87" si="121">((E70*E80)+(E73*E83))/1000</f>
        <v>117.57340859388668</v>
      </c>
      <c r="F87" s="298">
        <f t="shared" si="121"/>
        <v>141.28223703135671</v>
      </c>
      <c r="G87" s="298">
        <f>((G70*G80)+(G73*G83))/1000</f>
        <v>168.15405211378868</v>
      </c>
      <c r="H87" s="298">
        <f t="shared" ref="H87:V87" si="122">((H70*H80)+(H73*H83))/1000</f>
        <v>188.79688042380619</v>
      </c>
      <c r="I87" s="298">
        <f t="shared" si="122"/>
        <v>210.36870365437133</v>
      </c>
      <c r="J87" s="298">
        <f t="shared" si="122"/>
        <v>231.71082031590004</v>
      </c>
      <c r="K87" s="298">
        <f t="shared" si="122"/>
        <v>251.02349782997592</v>
      </c>
      <c r="L87" s="298">
        <f t="shared" si="122"/>
        <v>268.63743794204061</v>
      </c>
      <c r="M87" s="298">
        <f t="shared" si="122"/>
        <v>284.22237858176589</v>
      </c>
      <c r="N87" s="298">
        <f t="shared" si="122"/>
        <v>299.99959128017014</v>
      </c>
      <c r="O87" s="298">
        <f t="shared" si="122"/>
        <v>316.54163504681458</v>
      </c>
      <c r="P87" s="298">
        <f t="shared" si="122"/>
        <v>328.72651007016981</v>
      </c>
      <c r="Q87" s="298">
        <f t="shared" si="122"/>
        <v>340.08188215675688</v>
      </c>
      <c r="R87" s="298">
        <f t="shared" si="122"/>
        <v>352.18718848610786</v>
      </c>
      <c r="S87" s="298">
        <f t="shared" si="122"/>
        <v>364.57720272971886</v>
      </c>
      <c r="T87" s="298">
        <f t="shared" si="122"/>
        <v>377.4097803317452</v>
      </c>
      <c r="U87" s="298">
        <f t="shared" si="122"/>
        <v>390.65354452344468</v>
      </c>
      <c r="V87" s="298">
        <f t="shared" si="122"/>
        <v>404.33525081069081</v>
      </c>
    </row>
    <row r="88" spans="2:26">
      <c r="B88" s="225" t="s">
        <v>228</v>
      </c>
      <c r="C88" s="298"/>
      <c r="D88" s="298"/>
      <c r="E88" s="298">
        <f t="shared" ref="E88:F88" si="123">((E68*E81)+(E74*E84))/1000</f>
        <v>47.83445041874451</v>
      </c>
      <c r="F88" s="298">
        <f t="shared" si="123"/>
        <v>59.556889181545159</v>
      </c>
      <c r="G88" s="298">
        <f>((G68*G81)+(G74*G84))/1000</f>
        <v>69.150666527188804</v>
      </c>
      <c r="H88" s="298">
        <f t="shared" ref="H88:V88" si="124">((H68*H81)+(H74*H84))/1000</f>
        <v>74.617213046834479</v>
      </c>
      <c r="I88" s="298">
        <f t="shared" si="124"/>
        <v>83.803123905267455</v>
      </c>
      <c r="J88" s="298">
        <f t="shared" si="124"/>
        <v>90.998815725729074</v>
      </c>
      <c r="K88" s="298">
        <f t="shared" si="124"/>
        <v>97.685610074274464</v>
      </c>
      <c r="L88" s="298">
        <f t="shared" si="124"/>
        <v>103.64229356681932</v>
      </c>
      <c r="M88" s="298">
        <f t="shared" si="124"/>
        <v>108.81650368768523</v>
      </c>
      <c r="N88" s="298">
        <f t="shared" si="124"/>
        <v>114.89433072351554</v>
      </c>
      <c r="O88" s="298">
        <f t="shared" si="124"/>
        <v>121.14427770013036</v>
      </c>
      <c r="P88" s="298">
        <f t="shared" si="124"/>
        <v>123.94384467573553</v>
      </c>
      <c r="Q88" s="298">
        <f t="shared" si="124"/>
        <v>128.47807345892116</v>
      </c>
      <c r="R88" s="298">
        <f t="shared" si="124"/>
        <v>132.99510926614568</v>
      </c>
      <c r="S88" s="298">
        <f t="shared" si="124"/>
        <v>137.67778059595568</v>
      </c>
      <c r="T88" s="298">
        <f t="shared" si="124"/>
        <v>142.51269927406324</v>
      </c>
      <c r="U88" s="298">
        <f t="shared" si="124"/>
        <v>147.50655140739272</v>
      </c>
      <c r="V88" s="298">
        <f t="shared" si="124"/>
        <v>152.6641485968245</v>
      </c>
    </row>
    <row r="89" spans="2:26">
      <c r="B89" s="615" t="s">
        <v>525</v>
      </c>
      <c r="C89" s="298"/>
      <c r="D89" s="298"/>
      <c r="E89" s="298"/>
      <c r="F89" s="298"/>
      <c r="G89" s="298"/>
      <c r="H89" s="298"/>
      <c r="I89" s="298"/>
      <c r="J89" s="298"/>
      <c r="K89" s="298"/>
      <c r="L89" s="298"/>
      <c r="M89" s="289">
        <v>0.15</v>
      </c>
      <c r="N89" s="289">
        <f>M89*2</f>
        <v>0.3</v>
      </c>
      <c r="O89" s="289">
        <f>N89*1.75</f>
        <v>0.52500000000000002</v>
      </c>
      <c r="P89" s="289">
        <f>O89*1.5</f>
        <v>0.78750000000000009</v>
      </c>
      <c r="Q89" s="289">
        <f>P89*1.05</f>
        <v>0.82687500000000014</v>
      </c>
      <c r="R89" s="289">
        <f>Q89*1.05</f>
        <v>0.86821875000000015</v>
      </c>
      <c r="S89" s="289">
        <f>R89*1.025</f>
        <v>0.88992421875000005</v>
      </c>
      <c r="T89" s="289">
        <f>S89*1.025</f>
        <v>0.91217232421874994</v>
      </c>
      <c r="U89" s="289">
        <f>T89*1.025</f>
        <v>0.93497663232421857</v>
      </c>
      <c r="V89" s="289">
        <f>U89*1.025</f>
        <v>0.95835104813232397</v>
      </c>
    </row>
    <row r="90" spans="2:26">
      <c r="B90" s="226" t="s">
        <v>164</v>
      </c>
      <c r="C90" s="224"/>
      <c r="D90" s="224"/>
      <c r="E90" s="224">
        <f>E87+E88</f>
        <v>165.40785901263121</v>
      </c>
      <c r="F90" s="224">
        <f>F87+F88</f>
        <v>200.83912621290187</v>
      </c>
      <c r="G90" s="224">
        <f t="shared" ref="G90:V90" si="125">(G87+G88)*(1-G89)</f>
        <v>237.30471864097748</v>
      </c>
      <c r="H90" s="224">
        <f t="shared" si="125"/>
        <v>263.41409347064064</v>
      </c>
      <c r="I90" s="224">
        <f t="shared" si="125"/>
        <v>294.17182755963881</v>
      </c>
      <c r="J90" s="224">
        <f t="shared" si="125"/>
        <v>322.7096360416291</v>
      </c>
      <c r="K90" s="224">
        <f t="shared" si="125"/>
        <v>348.7091079042504</v>
      </c>
      <c r="L90" s="224">
        <f t="shared" si="125"/>
        <v>372.27973150885992</v>
      </c>
      <c r="M90" s="224">
        <f t="shared" si="125"/>
        <v>334.08304992903345</v>
      </c>
      <c r="N90" s="224">
        <f t="shared" si="125"/>
        <v>290.42574540257999</v>
      </c>
      <c r="O90" s="224">
        <f t="shared" si="125"/>
        <v>207.90080855479883</v>
      </c>
      <c r="P90" s="224">
        <f t="shared" si="125"/>
        <v>96.192450383504848</v>
      </c>
      <c r="Q90" s="224">
        <f t="shared" si="125"/>
        <v>81.119442315964207</v>
      </c>
      <c r="R90" s="224">
        <f t="shared" si="125"/>
        <v>63.937929675664087</v>
      </c>
      <c r="S90" s="224">
        <f t="shared" si="125"/>
        <v>55.286109676279317</v>
      </c>
      <c r="T90" s="224">
        <f t="shared" si="125"/>
        <v>45.66358297020254</v>
      </c>
      <c r="U90" s="224">
        <f t="shared" si="125"/>
        <v>34.992981786144647</v>
      </c>
      <c r="V90" s="224">
        <f t="shared" si="125"/>
        <v>23.19844117624806</v>
      </c>
    </row>
    <row r="91" spans="2:26">
      <c r="G91" s="612"/>
      <c r="H91" s="612"/>
      <c r="I91" s="612"/>
      <c r="J91" s="612"/>
      <c r="K91" s="612"/>
      <c r="L91" s="612"/>
      <c r="M91" s="612"/>
      <c r="N91" s="612"/>
      <c r="O91" s="612"/>
      <c r="P91" s="612"/>
      <c r="Q91" s="612"/>
      <c r="R91" s="612"/>
      <c r="S91" s="612"/>
      <c r="T91" s="612"/>
      <c r="U91" s="612"/>
      <c r="V91" s="612"/>
    </row>
    <row r="92" spans="2:26">
      <c r="B92" s="225" t="s">
        <v>227</v>
      </c>
      <c r="C92" s="298"/>
      <c r="D92" s="298"/>
      <c r="E92" s="298">
        <f>E87*0.31</f>
        <v>36.447756664104872</v>
      </c>
      <c r="F92" s="298">
        <f>F87*0.2765</f>
        <v>39.064538539170137</v>
      </c>
      <c r="G92" s="298">
        <f>G87*0.234</f>
        <v>39.34804819462655</v>
      </c>
      <c r="H92" s="298">
        <f>H87*0.35</f>
        <v>66.078908148332161</v>
      </c>
      <c r="I92" s="620">
        <f>I87*0.4</f>
        <v>84.147481461748541</v>
      </c>
      <c r="J92" s="298">
        <f>J87*0.45</f>
        <v>104.26986914215502</v>
      </c>
      <c r="K92" s="298">
        <f>K87*0.475</f>
        <v>119.23616146923855</v>
      </c>
      <c r="L92" s="298">
        <f>L87*0.525</f>
        <v>141.03465491957132</v>
      </c>
      <c r="M92" s="620">
        <f t="shared" ref="M92:V92" si="126">M87*0.575</f>
        <v>163.42786768451538</v>
      </c>
      <c r="N92" s="620">
        <f t="shared" si="126"/>
        <v>172.4997649860978</v>
      </c>
      <c r="O92" s="620">
        <f t="shared" si="126"/>
        <v>182.01144015191838</v>
      </c>
      <c r="P92" s="620">
        <f t="shared" si="126"/>
        <v>189.01774329034762</v>
      </c>
      <c r="Q92" s="620">
        <f t="shared" si="126"/>
        <v>195.54708224013518</v>
      </c>
      <c r="R92" s="620">
        <f t="shared" si="126"/>
        <v>202.50763337951201</v>
      </c>
      <c r="S92" s="620">
        <f t="shared" si="126"/>
        <v>209.63189156958833</v>
      </c>
      <c r="T92" s="620">
        <f t="shared" si="126"/>
        <v>217.01062369075348</v>
      </c>
      <c r="U92" s="620">
        <f t="shared" si="126"/>
        <v>224.62578810098069</v>
      </c>
      <c r="V92" s="620">
        <f t="shared" si="126"/>
        <v>232.4927692161472</v>
      </c>
    </row>
    <row r="93" spans="2:26">
      <c r="B93" s="225" t="s">
        <v>228</v>
      </c>
      <c r="C93" s="298"/>
      <c r="D93" s="298"/>
      <c r="E93" s="298">
        <f>E88*0.31</f>
        <v>14.828679629810798</v>
      </c>
      <c r="F93" s="298">
        <f>F88*0.276</f>
        <v>16.437701414106467</v>
      </c>
      <c r="G93" s="298">
        <f>G88*0.234</f>
        <v>16.18125596736218</v>
      </c>
      <c r="H93" s="298">
        <f>H88*0.35</f>
        <v>26.116024566392067</v>
      </c>
      <c r="I93" s="620">
        <f>I88*0.4</f>
        <v>33.521249562106981</v>
      </c>
      <c r="J93" s="298">
        <f>J88*0.45</f>
        <v>40.949467076578081</v>
      </c>
      <c r="K93" s="298">
        <f>K88*0.475</f>
        <v>46.40066478528037</v>
      </c>
      <c r="L93" s="298">
        <f>L88*0.525</f>
        <v>54.412204122580142</v>
      </c>
      <c r="M93" s="298">
        <f t="shared" ref="M93:V93" si="127">M88*0.575</f>
        <v>62.569489620418999</v>
      </c>
      <c r="N93" s="298">
        <f t="shared" si="127"/>
        <v>66.064240166021435</v>
      </c>
      <c r="O93" s="298">
        <f t="shared" si="127"/>
        <v>69.657959677574951</v>
      </c>
      <c r="P93" s="298">
        <f t="shared" si="127"/>
        <v>71.267710688547922</v>
      </c>
      <c r="Q93" s="298">
        <f t="shared" si="127"/>
        <v>73.874892238879667</v>
      </c>
      <c r="R93" s="298">
        <f t="shared" si="127"/>
        <v>76.472187828033753</v>
      </c>
      <c r="S93" s="298">
        <f t="shared" si="127"/>
        <v>79.164723842674505</v>
      </c>
      <c r="T93" s="298">
        <f t="shared" si="127"/>
        <v>81.944802082586349</v>
      </c>
      <c r="U93" s="298">
        <f t="shared" si="127"/>
        <v>84.816267059250805</v>
      </c>
      <c r="V93" s="298">
        <f t="shared" si="127"/>
        <v>87.781885443174076</v>
      </c>
    </row>
    <row r="94" spans="2:26">
      <c r="B94" s="615" t="s">
        <v>525</v>
      </c>
      <c r="C94" s="298"/>
      <c r="D94" s="298"/>
      <c r="E94" s="298"/>
      <c r="F94" s="298"/>
      <c r="G94" s="298"/>
      <c r="H94" s="298"/>
      <c r="I94" s="298"/>
      <c r="J94" s="298"/>
      <c r="K94" s="298"/>
      <c r="L94" s="298"/>
      <c r="M94" s="289"/>
      <c r="N94" s="289"/>
      <c r="O94" s="289"/>
      <c r="P94" s="289"/>
      <c r="Q94" s="289">
        <v>0.1</v>
      </c>
      <c r="R94" s="289">
        <f>Q94*2</f>
        <v>0.2</v>
      </c>
      <c r="S94" s="289">
        <f>R94*1.75</f>
        <v>0.35000000000000003</v>
      </c>
      <c r="T94" s="289">
        <f>S94*1.5</f>
        <v>0.52500000000000002</v>
      </c>
      <c r="U94" s="289">
        <f>T94*1.05</f>
        <v>0.55125000000000002</v>
      </c>
      <c r="V94" s="289">
        <f>U94*1.05</f>
        <v>0.57881250000000006</v>
      </c>
      <c r="W94" s="289"/>
      <c r="X94" s="289"/>
      <c r="Y94" s="289"/>
      <c r="Z94" s="289"/>
    </row>
    <row r="95" spans="2:26">
      <c r="B95" s="226" t="s">
        <v>165</v>
      </c>
      <c r="C95" s="224"/>
      <c r="D95" s="224"/>
      <c r="E95" s="224">
        <f t="shared" ref="E95:F95" si="128">E92+E93</f>
        <v>51.276436293915673</v>
      </c>
      <c r="F95" s="224">
        <f t="shared" si="128"/>
        <v>55.5022399532766</v>
      </c>
      <c r="G95" s="224">
        <f t="shared" ref="G95:P95" si="129">(G92+G93)*(1-G94)</f>
        <v>55.529304161988733</v>
      </c>
      <c r="H95" s="224">
        <f t="shared" si="129"/>
        <v>92.194932714724231</v>
      </c>
      <c r="I95" s="224">
        <f t="shared" si="129"/>
        <v>117.66873102385551</v>
      </c>
      <c r="J95" s="224">
        <f t="shared" si="129"/>
        <v>145.2193362187331</v>
      </c>
      <c r="K95" s="224">
        <f t="shared" si="129"/>
        <v>165.63682625451892</v>
      </c>
      <c r="L95" s="224">
        <f t="shared" si="129"/>
        <v>195.44685904215146</v>
      </c>
      <c r="M95" s="224">
        <f t="shared" si="129"/>
        <v>225.99735730493438</v>
      </c>
      <c r="N95" s="224">
        <f t="shared" si="129"/>
        <v>238.56400515211925</v>
      </c>
      <c r="O95" s="224">
        <f t="shared" si="129"/>
        <v>251.66939982949333</v>
      </c>
      <c r="P95" s="224">
        <f t="shared" si="129"/>
        <v>260.28545397889553</v>
      </c>
      <c r="Q95" s="224">
        <v>237.30471864097748</v>
      </c>
      <c r="R95" s="224">
        <f>(R92+R93)*(1-R94)</f>
        <v>223.18385696603664</v>
      </c>
      <c r="S95" s="224">
        <f>(S92+S93)*(1-S94)</f>
        <v>187.71780001797083</v>
      </c>
      <c r="T95" s="224">
        <f>(T92+T93)*(1-T94)</f>
        <v>142.0038272423364</v>
      </c>
      <c r="U95" s="224">
        <f>(U92+U93)*(1-U94)</f>
        <v>138.86212225315387</v>
      </c>
      <c r="V95" s="224">
        <f>(V92+V93)*(1-V94)</f>
        <v>134.89568110932288</v>
      </c>
    </row>
    <row r="96" spans="2:26">
      <c r="G96" s="612"/>
      <c r="H96" s="612"/>
      <c r="I96" s="612"/>
      <c r="J96" s="612"/>
      <c r="K96" s="612"/>
      <c r="L96" s="612"/>
      <c r="M96" s="612"/>
      <c r="N96" s="612"/>
      <c r="O96" s="612"/>
      <c r="P96" s="612"/>
      <c r="Q96" s="612"/>
      <c r="R96" s="612"/>
      <c r="S96" s="612"/>
      <c r="T96" s="612"/>
      <c r="U96" s="612"/>
      <c r="V96" s="612"/>
    </row>
    <row r="97" spans="2:22">
      <c r="B97" s="226" t="s">
        <v>168</v>
      </c>
      <c r="C97" s="224"/>
      <c r="D97" s="224"/>
      <c r="E97" s="224">
        <f t="shared" ref="E97:V97" si="130">E90+E95</f>
        <v>216.68429530654689</v>
      </c>
      <c r="F97" s="224">
        <f t="shared" si="130"/>
        <v>256.34136616617849</v>
      </c>
      <c r="G97" s="224">
        <f t="shared" si="130"/>
        <v>292.83402280296622</v>
      </c>
      <c r="H97" s="224">
        <f t="shared" si="130"/>
        <v>355.60902618536488</v>
      </c>
      <c r="I97" s="224">
        <f t="shared" si="130"/>
        <v>411.84055858349433</v>
      </c>
      <c r="J97" s="224">
        <f t="shared" si="130"/>
        <v>467.92897226036223</v>
      </c>
      <c r="K97" s="224">
        <f t="shared" si="130"/>
        <v>514.3459341587693</v>
      </c>
      <c r="L97" s="224">
        <f t="shared" si="130"/>
        <v>567.72659055101144</v>
      </c>
      <c r="M97" s="224">
        <f t="shared" si="130"/>
        <v>560.08040723396789</v>
      </c>
      <c r="N97" s="224">
        <f t="shared" si="130"/>
        <v>528.98975055469919</v>
      </c>
      <c r="O97" s="224">
        <f t="shared" si="130"/>
        <v>459.57020838429219</v>
      </c>
      <c r="P97" s="224">
        <f t="shared" si="130"/>
        <v>356.47790436240041</v>
      </c>
      <c r="Q97" s="299">
        <f t="shared" si="130"/>
        <v>318.42416095694171</v>
      </c>
      <c r="R97" s="224">
        <f t="shared" si="130"/>
        <v>287.12178664170074</v>
      </c>
      <c r="S97" s="299">
        <f t="shared" si="130"/>
        <v>243.00390969425015</v>
      </c>
      <c r="T97" s="224">
        <f t="shared" si="130"/>
        <v>187.66741021253893</v>
      </c>
      <c r="U97" s="299">
        <f t="shared" si="130"/>
        <v>173.85510403929851</v>
      </c>
      <c r="V97" s="224">
        <f t="shared" si="130"/>
        <v>158.09412228557093</v>
      </c>
    </row>
    <row r="98" spans="2:22">
      <c r="B98" s="615" t="s">
        <v>242</v>
      </c>
      <c r="C98" s="297"/>
      <c r="D98" s="297"/>
      <c r="E98" s="297"/>
      <c r="F98" s="297"/>
      <c r="G98" s="223"/>
      <c r="H98" s="223"/>
      <c r="I98" s="223"/>
      <c r="J98" s="223"/>
      <c r="K98" s="223"/>
      <c r="L98" s="223"/>
      <c r="M98" s="223"/>
      <c r="N98" s="223"/>
      <c r="O98" s="223"/>
      <c r="P98" s="223"/>
      <c r="Q98" s="223"/>
      <c r="R98" s="223"/>
      <c r="S98" s="223"/>
      <c r="T98" s="223"/>
      <c r="U98" s="223"/>
      <c r="V98" s="223"/>
    </row>
    <row r="99" spans="2:22">
      <c r="B99" s="270" t="s">
        <v>74</v>
      </c>
      <c r="D99" s="228"/>
      <c r="E99" s="228"/>
      <c r="F99" s="228">
        <f t="shared" ref="F99:Q99" si="131">F97/E97-1</f>
        <v>0.1830177438726146</v>
      </c>
      <c r="G99" s="228">
        <f t="shared" si="131"/>
        <v>0.14235960891747235</v>
      </c>
      <c r="H99" s="228">
        <f t="shared" si="131"/>
        <v>0.21437059390000224</v>
      </c>
      <c r="I99" s="228">
        <f t="shared" si="131"/>
        <v>0.15812740469871578</v>
      </c>
      <c r="J99" s="228">
        <f t="shared" si="131"/>
        <v>0.13618963093334302</v>
      </c>
      <c r="K99" s="228">
        <f t="shared" si="131"/>
        <v>9.919659745406828E-2</v>
      </c>
      <c r="L99" s="228">
        <f t="shared" si="131"/>
        <v>0.10378356830903712</v>
      </c>
      <c r="M99" s="228">
        <f t="shared" si="131"/>
        <v>-1.3468073266785896E-2</v>
      </c>
      <c r="N99" s="228">
        <f t="shared" si="131"/>
        <v>-5.5511059265247464E-2</v>
      </c>
      <c r="O99" s="228">
        <f t="shared" si="131"/>
        <v>-0.13123041060363383</v>
      </c>
      <c r="P99" s="228">
        <f t="shared" si="131"/>
        <v>-0.22432329629096859</v>
      </c>
      <c r="Q99" s="228">
        <f t="shared" si="131"/>
        <v>-0.10674923449609586</v>
      </c>
      <c r="R99" s="228">
        <f t="shared" ref="R99" si="132">R97/Q97-1</f>
        <v>-9.8304017575707059E-2</v>
      </c>
      <c r="S99" s="228">
        <f t="shared" ref="S99" si="133">S97/R97-1</f>
        <v>-0.15365562280547274</v>
      </c>
      <c r="T99" s="228">
        <f t="shared" ref="T99" si="134">T97/S97-1</f>
        <v>-0.22771855626247395</v>
      </c>
      <c r="U99" s="228">
        <f t="shared" ref="U99" si="135">U97/T97-1</f>
        <v>-7.3599918907590656E-2</v>
      </c>
      <c r="V99" s="228">
        <f t="shared" ref="V99" si="136">V97/U97-1</f>
        <v>-9.0655847240268206E-2</v>
      </c>
    </row>
    <row r="101" spans="2:22">
      <c r="B101" s="291" t="s">
        <v>222</v>
      </c>
    </row>
    <row r="102" spans="2:22">
      <c r="B102" s="290" t="s">
        <v>227</v>
      </c>
      <c r="C102" s="288"/>
      <c r="D102" s="288"/>
      <c r="E102" s="288"/>
      <c r="F102" s="288"/>
      <c r="G102" s="354"/>
      <c r="H102" s="354"/>
      <c r="I102" s="354"/>
      <c r="J102" s="354"/>
      <c r="K102" s="354"/>
      <c r="L102" s="354"/>
      <c r="M102" s="354"/>
      <c r="N102" s="354"/>
      <c r="O102" s="354"/>
      <c r="P102" s="354"/>
      <c r="Q102" s="354"/>
      <c r="R102" s="354"/>
      <c r="S102" s="354"/>
      <c r="T102" s="354"/>
      <c r="U102" s="354"/>
      <c r="V102" s="354"/>
    </row>
    <row r="103" spans="2:22">
      <c r="B103" s="225" t="s">
        <v>76</v>
      </c>
      <c r="C103" s="288"/>
      <c r="D103" s="288"/>
      <c r="E103" s="288"/>
      <c r="F103" s="288"/>
      <c r="G103" s="354">
        <f t="shared" ref="G103:V103" si="137">G18-G29</f>
        <v>806.76691944000004</v>
      </c>
      <c r="H103" s="354">
        <f t="shared" si="137"/>
        <v>815.64135555383973</v>
      </c>
      <c r="I103" s="354">
        <f t="shared" si="137"/>
        <v>824.6134104649318</v>
      </c>
      <c r="J103" s="354">
        <f t="shared" si="137"/>
        <v>833.68415798004594</v>
      </c>
      <c r="K103" s="354">
        <f t="shared" si="137"/>
        <v>842.85468371782645</v>
      </c>
      <c r="L103" s="354">
        <f t="shared" si="137"/>
        <v>852.12608523872245</v>
      </c>
      <c r="M103" s="354">
        <f t="shared" si="137"/>
        <v>861.49947217634849</v>
      </c>
      <c r="N103" s="354">
        <f t="shared" si="137"/>
        <v>870.97596637028823</v>
      </c>
      <c r="O103" s="354">
        <f t="shared" si="137"/>
        <v>880.55670200036116</v>
      </c>
      <c r="P103" s="354">
        <f t="shared" si="137"/>
        <v>890.2428257223653</v>
      </c>
      <c r="Q103" s="354">
        <f t="shared" si="137"/>
        <v>900.03549680531114</v>
      </c>
      <c r="R103" s="354">
        <f t="shared" si="137"/>
        <v>909.93588727016959</v>
      </c>
      <c r="S103" s="354">
        <f t="shared" si="137"/>
        <v>919.94518203014127</v>
      </c>
      <c r="T103" s="354">
        <f t="shared" si="137"/>
        <v>930.06457903247269</v>
      </c>
      <c r="U103" s="354">
        <f t="shared" si="137"/>
        <v>940.29528940182968</v>
      </c>
      <c r="V103" s="354">
        <f t="shared" si="137"/>
        <v>950.63853758524988</v>
      </c>
    </row>
    <row r="104" spans="2:22">
      <c r="B104" s="225" t="s">
        <v>229</v>
      </c>
      <c r="C104" s="288"/>
      <c r="D104" s="288"/>
      <c r="E104" s="288"/>
      <c r="F104" s="288"/>
      <c r="G104" s="354">
        <f t="shared" ref="G104:V104" si="138">G19-G30</f>
        <v>1613.5338388800001</v>
      </c>
      <c r="H104" s="354">
        <f t="shared" si="138"/>
        <v>1631.2827111076795</v>
      </c>
      <c r="I104" s="354">
        <f t="shared" si="138"/>
        <v>1649.2268209298636</v>
      </c>
      <c r="J104" s="354">
        <f t="shared" si="138"/>
        <v>1667.3683159600919</v>
      </c>
      <c r="K104" s="354">
        <f t="shared" si="138"/>
        <v>1685.7093674356529</v>
      </c>
      <c r="L104" s="354">
        <f t="shared" si="138"/>
        <v>1704.2521704774449</v>
      </c>
      <c r="M104" s="354">
        <f t="shared" si="138"/>
        <v>1722.998944352697</v>
      </c>
      <c r="N104" s="354">
        <f t="shared" si="138"/>
        <v>1741.9519327405765</v>
      </c>
      <c r="O104" s="354">
        <f t="shared" si="138"/>
        <v>1761.1134040007223</v>
      </c>
      <c r="P104" s="354">
        <f t="shared" si="138"/>
        <v>1780.4856514447306</v>
      </c>
      <c r="Q104" s="354">
        <f t="shared" si="138"/>
        <v>1800.0709936106223</v>
      </c>
      <c r="R104" s="354">
        <f t="shared" si="138"/>
        <v>1819.8717745403392</v>
      </c>
      <c r="S104" s="354">
        <f t="shared" si="138"/>
        <v>1839.8903640602825</v>
      </c>
      <c r="T104" s="354">
        <f t="shared" si="138"/>
        <v>1860.1291580649454</v>
      </c>
      <c r="U104" s="354">
        <f t="shared" si="138"/>
        <v>1880.5905788036594</v>
      </c>
      <c r="V104" s="354">
        <f t="shared" si="138"/>
        <v>1901.2770751704998</v>
      </c>
    </row>
    <row r="105" spans="2:22">
      <c r="B105" s="225" t="s">
        <v>162</v>
      </c>
      <c r="C105" s="288"/>
      <c r="D105" s="288"/>
      <c r="E105" s="288"/>
      <c r="F105" s="288"/>
      <c r="G105" s="354">
        <f t="shared" ref="G105:V105" si="139">G20-G31</f>
        <v>2985.0376019279997</v>
      </c>
      <c r="H105" s="354">
        <f t="shared" si="139"/>
        <v>3017.8730155492067</v>
      </c>
      <c r="I105" s="354">
        <f t="shared" si="139"/>
        <v>3051.0696187202475</v>
      </c>
      <c r="J105" s="354">
        <f t="shared" si="139"/>
        <v>3084.6313845261698</v>
      </c>
      <c r="K105" s="354">
        <f t="shared" si="139"/>
        <v>3118.5623297559578</v>
      </c>
      <c r="L105" s="354">
        <f t="shared" si="139"/>
        <v>3152.8665153832726</v>
      </c>
      <c r="M105" s="354">
        <f t="shared" si="139"/>
        <v>3187.548047052489</v>
      </c>
      <c r="N105" s="354">
        <f t="shared" si="139"/>
        <v>3222.6110755700665</v>
      </c>
      <c r="O105" s="354">
        <f t="shared" si="139"/>
        <v>3258.0597974013363</v>
      </c>
      <c r="P105" s="354">
        <f t="shared" si="139"/>
        <v>3293.8984551727508</v>
      </c>
      <c r="Q105" s="354">
        <f t="shared" si="139"/>
        <v>3330.1313381796508</v>
      </c>
      <c r="R105" s="354">
        <f t="shared" si="139"/>
        <v>3366.7627828996274</v>
      </c>
      <c r="S105" s="354">
        <f t="shared" si="139"/>
        <v>3403.7971735115225</v>
      </c>
      <c r="T105" s="354">
        <f t="shared" si="139"/>
        <v>3441.2389424201488</v>
      </c>
      <c r="U105" s="354">
        <f t="shared" si="139"/>
        <v>3479.09257078677</v>
      </c>
      <c r="V105" s="354">
        <f t="shared" si="139"/>
        <v>3517.3625890654243</v>
      </c>
    </row>
    <row r="106" spans="2:22">
      <c r="G106" s="609"/>
      <c r="H106" s="609"/>
      <c r="I106" s="609"/>
      <c r="J106" s="609"/>
      <c r="K106" s="609"/>
      <c r="L106" s="609"/>
      <c r="M106" s="609"/>
      <c r="N106" s="609"/>
      <c r="O106" s="609"/>
      <c r="P106" s="609"/>
      <c r="Q106" s="609"/>
      <c r="R106" s="609"/>
      <c r="S106" s="609"/>
      <c r="T106" s="609"/>
      <c r="U106" s="609"/>
      <c r="V106" s="609"/>
    </row>
    <row r="107" spans="2:22">
      <c r="B107" s="290" t="s">
        <v>228</v>
      </c>
      <c r="G107" s="609"/>
      <c r="H107" s="609"/>
      <c r="I107" s="609"/>
      <c r="J107" s="609"/>
      <c r="K107" s="609"/>
      <c r="L107" s="609"/>
      <c r="M107" s="609"/>
      <c r="N107" s="609"/>
      <c r="O107" s="609"/>
      <c r="P107" s="609"/>
      <c r="Q107" s="609"/>
      <c r="R107" s="609"/>
      <c r="S107" s="609"/>
      <c r="T107" s="609"/>
      <c r="U107" s="609"/>
      <c r="V107" s="609"/>
    </row>
    <row r="108" spans="2:22">
      <c r="B108" s="225" t="s">
        <v>76</v>
      </c>
      <c r="C108" s="288"/>
      <c r="D108" s="288"/>
      <c r="E108" s="288"/>
      <c r="F108" s="288"/>
      <c r="G108" s="354">
        <f t="shared" ref="G108:V108" si="140">G23-G34</f>
        <v>333.76747982399996</v>
      </c>
      <c r="H108" s="354">
        <f t="shared" si="140"/>
        <v>337.43892210206394</v>
      </c>
      <c r="I108" s="354">
        <f t="shared" si="140"/>
        <v>341.1507502451866</v>
      </c>
      <c r="J108" s="354">
        <f t="shared" si="140"/>
        <v>344.90340849788356</v>
      </c>
      <c r="K108" s="354">
        <f t="shared" si="140"/>
        <v>348.69734599136029</v>
      </c>
      <c r="L108" s="354">
        <f t="shared" si="140"/>
        <v>352.5330167972653</v>
      </c>
      <c r="M108" s="354">
        <f t="shared" si="140"/>
        <v>356.41087998203511</v>
      </c>
      <c r="N108" s="354">
        <f t="shared" si="140"/>
        <v>360.33139966183751</v>
      </c>
      <c r="O108" s="354">
        <f t="shared" si="140"/>
        <v>364.29504505811758</v>
      </c>
      <c r="P108" s="354">
        <f t="shared" si="140"/>
        <v>368.30229055375685</v>
      </c>
      <c r="Q108" s="354">
        <f t="shared" si="140"/>
        <v>372.35361574984825</v>
      </c>
      <c r="R108" s="354">
        <f t="shared" si="140"/>
        <v>376.44950552309649</v>
      </c>
      <c r="S108" s="354">
        <f t="shared" si="140"/>
        <v>380.59045008385056</v>
      </c>
      <c r="T108" s="354">
        <f t="shared" si="140"/>
        <v>384.77694503477289</v>
      </c>
      <c r="U108" s="354">
        <f t="shared" si="140"/>
        <v>389.00949143015532</v>
      </c>
      <c r="V108" s="354">
        <f t="shared" si="140"/>
        <v>393.28859583588701</v>
      </c>
    </row>
    <row r="109" spans="2:22">
      <c r="B109" s="225" t="s">
        <v>229</v>
      </c>
      <c r="C109" s="288"/>
      <c r="D109" s="288"/>
      <c r="E109" s="288"/>
      <c r="F109" s="288"/>
      <c r="G109" s="354">
        <f t="shared" ref="G109:V109" si="141">G24-G35</f>
        <v>667.53495964799993</v>
      </c>
      <c r="H109" s="354">
        <f t="shared" si="141"/>
        <v>674.87784420412788</v>
      </c>
      <c r="I109" s="354">
        <f t="shared" si="141"/>
        <v>682.3015004903732</v>
      </c>
      <c r="J109" s="354">
        <f t="shared" si="141"/>
        <v>689.80681699576712</v>
      </c>
      <c r="K109" s="354">
        <f t="shared" si="141"/>
        <v>697.39469198272059</v>
      </c>
      <c r="L109" s="354">
        <f t="shared" si="141"/>
        <v>705.06603359453061</v>
      </c>
      <c r="M109" s="354">
        <f t="shared" si="141"/>
        <v>712.82175996407022</v>
      </c>
      <c r="N109" s="354">
        <f t="shared" si="141"/>
        <v>720.66279932367502</v>
      </c>
      <c r="O109" s="354">
        <f t="shared" si="141"/>
        <v>728.59009011623516</v>
      </c>
      <c r="P109" s="354">
        <f t="shared" si="141"/>
        <v>736.6045811075137</v>
      </c>
      <c r="Q109" s="354">
        <f t="shared" si="141"/>
        <v>744.70723149969649</v>
      </c>
      <c r="R109" s="354">
        <f t="shared" si="141"/>
        <v>752.89901104619298</v>
      </c>
      <c r="S109" s="354">
        <f t="shared" si="141"/>
        <v>761.18090016770111</v>
      </c>
      <c r="T109" s="354">
        <f t="shared" si="141"/>
        <v>769.55389006954579</v>
      </c>
      <c r="U109" s="354">
        <f t="shared" si="141"/>
        <v>778.01898286031064</v>
      </c>
      <c r="V109" s="354">
        <f t="shared" si="141"/>
        <v>786.57719167177402</v>
      </c>
    </row>
    <row r="110" spans="2:22">
      <c r="B110" s="225" t="s">
        <v>162</v>
      </c>
      <c r="C110" s="288"/>
      <c r="D110" s="288"/>
      <c r="E110" s="288"/>
      <c r="F110" s="288"/>
      <c r="G110" s="354">
        <f t="shared" ref="G110:V110" si="142">G25-G36</f>
        <v>1234.9396753487997</v>
      </c>
      <c r="H110" s="354">
        <f t="shared" si="142"/>
        <v>1248.5240117776364</v>
      </c>
      <c r="I110" s="354">
        <f t="shared" si="142"/>
        <v>1262.2577759071905</v>
      </c>
      <c r="J110" s="354">
        <f t="shared" si="142"/>
        <v>1276.1426114421693</v>
      </c>
      <c r="K110" s="354">
        <f t="shared" si="142"/>
        <v>1290.1801801680331</v>
      </c>
      <c r="L110" s="354">
        <f t="shared" si="142"/>
        <v>1304.3721621498814</v>
      </c>
      <c r="M110" s="354">
        <f t="shared" si="142"/>
        <v>1318.7202559335296</v>
      </c>
      <c r="N110" s="354">
        <f t="shared" si="142"/>
        <v>1333.2261787487985</v>
      </c>
      <c r="O110" s="354">
        <f t="shared" si="142"/>
        <v>1347.8916667150349</v>
      </c>
      <c r="P110" s="354">
        <f t="shared" si="142"/>
        <v>1362.7184750489002</v>
      </c>
      <c r="Q110" s="354">
        <f t="shared" si="142"/>
        <v>1377.7083782744382</v>
      </c>
      <c r="R110" s="354">
        <f t="shared" si="142"/>
        <v>1392.8631704354571</v>
      </c>
      <c r="S110" s="354">
        <f t="shared" si="142"/>
        <v>1408.1846653102471</v>
      </c>
      <c r="T110" s="354">
        <f t="shared" si="142"/>
        <v>1423.6746966286594</v>
      </c>
      <c r="U110" s="354">
        <f t="shared" si="142"/>
        <v>1439.3351182915744</v>
      </c>
      <c r="V110" s="354">
        <f t="shared" si="142"/>
        <v>1455.1678045927817</v>
      </c>
    </row>
    <row r="111" spans="2:22">
      <c r="G111" s="609"/>
      <c r="H111" s="609"/>
      <c r="I111" s="609"/>
      <c r="J111" s="609"/>
      <c r="K111" s="609"/>
      <c r="L111" s="609"/>
      <c r="M111" s="609"/>
      <c r="N111" s="609"/>
      <c r="O111" s="609"/>
      <c r="P111" s="609"/>
      <c r="Q111" s="609"/>
      <c r="R111" s="609"/>
      <c r="S111" s="609"/>
      <c r="T111" s="609"/>
      <c r="U111" s="609"/>
      <c r="V111" s="609"/>
    </row>
    <row r="112" spans="2:22">
      <c r="B112" s="291" t="s">
        <v>203</v>
      </c>
      <c r="G112" s="609"/>
      <c r="H112" s="609"/>
      <c r="I112" s="609"/>
      <c r="J112" s="609"/>
      <c r="K112" s="609"/>
      <c r="L112" s="609"/>
      <c r="M112" s="609"/>
      <c r="N112" s="609"/>
      <c r="O112" s="609"/>
      <c r="P112" s="609"/>
      <c r="Q112" s="609"/>
      <c r="R112" s="609"/>
      <c r="S112" s="609"/>
      <c r="T112" s="609"/>
      <c r="U112" s="609"/>
      <c r="V112" s="609"/>
    </row>
    <row r="113" spans="2:22">
      <c r="B113" s="290" t="s">
        <v>227</v>
      </c>
      <c r="C113" s="229">
        <v>2011</v>
      </c>
      <c r="D113" s="229">
        <v>2012</v>
      </c>
      <c r="E113" s="229">
        <v>2013</v>
      </c>
      <c r="F113" s="229">
        <v>2014</v>
      </c>
      <c r="G113" s="229">
        <v>2015</v>
      </c>
      <c r="H113" s="229">
        <v>2016</v>
      </c>
      <c r="I113" s="229">
        <v>2017</v>
      </c>
      <c r="J113" s="229">
        <v>2018</v>
      </c>
      <c r="K113" s="229">
        <v>2019</v>
      </c>
      <c r="L113" s="229">
        <v>2020</v>
      </c>
      <c r="M113" s="229">
        <v>2021</v>
      </c>
      <c r="N113" s="229">
        <v>2022</v>
      </c>
      <c r="O113" s="229">
        <v>2023</v>
      </c>
      <c r="P113" s="229">
        <v>2024</v>
      </c>
      <c r="Q113" s="229">
        <v>2025</v>
      </c>
      <c r="R113" s="229">
        <v>2026</v>
      </c>
      <c r="S113" s="229">
        <v>2027</v>
      </c>
      <c r="T113" s="229">
        <v>2028</v>
      </c>
      <c r="U113" s="229">
        <v>2029</v>
      </c>
      <c r="V113" s="229">
        <v>2030</v>
      </c>
    </row>
    <row r="114" spans="2:22" hidden="1" outlineLevel="1">
      <c r="B114" s="255" t="s">
        <v>108</v>
      </c>
      <c r="C114" s="292"/>
      <c r="D114" s="293"/>
      <c r="E114" s="293"/>
      <c r="F114" s="293"/>
      <c r="G114" s="293"/>
      <c r="H114" s="292"/>
      <c r="I114" s="292"/>
      <c r="J114" s="292">
        <v>0</v>
      </c>
      <c r="K114" s="292">
        <v>0</v>
      </c>
      <c r="L114" s="292">
        <v>0</v>
      </c>
      <c r="M114" s="292">
        <v>0</v>
      </c>
      <c r="N114" s="292">
        <v>0</v>
      </c>
      <c r="O114" s="292">
        <v>0</v>
      </c>
      <c r="P114" s="292">
        <v>0</v>
      </c>
      <c r="Q114" s="292">
        <v>0</v>
      </c>
      <c r="R114" s="292">
        <v>0</v>
      </c>
      <c r="S114" s="292">
        <v>0</v>
      </c>
      <c r="T114" s="292">
        <v>0</v>
      </c>
      <c r="U114" s="292">
        <v>0</v>
      </c>
      <c r="V114" s="292">
        <v>0</v>
      </c>
    </row>
    <row r="115" spans="2:22" hidden="1" outlineLevel="1">
      <c r="B115" s="255" t="s">
        <v>109</v>
      </c>
      <c r="C115" s="292"/>
      <c r="D115" s="292"/>
      <c r="E115" s="293"/>
      <c r="F115" s="293"/>
      <c r="G115" s="292"/>
      <c r="H115" s="292"/>
      <c r="I115" s="292"/>
      <c r="J115" s="292">
        <v>2.5000000000000001E-2</v>
      </c>
      <c r="K115" s="292">
        <f>J115*2</f>
        <v>0.05</v>
      </c>
      <c r="L115" s="292">
        <f>K115*1.75</f>
        <v>8.7500000000000008E-2</v>
      </c>
      <c r="M115" s="292">
        <f>L115*1.5</f>
        <v>0.13125000000000001</v>
      </c>
      <c r="N115" s="292">
        <f>M115*1.1</f>
        <v>0.14437500000000003</v>
      </c>
      <c r="O115" s="292">
        <f t="shared" ref="O115:V115" si="143">N115*1.05</f>
        <v>0.15159375000000003</v>
      </c>
      <c r="P115" s="292">
        <f t="shared" si="143"/>
        <v>0.15917343750000004</v>
      </c>
      <c r="Q115" s="292">
        <f t="shared" si="143"/>
        <v>0.16713210937500006</v>
      </c>
      <c r="R115" s="292">
        <f t="shared" si="143"/>
        <v>0.17548871484375006</v>
      </c>
      <c r="S115" s="292">
        <f t="shared" si="143"/>
        <v>0.18426315058593756</v>
      </c>
      <c r="T115" s="292">
        <f t="shared" si="143"/>
        <v>0.19347630811523445</v>
      </c>
      <c r="U115" s="292">
        <f t="shared" si="143"/>
        <v>0.20315012352099618</v>
      </c>
      <c r="V115" s="292">
        <f t="shared" si="143"/>
        <v>0.213307629697046</v>
      </c>
    </row>
    <row r="116" spans="2:22" hidden="1" outlineLevel="1">
      <c r="B116" s="255" t="s">
        <v>166</v>
      </c>
      <c r="C116" s="292"/>
      <c r="D116" s="293"/>
      <c r="E116" s="293"/>
      <c r="F116" s="293"/>
      <c r="G116" s="293"/>
      <c r="H116" s="292"/>
      <c r="I116" s="292"/>
      <c r="J116" s="292">
        <v>0</v>
      </c>
      <c r="K116" s="292">
        <v>0</v>
      </c>
      <c r="L116" s="292">
        <v>0</v>
      </c>
      <c r="M116" s="292">
        <v>0</v>
      </c>
      <c r="N116" s="292">
        <v>0</v>
      </c>
      <c r="O116" s="292">
        <v>0</v>
      </c>
      <c r="P116" s="292">
        <v>0</v>
      </c>
      <c r="Q116" s="292">
        <v>0</v>
      </c>
      <c r="R116" s="292">
        <v>0</v>
      </c>
      <c r="S116" s="292">
        <v>0</v>
      </c>
      <c r="T116" s="292">
        <v>0</v>
      </c>
      <c r="U116" s="292">
        <v>0</v>
      </c>
      <c r="V116" s="292">
        <v>0</v>
      </c>
    </row>
    <row r="117" spans="2:22" s="291" customFormat="1" ht="12" customHeight="1" collapsed="1">
      <c r="B117" s="294" t="s">
        <v>76</v>
      </c>
      <c r="C117" s="295"/>
      <c r="D117" s="295"/>
      <c r="E117" s="295"/>
      <c r="F117" s="295"/>
      <c r="G117" s="228"/>
      <c r="H117" s="228"/>
      <c r="I117" s="228"/>
      <c r="J117" s="228">
        <f t="shared" ref="J117:Q117" si="144">CHOOSE($G$2,J114,J115,J116)</f>
        <v>2.5000000000000001E-2</v>
      </c>
      <c r="K117" s="228">
        <f t="shared" si="144"/>
        <v>0.05</v>
      </c>
      <c r="L117" s="228">
        <f t="shared" si="144"/>
        <v>8.7500000000000008E-2</v>
      </c>
      <c r="M117" s="228">
        <f t="shared" si="144"/>
        <v>0.13125000000000001</v>
      </c>
      <c r="N117" s="228">
        <f t="shared" si="144"/>
        <v>0.14437500000000003</v>
      </c>
      <c r="O117" s="228">
        <f t="shared" si="144"/>
        <v>0.15159375000000003</v>
      </c>
      <c r="P117" s="228">
        <f t="shared" si="144"/>
        <v>0.15917343750000004</v>
      </c>
      <c r="Q117" s="228">
        <f t="shared" si="144"/>
        <v>0.16713210937500006</v>
      </c>
      <c r="R117" s="228">
        <f t="shared" ref="R117:V117" si="145">CHOOSE($G$2,R114,R115,R116)</f>
        <v>0.17548871484375006</v>
      </c>
      <c r="S117" s="228">
        <f t="shared" si="145"/>
        <v>0.18426315058593756</v>
      </c>
      <c r="T117" s="228">
        <f t="shared" si="145"/>
        <v>0.19347630811523445</v>
      </c>
      <c r="U117" s="228">
        <f t="shared" si="145"/>
        <v>0.20315012352099618</v>
      </c>
      <c r="V117" s="228">
        <f t="shared" si="145"/>
        <v>0.213307629697046</v>
      </c>
    </row>
    <row r="118" spans="2:22" ht="12" hidden="1" customHeight="1" outlineLevel="1">
      <c r="B118" s="255" t="s">
        <v>108</v>
      </c>
      <c r="C118" s="292"/>
      <c r="D118" s="293"/>
      <c r="E118" s="293"/>
      <c r="F118" s="293"/>
      <c r="G118" s="293"/>
      <c r="H118" s="293"/>
      <c r="I118" s="293"/>
      <c r="J118" s="293">
        <f t="shared" ref="J118:Q118" si="146">J114</f>
        <v>0</v>
      </c>
      <c r="K118" s="293">
        <f t="shared" si="146"/>
        <v>0</v>
      </c>
      <c r="L118" s="293">
        <f t="shared" si="146"/>
        <v>0</v>
      </c>
      <c r="M118" s="293">
        <f t="shared" si="146"/>
        <v>0</v>
      </c>
      <c r="N118" s="293">
        <f t="shared" si="146"/>
        <v>0</v>
      </c>
      <c r="O118" s="293">
        <f t="shared" si="146"/>
        <v>0</v>
      </c>
      <c r="P118" s="293">
        <f t="shared" si="146"/>
        <v>0</v>
      </c>
      <c r="Q118" s="293">
        <f t="shared" si="146"/>
        <v>0</v>
      </c>
      <c r="R118" s="293">
        <f t="shared" ref="R118:V118" si="147">R114</f>
        <v>0</v>
      </c>
      <c r="S118" s="293">
        <f t="shared" si="147"/>
        <v>0</v>
      </c>
      <c r="T118" s="293">
        <f t="shared" si="147"/>
        <v>0</v>
      </c>
      <c r="U118" s="293">
        <f t="shared" si="147"/>
        <v>0</v>
      </c>
      <c r="V118" s="293">
        <f t="shared" si="147"/>
        <v>0</v>
      </c>
    </row>
    <row r="119" spans="2:22" ht="12" hidden="1" customHeight="1" outlineLevel="1">
      <c r="B119" s="255" t="s">
        <v>109</v>
      </c>
      <c r="C119" s="292"/>
      <c r="D119" s="293"/>
      <c r="E119" s="293"/>
      <c r="F119" s="293"/>
      <c r="G119" s="293"/>
      <c r="H119" s="293"/>
      <c r="I119" s="293"/>
      <c r="J119" s="293">
        <f t="shared" ref="J119:Q119" si="148">J115</f>
        <v>2.5000000000000001E-2</v>
      </c>
      <c r="K119" s="293">
        <f t="shared" si="148"/>
        <v>0.05</v>
      </c>
      <c r="L119" s="293">
        <f t="shared" si="148"/>
        <v>8.7500000000000008E-2</v>
      </c>
      <c r="M119" s="293">
        <f t="shared" si="148"/>
        <v>0.13125000000000001</v>
      </c>
      <c r="N119" s="293">
        <f t="shared" si="148"/>
        <v>0.14437500000000003</v>
      </c>
      <c r="O119" s="293">
        <f t="shared" si="148"/>
        <v>0.15159375000000003</v>
      </c>
      <c r="P119" s="293">
        <f t="shared" si="148"/>
        <v>0.15917343750000004</v>
      </c>
      <c r="Q119" s="293">
        <f t="shared" si="148"/>
        <v>0.16713210937500006</v>
      </c>
      <c r="R119" s="293">
        <f t="shared" ref="R119:V119" si="149">R115</f>
        <v>0.17548871484375006</v>
      </c>
      <c r="S119" s="293">
        <f t="shared" si="149"/>
        <v>0.18426315058593756</v>
      </c>
      <c r="T119" s="293">
        <f t="shared" si="149"/>
        <v>0.19347630811523445</v>
      </c>
      <c r="U119" s="293">
        <f t="shared" si="149"/>
        <v>0.20315012352099618</v>
      </c>
      <c r="V119" s="293">
        <f t="shared" si="149"/>
        <v>0.213307629697046</v>
      </c>
    </row>
    <row r="120" spans="2:22" ht="12" hidden="1" customHeight="1" outlineLevel="1">
      <c r="B120" s="255" t="s">
        <v>166</v>
      </c>
      <c r="C120" s="292"/>
      <c r="D120" s="293"/>
      <c r="E120" s="293"/>
      <c r="F120" s="293"/>
      <c r="G120" s="293"/>
      <c r="H120" s="293"/>
      <c r="I120" s="293"/>
      <c r="J120" s="293">
        <f t="shared" ref="J120:Q120" si="150">J116</f>
        <v>0</v>
      </c>
      <c r="K120" s="293">
        <f t="shared" si="150"/>
        <v>0</v>
      </c>
      <c r="L120" s="293">
        <f t="shared" si="150"/>
        <v>0</v>
      </c>
      <c r="M120" s="293">
        <f t="shared" si="150"/>
        <v>0</v>
      </c>
      <c r="N120" s="293">
        <f t="shared" si="150"/>
        <v>0</v>
      </c>
      <c r="O120" s="293">
        <f t="shared" si="150"/>
        <v>0</v>
      </c>
      <c r="P120" s="293">
        <f t="shared" si="150"/>
        <v>0</v>
      </c>
      <c r="Q120" s="293">
        <f t="shared" si="150"/>
        <v>0</v>
      </c>
      <c r="R120" s="293">
        <f t="shared" ref="R120:V120" si="151">R116</f>
        <v>0</v>
      </c>
      <c r="S120" s="293">
        <f t="shared" si="151"/>
        <v>0</v>
      </c>
      <c r="T120" s="293">
        <f t="shared" si="151"/>
        <v>0</v>
      </c>
      <c r="U120" s="293">
        <f t="shared" si="151"/>
        <v>0</v>
      </c>
      <c r="V120" s="293">
        <f t="shared" si="151"/>
        <v>0</v>
      </c>
    </row>
    <row r="121" spans="2:22" s="291" customFormat="1" ht="12" customHeight="1" collapsed="1">
      <c r="B121" s="294" t="s">
        <v>229</v>
      </c>
      <c r="C121" s="295"/>
      <c r="D121" s="295"/>
      <c r="E121" s="295"/>
      <c r="F121" s="295"/>
      <c r="G121" s="228"/>
      <c r="H121" s="228"/>
      <c r="I121" s="228"/>
      <c r="J121" s="228">
        <f t="shared" ref="J121:Q121" si="152">CHOOSE($G$2,J118,J119,J120)</f>
        <v>2.5000000000000001E-2</v>
      </c>
      <c r="K121" s="228">
        <f t="shared" si="152"/>
        <v>0.05</v>
      </c>
      <c r="L121" s="228">
        <f t="shared" si="152"/>
        <v>8.7500000000000008E-2</v>
      </c>
      <c r="M121" s="228">
        <f t="shared" si="152"/>
        <v>0.13125000000000001</v>
      </c>
      <c r="N121" s="228">
        <f t="shared" si="152"/>
        <v>0.14437500000000003</v>
      </c>
      <c r="O121" s="228">
        <f t="shared" si="152"/>
        <v>0.15159375000000003</v>
      </c>
      <c r="P121" s="228">
        <f t="shared" si="152"/>
        <v>0.15917343750000004</v>
      </c>
      <c r="Q121" s="228">
        <f t="shared" si="152"/>
        <v>0.16713210937500006</v>
      </c>
      <c r="R121" s="228">
        <f t="shared" ref="R121:V121" si="153">CHOOSE($G$2,R118,R119,R120)</f>
        <v>0.17548871484375006</v>
      </c>
      <c r="S121" s="228">
        <f t="shared" si="153"/>
        <v>0.18426315058593756</v>
      </c>
      <c r="T121" s="228">
        <f t="shared" si="153"/>
        <v>0.19347630811523445</v>
      </c>
      <c r="U121" s="228">
        <f t="shared" si="153"/>
        <v>0.20315012352099618</v>
      </c>
      <c r="V121" s="228">
        <f t="shared" si="153"/>
        <v>0.213307629697046</v>
      </c>
    </row>
    <row r="122" spans="2:22" ht="12" hidden="1" customHeight="1" outlineLevel="1">
      <c r="B122" s="255" t="s">
        <v>108</v>
      </c>
      <c r="C122" s="292"/>
      <c r="D122" s="293"/>
      <c r="E122" s="293"/>
      <c r="F122" s="293"/>
      <c r="G122" s="293"/>
      <c r="H122" s="293"/>
      <c r="I122" s="293"/>
      <c r="J122" s="293">
        <f t="shared" ref="J122:Q122" si="154">J118*0.25</f>
        <v>0</v>
      </c>
      <c r="K122" s="293">
        <f t="shared" si="154"/>
        <v>0</v>
      </c>
      <c r="L122" s="293">
        <f t="shared" si="154"/>
        <v>0</v>
      </c>
      <c r="M122" s="293">
        <f t="shared" si="154"/>
        <v>0</v>
      </c>
      <c r="N122" s="293">
        <f t="shared" si="154"/>
        <v>0</v>
      </c>
      <c r="O122" s="293">
        <f t="shared" si="154"/>
        <v>0</v>
      </c>
      <c r="P122" s="293">
        <f t="shared" si="154"/>
        <v>0</v>
      </c>
      <c r="Q122" s="293">
        <f t="shared" si="154"/>
        <v>0</v>
      </c>
      <c r="R122" s="293">
        <f t="shared" ref="R122:V122" si="155">R118*0.25</f>
        <v>0</v>
      </c>
      <c r="S122" s="293">
        <f t="shared" si="155"/>
        <v>0</v>
      </c>
      <c r="T122" s="293">
        <f t="shared" si="155"/>
        <v>0</v>
      </c>
      <c r="U122" s="293">
        <f t="shared" si="155"/>
        <v>0</v>
      </c>
      <c r="V122" s="293">
        <f t="shared" si="155"/>
        <v>0</v>
      </c>
    </row>
    <row r="123" spans="2:22" ht="12" hidden="1" customHeight="1" outlineLevel="1">
      <c r="B123" s="255" t="s">
        <v>109</v>
      </c>
      <c r="C123" s="292"/>
      <c r="D123" s="293"/>
      <c r="E123" s="293"/>
      <c r="F123" s="293"/>
      <c r="G123" s="293"/>
      <c r="H123" s="293"/>
      <c r="I123" s="293"/>
      <c r="J123" s="293">
        <f t="shared" ref="J123:Q123" si="156">J119*0.25</f>
        <v>6.2500000000000003E-3</v>
      </c>
      <c r="K123" s="293">
        <f t="shared" si="156"/>
        <v>1.2500000000000001E-2</v>
      </c>
      <c r="L123" s="293">
        <f t="shared" si="156"/>
        <v>2.1875000000000002E-2</v>
      </c>
      <c r="M123" s="293">
        <f t="shared" si="156"/>
        <v>3.2812500000000001E-2</v>
      </c>
      <c r="N123" s="293">
        <f t="shared" si="156"/>
        <v>3.6093750000000008E-2</v>
      </c>
      <c r="O123" s="293">
        <f t="shared" si="156"/>
        <v>3.7898437500000007E-2</v>
      </c>
      <c r="P123" s="293">
        <f t="shared" si="156"/>
        <v>3.9793359375000011E-2</v>
      </c>
      <c r="Q123" s="293">
        <f t="shared" si="156"/>
        <v>4.1783027343750015E-2</v>
      </c>
      <c r="R123" s="293">
        <f t="shared" ref="R123:V123" si="157">R119*0.25</f>
        <v>4.3872178710937515E-2</v>
      </c>
      <c r="S123" s="293">
        <f t="shared" si="157"/>
        <v>4.6065787646484391E-2</v>
      </c>
      <c r="T123" s="293">
        <f t="shared" si="157"/>
        <v>4.8369077028808612E-2</v>
      </c>
      <c r="U123" s="293">
        <f t="shared" si="157"/>
        <v>5.0787530880249045E-2</v>
      </c>
      <c r="V123" s="293">
        <f t="shared" si="157"/>
        <v>5.3326907424261501E-2</v>
      </c>
    </row>
    <row r="124" spans="2:22" ht="12" hidden="1" customHeight="1" outlineLevel="1">
      <c r="B124" s="255" t="s">
        <v>166</v>
      </c>
      <c r="C124" s="292"/>
      <c r="D124" s="293"/>
      <c r="E124" s="293"/>
      <c r="F124" s="293"/>
      <c r="G124" s="293"/>
      <c r="H124" s="293"/>
      <c r="I124" s="293"/>
      <c r="J124" s="293">
        <f t="shared" ref="J124:Q124" si="158">J120*0.25</f>
        <v>0</v>
      </c>
      <c r="K124" s="293">
        <f t="shared" si="158"/>
        <v>0</v>
      </c>
      <c r="L124" s="293">
        <f t="shared" si="158"/>
        <v>0</v>
      </c>
      <c r="M124" s="293">
        <f t="shared" si="158"/>
        <v>0</v>
      </c>
      <c r="N124" s="293">
        <f t="shared" si="158"/>
        <v>0</v>
      </c>
      <c r="O124" s="293">
        <f t="shared" si="158"/>
        <v>0</v>
      </c>
      <c r="P124" s="293">
        <f t="shared" si="158"/>
        <v>0</v>
      </c>
      <c r="Q124" s="293">
        <f t="shared" si="158"/>
        <v>0</v>
      </c>
      <c r="R124" s="293">
        <f t="shared" ref="R124:V124" si="159">R120*0.25</f>
        <v>0</v>
      </c>
      <c r="S124" s="293">
        <f t="shared" si="159"/>
        <v>0</v>
      </c>
      <c r="T124" s="293">
        <f t="shared" si="159"/>
        <v>0</v>
      </c>
      <c r="U124" s="293">
        <f t="shared" si="159"/>
        <v>0</v>
      </c>
      <c r="V124" s="293">
        <f t="shared" si="159"/>
        <v>0</v>
      </c>
    </row>
    <row r="125" spans="2:22" s="291" customFormat="1" collapsed="1">
      <c r="B125" s="294" t="s">
        <v>162</v>
      </c>
      <c r="C125" s="295"/>
      <c r="D125" s="295"/>
      <c r="E125" s="295"/>
      <c r="F125" s="295"/>
      <c r="G125" s="228"/>
      <c r="H125" s="228"/>
      <c r="I125" s="228"/>
      <c r="J125" s="228">
        <f t="shared" ref="J125:Q125" si="160">CHOOSE($G$2,J122,J123,J124)</f>
        <v>6.2500000000000003E-3</v>
      </c>
      <c r="K125" s="228">
        <f t="shared" si="160"/>
        <v>1.2500000000000001E-2</v>
      </c>
      <c r="L125" s="228">
        <f t="shared" si="160"/>
        <v>2.1875000000000002E-2</v>
      </c>
      <c r="M125" s="228">
        <f t="shared" si="160"/>
        <v>3.2812500000000001E-2</v>
      </c>
      <c r="N125" s="228">
        <f t="shared" si="160"/>
        <v>3.6093750000000008E-2</v>
      </c>
      <c r="O125" s="228">
        <f t="shared" si="160"/>
        <v>3.7898437500000007E-2</v>
      </c>
      <c r="P125" s="228">
        <f t="shared" si="160"/>
        <v>3.9793359375000011E-2</v>
      </c>
      <c r="Q125" s="228">
        <f t="shared" si="160"/>
        <v>4.1783027343750015E-2</v>
      </c>
      <c r="R125" s="228">
        <f t="shared" ref="R125:V125" si="161">CHOOSE($G$2,R122,R123,R124)</f>
        <v>4.3872178710937515E-2</v>
      </c>
      <c r="S125" s="228">
        <f t="shared" si="161"/>
        <v>4.6065787646484391E-2</v>
      </c>
      <c r="T125" s="228">
        <f t="shared" si="161"/>
        <v>4.8369077028808612E-2</v>
      </c>
      <c r="U125" s="228">
        <f t="shared" si="161"/>
        <v>5.0787530880249045E-2</v>
      </c>
      <c r="V125" s="228">
        <f t="shared" si="161"/>
        <v>5.3326907424261501E-2</v>
      </c>
    </row>
    <row r="126" spans="2:22" hidden="1" outlineLevel="1"/>
    <row r="127" spans="2:22" hidden="1" outlineLevel="1">
      <c r="B127" s="290" t="s">
        <v>230</v>
      </c>
    </row>
    <row r="128" spans="2:22" hidden="1" outlineLevel="2">
      <c r="B128" s="255" t="s">
        <v>108</v>
      </c>
      <c r="C128" s="292"/>
      <c r="D128" s="293"/>
      <c r="E128" s="293"/>
      <c r="F128" s="293"/>
      <c r="G128" s="293"/>
      <c r="H128" s="293"/>
      <c r="I128" s="293"/>
      <c r="J128" s="293"/>
      <c r="K128" s="293"/>
      <c r="L128" s="293"/>
      <c r="M128" s="293"/>
      <c r="N128" s="293"/>
      <c r="O128" s="293"/>
      <c r="P128" s="293"/>
      <c r="Q128" s="293"/>
      <c r="R128" s="293"/>
      <c r="S128" s="293"/>
      <c r="T128" s="293"/>
      <c r="U128" s="293"/>
      <c r="V128" s="293"/>
    </row>
    <row r="129" spans="2:22" hidden="1" outlineLevel="2">
      <c r="B129" s="255" t="s">
        <v>109</v>
      </c>
      <c r="C129" s="292"/>
      <c r="D129" s="293"/>
      <c r="E129" s="293"/>
      <c r="F129" s="293"/>
      <c r="G129" s="293"/>
      <c r="H129" s="293"/>
      <c r="I129" s="293"/>
      <c r="J129" s="293"/>
      <c r="K129" s="293"/>
      <c r="L129" s="293"/>
      <c r="M129" s="293"/>
      <c r="N129" s="293"/>
      <c r="O129" s="293"/>
      <c r="P129" s="293"/>
      <c r="Q129" s="293"/>
      <c r="R129" s="293"/>
      <c r="S129" s="293"/>
      <c r="T129" s="293"/>
      <c r="U129" s="293"/>
      <c r="V129" s="293"/>
    </row>
    <row r="130" spans="2:22" hidden="1" outlineLevel="2">
      <c r="B130" s="255" t="s">
        <v>166</v>
      </c>
      <c r="C130" s="292"/>
      <c r="D130" s="293"/>
      <c r="E130" s="293"/>
      <c r="F130" s="293"/>
      <c r="G130" s="293"/>
      <c r="H130" s="293"/>
      <c r="I130" s="293"/>
      <c r="J130" s="293"/>
      <c r="K130" s="293"/>
      <c r="L130" s="293"/>
      <c r="M130" s="293"/>
      <c r="N130" s="293"/>
      <c r="O130" s="293"/>
      <c r="P130" s="293"/>
      <c r="Q130" s="293"/>
      <c r="R130" s="293"/>
      <c r="S130" s="293"/>
      <c r="T130" s="293"/>
      <c r="U130" s="293"/>
      <c r="V130" s="293"/>
    </row>
    <row r="131" spans="2:22" s="291" customFormat="1" hidden="1" outlineLevel="1" collapsed="1">
      <c r="B131" s="294" t="s">
        <v>76</v>
      </c>
      <c r="C131" s="295"/>
      <c r="D131" s="295"/>
      <c r="E131" s="295"/>
      <c r="F131" s="295"/>
      <c r="G131" s="228"/>
      <c r="H131" s="228"/>
      <c r="I131" s="228"/>
      <c r="J131" s="228">
        <f t="shared" ref="J131:Q131" si="162">CHOOSE($G$2,J128,J129,J130)</f>
        <v>0</v>
      </c>
      <c r="K131" s="228">
        <f t="shared" si="162"/>
        <v>0</v>
      </c>
      <c r="L131" s="228">
        <f t="shared" si="162"/>
        <v>0</v>
      </c>
      <c r="M131" s="228">
        <f t="shared" si="162"/>
        <v>0</v>
      </c>
      <c r="N131" s="228">
        <f t="shared" si="162"/>
        <v>0</v>
      </c>
      <c r="O131" s="228">
        <f t="shared" si="162"/>
        <v>0</v>
      </c>
      <c r="P131" s="228">
        <f t="shared" si="162"/>
        <v>0</v>
      </c>
      <c r="Q131" s="228">
        <f t="shared" si="162"/>
        <v>0</v>
      </c>
      <c r="R131" s="228">
        <f t="shared" ref="R131:V131" si="163">CHOOSE($G$2,R128,R129,R130)</f>
        <v>0</v>
      </c>
      <c r="S131" s="228">
        <f t="shared" si="163"/>
        <v>0</v>
      </c>
      <c r="T131" s="228">
        <f t="shared" si="163"/>
        <v>0</v>
      </c>
      <c r="U131" s="228">
        <f t="shared" si="163"/>
        <v>0</v>
      </c>
      <c r="V131" s="228">
        <f t="shared" si="163"/>
        <v>0</v>
      </c>
    </row>
    <row r="132" spans="2:22" hidden="1" outlineLevel="2">
      <c r="B132" s="255" t="s">
        <v>108</v>
      </c>
      <c r="C132" s="292"/>
      <c r="D132" s="293"/>
      <c r="E132" s="293"/>
      <c r="F132" s="293"/>
      <c r="G132" s="293"/>
      <c r="H132" s="293"/>
      <c r="I132" s="293"/>
      <c r="J132" s="293"/>
      <c r="K132" s="293"/>
      <c r="L132" s="293"/>
      <c r="M132" s="293"/>
      <c r="N132" s="293"/>
      <c r="O132" s="293"/>
      <c r="P132" s="293"/>
      <c r="Q132" s="293"/>
      <c r="R132" s="293"/>
      <c r="S132" s="293"/>
      <c r="T132" s="293"/>
      <c r="U132" s="293"/>
      <c r="V132" s="293"/>
    </row>
    <row r="133" spans="2:22" hidden="1" outlineLevel="2">
      <c r="B133" s="255" t="s">
        <v>109</v>
      </c>
      <c r="C133" s="292"/>
      <c r="D133" s="293"/>
      <c r="E133" s="293"/>
      <c r="F133" s="293"/>
      <c r="G133" s="293"/>
      <c r="H133" s="293"/>
      <c r="I133" s="293"/>
      <c r="J133" s="293"/>
      <c r="K133" s="293"/>
      <c r="L133" s="293"/>
      <c r="M133" s="293"/>
      <c r="N133" s="293"/>
      <c r="O133" s="293"/>
      <c r="P133" s="293"/>
      <c r="Q133" s="293"/>
      <c r="R133" s="293"/>
      <c r="S133" s="293"/>
      <c r="T133" s="293"/>
      <c r="U133" s="293"/>
      <c r="V133" s="293"/>
    </row>
    <row r="134" spans="2:22" hidden="1" outlineLevel="2">
      <c r="B134" s="255" t="s">
        <v>166</v>
      </c>
      <c r="C134" s="292"/>
      <c r="D134" s="293"/>
      <c r="E134" s="293"/>
      <c r="F134" s="293"/>
      <c r="G134" s="293"/>
      <c r="H134" s="293"/>
      <c r="I134" s="293"/>
      <c r="J134" s="293"/>
      <c r="K134" s="293"/>
      <c r="L134" s="293"/>
      <c r="M134" s="293"/>
      <c r="N134" s="293"/>
      <c r="O134" s="293"/>
      <c r="P134" s="293"/>
      <c r="Q134" s="293"/>
      <c r="R134" s="293"/>
      <c r="S134" s="293"/>
      <c r="T134" s="293"/>
      <c r="U134" s="293"/>
      <c r="V134" s="293"/>
    </row>
    <row r="135" spans="2:22" s="291" customFormat="1" hidden="1" outlineLevel="1" collapsed="1">
      <c r="B135" s="294" t="s">
        <v>229</v>
      </c>
      <c r="C135" s="295"/>
      <c r="D135" s="295"/>
      <c r="E135" s="295"/>
      <c r="F135" s="295"/>
      <c r="G135" s="228"/>
      <c r="H135" s="228"/>
      <c r="I135" s="228"/>
      <c r="J135" s="228">
        <f t="shared" ref="J135:Q135" si="164">CHOOSE($G$2,J132,J133,J134)</f>
        <v>0</v>
      </c>
      <c r="K135" s="228">
        <f t="shared" si="164"/>
        <v>0</v>
      </c>
      <c r="L135" s="228">
        <f t="shared" si="164"/>
        <v>0</v>
      </c>
      <c r="M135" s="228">
        <f t="shared" si="164"/>
        <v>0</v>
      </c>
      <c r="N135" s="228">
        <f t="shared" si="164"/>
        <v>0</v>
      </c>
      <c r="O135" s="228">
        <f t="shared" si="164"/>
        <v>0</v>
      </c>
      <c r="P135" s="228">
        <f t="shared" si="164"/>
        <v>0</v>
      </c>
      <c r="Q135" s="228">
        <f t="shared" si="164"/>
        <v>0</v>
      </c>
      <c r="R135" s="228">
        <f t="shared" ref="R135:V135" si="165">CHOOSE($G$2,R132,R133,R134)</f>
        <v>0</v>
      </c>
      <c r="S135" s="228">
        <f t="shared" si="165"/>
        <v>0</v>
      </c>
      <c r="T135" s="228">
        <f t="shared" si="165"/>
        <v>0</v>
      </c>
      <c r="U135" s="228">
        <f t="shared" si="165"/>
        <v>0</v>
      </c>
      <c r="V135" s="228">
        <f t="shared" si="165"/>
        <v>0</v>
      </c>
    </row>
    <row r="136" spans="2:22" hidden="1" outlineLevel="2">
      <c r="B136" s="255" t="s">
        <v>108</v>
      </c>
      <c r="C136" s="292"/>
      <c r="D136" s="293"/>
      <c r="E136" s="293"/>
      <c r="F136" s="293"/>
      <c r="G136" s="293"/>
      <c r="H136" s="293"/>
      <c r="I136" s="293"/>
      <c r="J136" s="293"/>
      <c r="K136" s="293"/>
      <c r="L136" s="293"/>
      <c r="M136" s="293"/>
      <c r="N136" s="293"/>
      <c r="O136" s="293"/>
      <c r="P136" s="293"/>
      <c r="Q136" s="293"/>
      <c r="R136" s="293"/>
      <c r="S136" s="293"/>
      <c r="T136" s="293"/>
      <c r="U136" s="293"/>
      <c r="V136" s="293"/>
    </row>
    <row r="137" spans="2:22" hidden="1" outlineLevel="2">
      <c r="B137" s="255" t="s">
        <v>109</v>
      </c>
      <c r="C137" s="292"/>
      <c r="D137" s="293"/>
      <c r="E137" s="293"/>
      <c r="F137" s="293"/>
      <c r="G137" s="293"/>
      <c r="H137" s="293"/>
      <c r="I137" s="293"/>
      <c r="J137" s="293"/>
      <c r="K137" s="293"/>
      <c r="L137" s="293"/>
      <c r="M137" s="293"/>
      <c r="N137" s="293"/>
      <c r="O137" s="293"/>
      <c r="P137" s="293"/>
      <c r="Q137" s="293"/>
      <c r="R137" s="293"/>
      <c r="S137" s="293"/>
      <c r="T137" s="293"/>
      <c r="U137" s="293"/>
      <c r="V137" s="293"/>
    </row>
    <row r="138" spans="2:22" hidden="1" outlineLevel="2">
      <c r="B138" s="255" t="s">
        <v>166</v>
      </c>
      <c r="C138" s="292"/>
      <c r="D138" s="293"/>
      <c r="E138" s="293"/>
      <c r="F138" s="293"/>
      <c r="G138" s="293"/>
      <c r="H138" s="293"/>
      <c r="I138" s="293"/>
      <c r="J138" s="293"/>
      <c r="K138" s="293"/>
      <c r="L138" s="293"/>
      <c r="M138" s="293"/>
      <c r="N138" s="293"/>
      <c r="O138" s="293"/>
      <c r="P138" s="293"/>
      <c r="Q138" s="293"/>
      <c r="R138" s="293"/>
      <c r="S138" s="293"/>
      <c r="T138" s="293"/>
      <c r="U138" s="293"/>
      <c r="V138" s="293"/>
    </row>
    <row r="139" spans="2:22" s="291" customFormat="1" hidden="1" outlineLevel="1" collapsed="1">
      <c r="B139" s="294" t="s">
        <v>162</v>
      </c>
      <c r="C139" s="295"/>
      <c r="D139" s="295"/>
      <c r="E139" s="295"/>
      <c r="F139" s="295"/>
      <c r="G139" s="228"/>
      <c r="H139" s="228"/>
      <c r="I139" s="228"/>
      <c r="J139" s="228">
        <f t="shared" ref="J139:Q139" si="166">CHOOSE($G$2,J136,J137,J138)</f>
        <v>0</v>
      </c>
      <c r="K139" s="228">
        <f t="shared" si="166"/>
        <v>0</v>
      </c>
      <c r="L139" s="228">
        <f t="shared" si="166"/>
        <v>0</v>
      </c>
      <c r="M139" s="228">
        <f t="shared" si="166"/>
        <v>0</v>
      </c>
      <c r="N139" s="228">
        <f t="shared" si="166"/>
        <v>0</v>
      </c>
      <c r="O139" s="228">
        <f t="shared" si="166"/>
        <v>0</v>
      </c>
      <c r="P139" s="228">
        <f t="shared" si="166"/>
        <v>0</v>
      </c>
      <c r="Q139" s="228">
        <f t="shared" si="166"/>
        <v>0</v>
      </c>
      <c r="R139" s="228">
        <f t="shared" ref="R139:V139" si="167">CHOOSE($G$2,R136,R137,R138)</f>
        <v>0</v>
      </c>
      <c r="S139" s="228">
        <f t="shared" si="167"/>
        <v>0</v>
      </c>
      <c r="T139" s="228">
        <f t="shared" si="167"/>
        <v>0</v>
      </c>
      <c r="U139" s="228">
        <f t="shared" si="167"/>
        <v>0</v>
      </c>
      <c r="V139" s="228">
        <f t="shared" si="167"/>
        <v>0</v>
      </c>
    </row>
    <row r="140" spans="2:22" collapsed="1"/>
    <row r="141" spans="2:22">
      <c r="B141" s="225" t="s">
        <v>231</v>
      </c>
      <c r="C141" s="296"/>
      <c r="D141" s="288"/>
      <c r="E141" s="288"/>
      <c r="F141" s="288"/>
      <c r="G141" s="288"/>
      <c r="H141" s="288"/>
      <c r="I141" s="354"/>
      <c r="J141" s="354">
        <f>(J103*J117)+(J104*J121)+(J105*J125)</f>
        <v>81.805258001792012</v>
      </c>
      <c r="K141" s="354">
        <f t="shared" ref="K141:V141" si="168">(K103*K117)+(K104*K121)+(K105*K125)</f>
        <v>165.41023167962345</v>
      </c>
      <c r="L141" s="354">
        <f t="shared" si="168"/>
        <v>292.65205239917373</v>
      </c>
      <c r="M141" s="354">
        <f t="shared" si="168"/>
        <v>443.80683746334705</v>
      </c>
      <c r="N141" s="354">
        <f t="shared" si="168"/>
        <v>493.55758394298829</v>
      </c>
      <c r="O141" s="354">
        <f t="shared" si="168"/>
        <v>523.93605323467909</v>
      </c>
      <c r="P141" s="354">
        <f t="shared" si="168"/>
        <v>556.18431731127362</v>
      </c>
      <c r="Q141" s="354">
        <f t="shared" si="168"/>
        <v>590.41746204178253</v>
      </c>
      <c r="R141" s="354">
        <f t="shared" si="168"/>
        <v>626.75765683045415</v>
      </c>
      <c r="S141" s="354">
        <f t="shared" si="168"/>
        <v>665.33459060836856</v>
      </c>
      <c r="T141" s="354">
        <f t="shared" si="168"/>
        <v>706.2859346603135</v>
      </c>
      <c r="U141" s="354">
        <f t="shared" si="168"/>
        <v>749.75783393865572</v>
      </c>
      <c r="V141" s="354">
        <f t="shared" si="168"/>
        <v>795.90542861758013</v>
      </c>
    </row>
    <row r="142" spans="2:22" hidden="1" outlineLevel="1">
      <c r="B142" s="225" t="s">
        <v>232</v>
      </c>
      <c r="C142" s="296">
        <v>0</v>
      </c>
      <c r="D142" s="288">
        <f t="shared" ref="D142:V142" si="169">D96*D131+D97*D135+D99*D139</f>
        <v>0</v>
      </c>
      <c r="E142" s="288">
        <f t="shared" si="169"/>
        <v>0</v>
      </c>
      <c r="F142" s="288">
        <f t="shared" si="169"/>
        <v>0</v>
      </c>
      <c r="G142" s="288">
        <f t="shared" si="169"/>
        <v>0</v>
      </c>
      <c r="H142" s="288">
        <f t="shared" si="169"/>
        <v>0</v>
      </c>
      <c r="I142" s="354">
        <f t="shared" si="169"/>
        <v>0</v>
      </c>
      <c r="J142" s="354">
        <f t="shared" si="169"/>
        <v>0</v>
      </c>
      <c r="K142" s="354">
        <f t="shared" si="169"/>
        <v>0</v>
      </c>
      <c r="L142" s="354">
        <f t="shared" si="169"/>
        <v>0</v>
      </c>
      <c r="M142" s="354">
        <f t="shared" si="169"/>
        <v>0</v>
      </c>
      <c r="N142" s="354">
        <f t="shared" si="169"/>
        <v>0</v>
      </c>
      <c r="O142" s="354">
        <f t="shared" si="169"/>
        <v>0</v>
      </c>
      <c r="P142" s="354">
        <f t="shared" si="169"/>
        <v>0</v>
      </c>
      <c r="Q142" s="354">
        <f t="shared" si="169"/>
        <v>0</v>
      </c>
      <c r="R142" s="354">
        <f t="shared" si="169"/>
        <v>0</v>
      </c>
      <c r="S142" s="354">
        <f t="shared" si="169"/>
        <v>0</v>
      </c>
      <c r="T142" s="354">
        <f t="shared" si="169"/>
        <v>0</v>
      </c>
      <c r="U142" s="354">
        <f t="shared" si="169"/>
        <v>0</v>
      </c>
      <c r="V142" s="354">
        <f t="shared" si="169"/>
        <v>0</v>
      </c>
    </row>
    <row r="143" spans="2:22" hidden="1" outlineLevel="1">
      <c r="B143" s="225"/>
      <c r="C143" s="288"/>
      <c r="D143" s="288"/>
      <c r="E143" s="288"/>
      <c r="F143" s="288"/>
      <c r="G143" s="288"/>
      <c r="H143" s="288"/>
      <c r="I143" s="354"/>
      <c r="J143" s="354"/>
      <c r="K143" s="354"/>
      <c r="L143" s="354"/>
      <c r="M143" s="354"/>
      <c r="N143" s="354"/>
      <c r="O143" s="354"/>
      <c r="P143" s="354"/>
      <c r="Q143" s="354"/>
      <c r="R143" s="354"/>
      <c r="S143" s="354"/>
      <c r="T143" s="354"/>
      <c r="U143" s="354"/>
      <c r="V143" s="354"/>
    </row>
    <row r="144" spans="2:22" collapsed="1">
      <c r="B144" s="225" t="s">
        <v>233</v>
      </c>
      <c r="C144" s="288"/>
      <c r="D144" s="288"/>
      <c r="E144" s="288"/>
      <c r="F144" s="288"/>
      <c r="G144" s="288"/>
      <c r="H144" s="288"/>
      <c r="I144" s="354"/>
      <c r="J144" s="354">
        <v>0</v>
      </c>
      <c r="K144" s="354">
        <f t="shared" ref="K144:V144" si="170" xml:space="preserve"> J144*K150+J147</f>
        <v>81.805258001792012</v>
      </c>
      <c r="L144" s="354">
        <f t="shared" si="170"/>
        <v>140.86865427908583</v>
      </c>
      <c r="M144" s="354">
        <f t="shared" si="170"/>
        <v>250.39145611544797</v>
      </c>
      <c r="N144" s="354">
        <f t="shared" si="170"/>
        <v>368.68940062871263</v>
      </c>
      <c r="O144" s="354">
        <f t="shared" si="170"/>
        <v>382.95076375437446</v>
      </c>
      <c r="P144" s="354">
        <f t="shared" si="170"/>
        <v>409.05082410836673</v>
      </c>
      <c r="Q144" s="354">
        <f t="shared" si="170"/>
        <v>433.46907007876359</v>
      </c>
      <c r="R144" s="354">
        <f t="shared" si="170"/>
        <v>460.37674101815344</v>
      </c>
      <c r="S144" s="354">
        <f t="shared" si="170"/>
        <v>488.64463452500809</v>
      </c>
      <c r="T144" s="354">
        <f t="shared" si="170"/>
        <v>518.74120025086609</v>
      </c>
      <c r="U144" s="354">
        <f t="shared" si="170"/>
        <v>550.66357458505365</v>
      </c>
      <c r="V144" s="354">
        <f t="shared" si="170"/>
        <v>584.55876156313957</v>
      </c>
    </row>
    <row r="145" spans="2:22" hidden="1" outlineLevel="1">
      <c r="B145" s="225" t="s">
        <v>234</v>
      </c>
      <c r="C145" s="288">
        <f>C142-C148</f>
        <v>0</v>
      </c>
      <c r="D145" s="288">
        <f>D142-D148</f>
        <v>0</v>
      </c>
      <c r="E145" s="288">
        <f t="shared" ref="E145:K145" si="171">E142-E148</f>
        <v>0</v>
      </c>
      <c r="F145" s="288">
        <f t="shared" si="171"/>
        <v>0</v>
      </c>
      <c r="G145" s="288">
        <f t="shared" si="171"/>
        <v>0</v>
      </c>
      <c r="H145" s="288">
        <f t="shared" si="171"/>
        <v>0</v>
      </c>
      <c r="I145" s="354">
        <f t="shared" si="171"/>
        <v>0</v>
      </c>
      <c r="J145" s="354">
        <f t="shared" si="171"/>
        <v>-1</v>
      </c>
      <c r="K145" s="354">
        <f t="shared" si="171"/>
        <v>-1</v>
      </c>
      <c r="L145" s="354">
        <f t="shared" ref="L145:V145" si="172">L142-L148</f>
        <v>-1</v>
      </c>
      <c r="M145" s="354">
        <f t="shared" si="172"/>
        <v>-1</v>
      </c>
      <c r="N145" s="354">
        <f t="shared" si="172"/>
        <v>-1</v>
      </c>
      <c r="O145" s="354">
        <f t="shared" si="172"/>
        <v>-1</v>
      </c>
      <c r="P145" s="354">
        <f t="shared" si="172"/>
        <v>-1</v>
      </c>
      <c r="Q145" s="354">
        <f t="shared" si="172"/>
        <v>-1</v>
      </c>
      <c r="R145" s="354">
        <f t="shared" si="172"/>
        <v>-1</v>
      </c>
      <c r="S145" s="354">
        <f t="shared" si="172"/>
        <v>-1</v>
      </c>
      <c r="T145" s="354">
        <f t="shared" si="172"/>
        <v>-1</v>
      </c>
      <c r="U145" s="354">
        <f t="shared" si="172"/>
        <v>-1</v>
      </c>
      <c r="V145" s="354">
        <f t="shared" si="172"/>
        <v>-1</v>
      </c>
    </row>
    <row r="146" spans="2:22" hidden="1" outlineLevel="1">
      <c r="B146" s="225"/>
      <c r="C146" s="288"/>
      <c r="D146" s="288"/>
      <c r="E146" s="288"/>
      <c r="F146" s="288"/>
      <c r="G146" s="288"/>
      <c r="H146" s="288"/>
      <c r="I146" s="354"/>
      <c r="J146" s="354"/>
      <c r="K146" s="354"/>
      <c r="L146" s="354"/>
      <c r="M146" s="354"/>
      <c r="N146" s="354"/>
      <c r="O146" s="354"/>
      <c r="P146" s="354"/>
      <c r="Q146" s="354"/>
      <c r="R146" s="354"/>
      <c r="S146" s="354"/>
      <c r="T146" s="354"/>
      <c r="U146" s="354"/>
      <c r="V146" s="354"/>
    </row>
    <row r="147" spans="2:22" collapsed="1">
      <c r="B147" s="225" t="s">
        <v>235</v>
      </c>
      <c r="C147" s="296"/>
      <c r="D147" s="288"/>
      <c r="E147" s="288"/>
      <c r="F147" s="288"/>
      <c r="G147" s="288"/>
      <c r="H147" s="288"/>
      <c r="I147" s="354"/>
      <c r="J147" s="354">
        <f>J141-J144</f>
        <v>81.805258001792012</v>
      </c>
      <c r="K147" s="354">
        <f>K141-K144</f>
        <v>83.604973677831438</v>
      </c>
      <c r="L147" s="354">
        <f t="shared" ref="L147:V147" si="173">L141-L144</f>
        <v>151.7833981200879</v>
      </c>
      <c r="M147" s="354">
        <f t="shared" si="173"/>
        <v>193.41538134789909</v>
      </c>
      <c r="N147" s="354">
        <f t="shared" si="173"/>
        <v>124.86818331427565</v>
      </c>
      <c r="O147" s="354">
        <f t="shared" si="173"/>
        <v>140.98528948030463</v>
      </c>
      <c r="P147" s="354">
        <f t="shared" si="173"/>
        <v>147.13349320290689</v>
      </c>
      <c r="Q147" s="354">
        <f t="shared" si="173"/>
        <v>156.94839196301893</v>
      </c>
      <c r="R147" s="354">
        <f t="shared" si="173"/>
        <v>166.38091581230071</v>
      </c>
      <c r="S147" s="354">
        <f t="shared" si="173"/>
        <v>176.68995608336047</v>
      </c>
      <c r="T147" s="354">
        <f t="shared" si="173"/>
        <v>187.54473440944741</v>
      </c>
      <c r="U147" s="354">
        <f t="shared" si="173"/>
        <v>199.09425935360207</v>
      </c>
      <c r="V147" s="354">
        <f t="shared" si="173"/>
        <v>211.34666705444056</v>
      </c>
    </row>
    <row r="148" spans="2:22" hidden="1" outlineLevel="1">
      <c r="B148" s="225" t="s">
        <v>236</v>
      </c>
      <c r="C148" s="296">
        <v>0</v>
      </c>
      <c r="D148" s="288">
        <v>0</v>
      </c>
      <c r="E148" s="288">
        <v>0</v>
      </c>
      <c r="F148" s="288">
        <v>0</v>
      </c>
      <c r="G148" s="288">
        <v>0</v>
      </c>
      <c r="H148" s="288">
        <v>0</v>
      </c>
      <c r="I148" s="288">
        <v>0</v>
      </c>
      <c r="J148" s="288">
        <f t="shared" ref="J148:Q148" si="174">IF(J142&gt;I142,J142-I142,1)</f>
        <v>1</v>
      </c>
      <c r="K148" s="288">
        <f t="shared" si="174"/>
        <v>1</v>
      </c>
      <c r="L148" s="288">
        <f t="shared" si="174"/>
        <v>1</v>
      </c>
      <c r="M148" s="288">
        <f t="shared" si="174"/>
        <v>1</v>
      </c>
      <c r="N148" s="288">
        <f t="shared" si="174"/>
        <v>1</v>
      </c>
      <c r="O148" s="288">
        <f t="shared" si="174"/>
        <v>1</v>
      </c>
      <c r="P148" s="288">
        <f t="shared" si="174"/>
        <v>1</v>
      </c>
      <c r="Q148" s="288">
        <f t="shared" si="174"/>
        <v>1</v>
      </c>
      <c r="R148" s="288">
        <f t="shared" ref="R148" si="175">IF(R142&gt;Q142,R142-Q142,1)</f>
        <v>1</v>
      </c>
      <c r="S148" s="288">
        <f t="shared" ref="S148" si="176">IF(S142&gt;R142,S142-R142,1)</f>
        <v>1</v>
      </c>
      <c r="T148" s="288">
        <f t="shared" ref="T148" si="177">IF(T142&gt;S142,T142-S142,1)</f>
        <v>1</v>
      </c>
      <c r="U148" s="288">
        <f t="shared" ref="U148" si="178">IF(U142&gt;T142,U142-T142,1)</f>
        <v>1</v>
      </c>
      <c r="V148" s="288">
        <f t="shared" ref="V148" si="179">IF(V142&gt;U142,V142-U142,1)</f>
        <v>1</v>
      </c>
    </row>
    <row r="149" spans="2:22" hidden="1" outlineLevel="1">
      <c r="B149" s="225"/>
      <c r="C149" s="288"/>
      <c r="D149" s="288"/>
      <c r="E149" s="288"/>
      <c r="F149" s="288"/>
      <c r="G149" s="288"/>
      <c r="H149" s="288"/>
      <c r="I149" s="288"/>
      <c r="J149" s="288"/>
      <c r="K149" s="288"/>
      <c r="L149" s="288"/>
      <c r="M149" s="288"/>
      <c r="N149" s="288"/>
      <c r="O149" s="288"/>
      <c r="P149" s="288"/>
      <c r="Q149" s="288"/>
      <c r="R149" s="288"/>
      <c r="S149" s="288"/>
      <c r="T149" s="288"/>
      <c r="U149" s="288"/>
      <c r="V149" s="288"/>
    </row>
    <row r="150" spans="2:22" collapsed="1">
      <c r="B150" s="225" t="s">
        <v>237</v>
      </c>
      <c r="C150" s="289"/>
      <c r="D150" s="289"/>
      <c r="E150" s="289"/>
      <c r="F150" s="289"/>
      <c r="G150" s="289"/>
      <c r="H150" s="289"/>
      <c r="I150" s="289">
        <v>0.7</v>
      </c>
      <c r="J150" s="289">
        <f t="shared" ref="J150:Q151" si="180">I150</f>
        <v>0.7</v>
      </c>
      <c r="K150" s="289">
        <f t="shared" si="180"/>
        <v>0.7</v>
      </c>
      <c r="L150" s="289">
        <f t="shared" si="180"/>
        <v>0.7</v>
      </c>
      <c r="M150" s="289">
        <f t="shared" si="180"/>
        <v>0.7</v>
      </c>
      <c r="N150" s="289">
        <f t="shared" si="180"/>
        <v>0.7</v>
      </c>
      <c r="O150" s="289">
        <f t="shared" si="180"/>
        <v>0.7</v>
      </c>
      <c r="P150" s="289">
        <f t="shared" si="180"/>
        <v>0.7</v>
      </c>
      <c r="Q150" s="289">
        <f t="shared" si="180"/>
        <v>0.7</v>
      </c>
      <c r="R150" s="289">
        <f t="shared" ref="R150:R151" si="181">Q150</f>
        <v>0.7</v>
      </c>
      <c r="S150" s="289">
        <f t="shared" ref="S150:S151" si="182">R150</f>
        <v>0.7</v>
      </c>
      <c r="T150" s="289">
        <f t="shared" ref="T150:T151" si="183">S150</f>
        <v>0.7</v>
      </c>
      <c r="U150" s="289">
        <f t="shared" ref="U150:U151" si="184">T150</f>
        <v>0.7</v>
      </c>
      <c r="V150" s="289">
        <f t="shared" ref="V150:V151" si="185">U150</f>
        <v>0.7</v>
      </c>
    </row>
    <row r="151" spans="2:22" hidden="1" outlineLevel="1">
      <c r="B151" s="225" t="s">
        <v>238</v>
      </c>
      <c r="C151" s="289"/>
      <c r="D151" s="289"/>
      <c r="E151" s="289"/>
      <c r="F151" s="289"/>
      <c r="G151" s="289"/>
      <c r="H151" s="289"/>
      <c r="I151" s="289">
        <v>0.9</v>
      </c>
      <c r="J151" s="289">
        <f t="shared" si="180"/>
        <v>0.9</v>
      </c>
      <c r="K151" s="289">
        <f t="shared" si="180"/>
        <v>0.9</v>
      </c>
      <c r="L151" s="289">
        <f t="shared" si="180"/>
        <v>0.9</v>
      </c>
      <c r="M151" s="289">
        <f t="shared" si="180"/>
        <v>0.9</v>
      </c>
      <c r="N151" s="289">
        <f t="shared" si="180"/>
        <v>0.9</v>
      </c>
      <c r="O151" s="289">
        <f t="shared" si="180"/>
        <v>0.9</v>
      </c>
      <c r="P151" s="289">
        <f t="shared" si="180"/>
        <v>0.9</v>
      </c>
      <c r="Q151" s="289">
        <f t="shared" si="180"/>
        <v>0.9</v>
      </c>
      <c r="R151" s="289">
        <f t="shared" si="181"/>
        <v>0.9</v>
      </c>
      <c r="S151" s="289">
        <f t="shared" si="182"/>
        <v>0.9</v>
      </c>
      <c r="T151" s="289">
        <f t="shared" si="183"/>
        <v>0.9</v>
      </c>
      <c r="U151" s="289">
        <f t="shared" si="184"/>
        <v>0.9</v>
      </c>
      <c r="V151" s="289">
        <f t="shared" si="185"/>
        <v>0.9</v>
      </c>
    </row>
    <row r="152" spans="2:22" collapsed="1"/>
    <row r="153" spans="2:22">
      <c r="B153" s="291" t="s">
        <v>224</v>
      </c>
      <c r="G153" s="609"/>
      <c r="H153" s="609"/>
      <c r="I153" s="609"/>
      <c r="J153" s="609"/>
      <c r="K153" s="609"/>
      <c r="L153" s="609"/>
      <c r="M153" s="609"/>
      <c r="N153" s="609"/>
      <c r="O153" s="609"/>
      <c r="P153" s="609"/>
      <c r="Q153" s="609"/>
      <c r="R153" s="609"/>
      <c r="S153" s="609"/>
      <c r="T153" s="609"/>
      <c r="U153" s="609"/>
      <c r="V153" s="609"/>
    </row>
    <row r="154" spans="2:22">
      <c r="B154" s="225" t="s">
        <v>227</v>
      </c>
      <c r="C154" s="297"/>
      <c r="D154" s="297"/>
      <c r="E154" s="297"/>
      <c r="F154" s="297"/>
      <c r="G154" s="354"/>
      <c r="H154" s="354"/>
      <c r="I154" s="223">
        <v>225</v>
      </c>
      <c r="J154" s="223">
        <f t="shared" ref="J154:Q155" si="186">I154*1.015</f>
        <v>228.37499999999997</v>
      </c>
      <c r="K154" s="223">
        <f t="shared" si="186"/>
        <v>231.80062499999994</v>
      </c>
      <c r="L154" s="223">
        <f t="shared" si="186"/>
        <v>235.27763437499991</v>
      </c>
      <c r="M154" s="223">
        <f t="shared" si="186"/>
        <v>238.80679889062489</v>
      </c>
      <c r="N154" s="223">
        <f t="shared" si="186"/>
        <v>242.38890087398423</v>
      </c>
      <c r="O154" s="223">
        <f t="shared" si="186"/>
        <v>246.02473438709396</v>
      </c>
      <c r="P154" s="223">
        <f t="shared" si="186"/>
        <v>249.71510540290035</v>
      </c>
      <c r="Q154" s="223">
        <f t="shared" si="186"/>
        <v>253.46083198394382</v>
      </c>
      <c r="R154" s="223">
        <f t="shared" ref="R154:R155" si="187">Q154*1.015</f>
        <v>257.26274446370297</v>
      </c>
      <c r="S154" s="223">
        <f t="shared" ref="S154:S155" si="188">R154*1.015</f>
        <v>261.12168563065848</v>
      </c>
      <c r="T154" s="223">
        <f t="shared" ref="T154:T155" si="189">S154*1.015</f>
        <v>265.03851091511831</v>
      </c>
      <c r="U154" s="223">
        <f t="shared" ref="U154:U155" si="190">T154*1.015</f>
        <v>269.01408857884508</v>
      </c>
      <c r="V154" s="223">
        <f t="shared" ref="V154:V155" si="191">U154*1.015</f>
        <v>273.04929990752771</v>
      </c>
    </row>
    <row r="155" spans="2:22" hidden="1" outlineLevel="1">
      <c r="B155" s="225" t="s">
        <v>228</v>
      </c>
      <c r="C155" s="297"/>
      <c r="D155" s="297"/>
      <c r="E155" s="297"/>
      <c r="F155" s="297"/>
      <c r="G155" s="354"/>
      <c r="H155" s="354"/>
      <c r="I155" s="223">
        <f>I81</f>
        <v>88.913999999999987</v>
      </c>
      <c r="J155" s="223">
        <f t="shared" si="186"/>
        <v>90.247709999999984</v>
      </c>
      <c r="K155" s="223">
        <f t="shared" si="186"/>
        <v>91.601425649999968</v>
      </c>
      <c r="L155" s="223">
        <f t="shared" si="186"/>
        <v>92.975447034749962</v>
      </c>
      <c r="M155" s="223">
        <f t="shared" si="186"/>
        <v>94.370078740271197</v>
      </c>
      <c r="N155" s="223">
        <f t="shared" si="186"/>
        <v>95.785629921375261</v>
      </c>
      <c r="O155" s="223">
        <f t="shared" si="186"/>
        <v>97.222414370195878</v>
      </c>
      <c r="P155" s="223">
        <f t="shared" si="186"/>
        <v>98.680750585748811</v>
      </c>
      <c r="Q155" s="223">
        <f t="shared" si="186"/>
        <v>100.16096184453504</v>
      </c>
      <c r="R155" s="223">
        <f t="shared" si="187"/>
        <v>101.66337627220305</v>
      </c>
      <c r="S155" s="223">
        <f t="shared" si="188"/>
        <v>103.18832691628609</v>
      </c>
      <c r="T155" s="223">
        <f t="shared" si="189"/>
        <v>104.73615182003037</v>
      </c>
      <c r="U155" s="223">
        <f t="shared" si="190"/>
        <v>106.30719409733082</v>
      </c>
      <c r="V155" s="223">
        <f t="shared" si="191"/>
        <v>107.90180200879077</v>
      </c>
    </row>
    <row r="156" spans="2:22" hidden="1" outlineLevel="1">
      <c r="G156" s="609"/>
      <c r="H156" s="609"/>
      <c r="I156" s="611"/>
      <c r="J156" s="611"/>
      <c r="K156" s="611"/>
      <c r="L156" s="611"/>
      <c r="M156" s="611"/>
      <c r="N156" s="611"/>
      <c r="O156" s="611"/>
      <c r="P156" s="611"/>
      <c r="Q156" s="611"/>
      <c r="R156" s="611"/>
      <c r="S156" s="611"/>
      <c r="T156" s="611"/>
      <c r="U156" s="611"/>
      <c r="V156" s="611"/>
    </row>
    <row r="157" spans="2:22" collapsed="1">
      <c r="B157" s="225" t="s">
        <v>235</v>
      </c>
      <c r="C157" s="297"/>
      <c r="D157" s="297"/>
      <c r="E157" s="297"/>
      <c r="F157" s="297"/>
      <c r="G157" s="354"/>
      <c r="H157" s="354"/>
      <c r="I157" s="223">
        <f>I83</f>
        <v>97.805400000000006</v>
      </c>
      <c r="J157" s="223">
        <f t="shared" ref="J157:Q157" si="192">J154*0.8</f>
        <v>182.7</v>
      </c>
      <c r="K157" s="223">
        <f t="shared" si="192"/>
        <v>185.44049999999996</v>
      </c>
      <c r="L157" s="223">
        <f t="shared" si="192"/>
        <v>188.22210749999994</v>
      </c>
      <c r="M157" s="223">
        <f t="shared" si="192"/>
        <v>191.04543911249993</v>
      </c>
      <c r="N157" s="223">
        <f t="shared" si="192"/>
        <v>193.91112069918739</v>
      </c>
      <c r="O157" s="223">
        <f t="shared" si="192"/>
        <v>196.81978750967517</v>
      </c>
      <c r="P157" s="223">
        <f t="shared" si="192"/>
        <v>199.7720843223203</v>
      </c>
      <c r="Q157" s="223">
        <f t="shared" si="192"/>
        <v>202.76866558715506</v>
      </c>
      <c r="R157" s="223">
        <f t="shared" ref="R157:V157" si="193">R154*0.8</f>
        <v>205.81019557096238</v>
      </c>
      <c r="S157" s="223">
        <f t="shared" si="193"/>
        <v>208.8973485045268</v>
      </c>
      <c r="T157" s="223">
        <f t="shared" si="193"/>
        <v>212.03080873209467</v>
      </c>
      <c r="U157" s="223">
        <f t="shared" si="193"/>
        <v>215.21127086307607</v>
      </c>
      <c r="V157" s="223">
        <f t="shared" si="193"/>
        <v>218.43943992602217</v>
      </c>
    </row>
    <row r="158" spans="2:22" hidden="1" outlineLevel="1">
      <c r="B158" s="225" t="s">
        <v>236</v>
      </c>
      <c r="C158" s="297"/>
      <c r="D158" s="297"/>
      <c r="E158" s="297"/>
      <c r="F158" s="297"/>
      <c r="G158" s="354"/>
      <c r="H158" s="354"/>
      <c r="I158" s="354">
        <f>I84</f>
        <v>71.131199999999993</v>
      </c>
      <c r="J158" s="354">
        <f t="shared" ref="J158:Q158" si="194">J155*0.8</f>
        <v>72.198167999999995</v>
      </c>
      <c r="K158" s="354">
        <f t="shared" si="194"/>
        <v>73.28114051999998</v>
      </c>
      <c r="L158" s="354">
        <f t="shared" si="194"/>
        <v>74.380357627799967</v>
      </c>
      <c r="M158" s="354">
        <f t="shared" si="194"/>
        <v>75.496062992216963</v>
      </c>
      <c r="N158" s="354">
        <f t="shared" si="194"/>
        <v>76.628503937100206</v>
      </c>
      <c r="O158" s="354">
        <f t="shared" si="194"/>
        <v>77.777931496156711</v>
      </c>
      <c r="P158" s="354">
        <f t="shared" si="194"/>
        <v>78.944600468599049</v>
      </c>
      <c r="Q158" s="354">
        <f t="shared" si="194"/>
        <v>80.128769475628033</v>
      </c>
      <c r="R158" s="354">
        <f t="shared" ref="R158:V158" si="195">R155*0.8</f>
        <v>81.330701017762451</v>
      </c>
      <c r="S158" s="354">
        <f t="shared" si="195"/>
        <v>82.550661533028872</v>
      </c>
      <c r="T158" s="354">
        <f t="shared" si="195"/>
        <v>83.788921456024298</v>
      </c>
      <c r="U158" s="354">
        <f t="shared" si="195"/>
        <v>85.045755277864657</v>
      </c>
      <c r="V158" s="354">
        <f t="shared" si="195"/>
        <v>86.321441607032625</v>
      </c>
    </row>
    <row r="159" spans="2:22" collapsed="1">
      <c r="G159" s="609"/>
      <c r="H159" s="609"/>
      <c r="I159" s="609"/>
      <c r="J159" s="609"/>
      <c r="K159" s="609"/>
      <c r="L159" s="609"/>
      <c r="M159" s="609"/>
      <c r="N159" s="609"/>
      <c r="O159" s="609"/>
      <c r="P159" s="609"/>
      <c r="Q159" s="609"/>
      <c r="R159" s="609"/>
      <c r="S159" s="609"/>
      <c r="T159" s="609"/>
      <c r="U159" s="609"/>
      <c r="V159" s="609"/>
    </row>
    <row r="160" spans="2:22">
      <c r="B160" s="291" t="s">
        <v>240</v>
      </c>
      <c r="C160" s="229"/>
      <c r="D160" s="229"/>
      <c r="E160" s="229"/>
      <c r="F160" s="229"/>
      <c r="G160" s="610"/>
      <c r="H160" s="610"/>
      <c r="I160" s="610"/>
      <c r="J160" s="610"/>
      <c r="K160" s="610"/>
      <c r="L160" s="610"/>
      <c r="M160" s="610"/>
      <c r="N160" s="610"/>
      <c r="O160" s="610"/>
      <c r="P160" s="610"/>
      <c r="Q160" s="610"/>
      <c r="R160" s="610"/>
      <c r="S160" s="610"/>
      <c r="T160" s="610"/>
      <c r="U160" s="610"/>
      <c r="V160" s="610"/>
    </row>
    <row r="161" spans="2:22">
      <c r="B161" s="225" t="s">
        <v>227</v>
      </c>
      <c r="C161" s="229"/>
      <c r="D161" s="229"/>
      <c r="E161" s="229"/>
      <c r="F161" s="229"/>
      <c r="G161" s="610"/>
      <c r="H161" s="610"/>
      <c r="I161" s="298"/>
      <c r="J161" s="298">
        <f>J154*J144/1000</f>
        <v>0</v>
      </c>
      <c r="K161" s="298">
        <f t="shared" ref="K161:V161" si="196">K154*K144/1000</f>
        <v>18.962509933101636</v>
      </c>
      <c r="L161" s="298">
        <f t="shared" si="196"/>
        <v>33.143243736373023</v>
      </c>
      <c r="M161" s="298">
        <f t="shared" si="196"/>
        <v>59.795182104492511</v>
      </c>
      <c r="N161" s="298">
        <f t="shared" si="196"/>
        <v>89.366218582281689</v>
      </c>
      <c r="O161" s="298">
        <f t="shared" si="196"/>
        <v>94.215359936004745</v>
      </c>
      <c r="P161" s="298">
        <f t="shared" si="196"/>
        <v>102.14616965736406</v>
      </c>
      <c r="Q161" s="298">
        <f t="shared" si="196"/>
        <v>109.86743114146988</v>
      </c>
      <c r="R161" s="298">
        <f t="shared" si="196"/>
        <v>118.43778388158556</v>
      </c>
      <c r="S161" s="298">
        <f t="shared" si="196"/>
        <v>127.59571064154717</v>
      </c>
      <c r="T161" s="298">
        <f t="shared" si="196"/>
        <v>137.48639526481074</v>
      </c>
      <c r="U161" s="298">
        <f t="shared" si="196"/>
        <v>148.13625963056708</v>
      </c>
      <c r="V161" s="298">
        <f t="shared" si="196"/>
        <v>159.61336059962667</v>
      </c>
    </row>
    <row r="162" spans="2:22">
      <c r="B162" s="225" t="s">
        <v>235</v>
      </c>
      <c r="C162" s="229"/>
      <c r="D162" s="229"/>
      <c r="E162" s="229"/>
      <c r="F162" s="229"/>
      <c r="G162" s="613"/>
      <c r="H162" s="613"/>
      <c r="I162" s="298"/>
      <c r="J162" s="298">
        <f>J147*J157/1000</f>
        <v>14.945820636927399</v>
      </c>
      <c r="K162" s="298">
        <f t="shared" ref="K162:V162" si="197">K147*K157/1000</f>
        <v>15.503748121303897</v>
      </c>
      <c r="L162" s="298">
        <f t="shared" si="197"/>
        <v>28.568991077674472</v>
      </c>
      <c r="M162" s="298">
        <f t="shared" si="197"/>
        <v>36.951126460721014</v>
      </c>
      <c r="N162" s="298">
        <f t="shared" si="197"/>
        <v>24.213329366142762</v>
      </c>
      <c r="O162" s="298">
        <f t="shared" si="197"/>
        <v>27.7486947175036</v>
      </c>
      <c r="P162" s="298">
        <f t="shared" si="197"/>
        <v>29.393164610768654</v>
      </c>
      <c r="Q162" s="298">
        <f t="shared" si="197"/>
        <v>31.824216004391122</v>
      </c>
      <c r="R162" s="298">
        <f t="shared" si="197"/>
        <v>34.24288882260543</v>
      </c>
      <c r="S162" s="298">
        <f t="shared" si="197"/>
        <v>36.910063333195282</v>
      </c>
      <c r="T162" s="298">
        <f t="shared" si="197"/>
        <v>39.765261710281038</v>
      </c>
      <c r="U162" s="298">
        <f t="shared" si="197"/>
        <v>42.847328577031568</v>
      </c>
      <c r="V162" s="298">
        <f t="shared" si="197"/>
        <v>46.166447581603478</v>
      </c>
    </row>
    <row r="163" spans="2:22">
      <c r="B163" s="226" t="s">
        <v>164</v>
      </c>
      <c r="C163" s="224"/>
      <c r="D163" s="224"/>
      <c r="E163" s="224"/>
      <c r="F163" s="224"/>
      <c r="G163" s="224"/>
      <c r="H163" s="224"/>
      <c r="I163" s="224">
        <f>I161+I162</f>
        <v>0</v>
      </c>
      <c r="J163" s="224">
        <f t="shared" ref="J163:Q163" si="198">J161+J162</f>
        <v>14.945820636927399</v>
      </c>
      <c r="K163" s="224">
        <f t="shared" si="198"/>
        <v>34.466258054405529</v>
      </c>
      <c r="L163" s="224">
        <f t="shared" si="198"/>
        <v>61.712234814047491</v>
      </c>
      <c r="M163" s="224">
        <f t="shared" si="198"/>
        <v>96.746308565213525</v>
      </c>
      <c r="N163" s="224">
        <f t="shared" si="198"/>
        <v>113.57954794842445</v>
      </c>
      <c r="O163" s="224">
        <f t="shared" si="198"/>
        <v>121.96405465350834</v>
      </c>
      <c r="P163" s="224">
        <f t="shared" si="198"/>
        <v>131.53933426813271</v>
      </c>
      <c r="Q163" s="224">
        <f t="shared" si="198"/>
        <v>141.691647145861</v>
      </c>
      <c r="R163" s="224">
        <f t="shared" ref="R163:V163" si="199">R161+R162</f>
        <v>152.68067270419098</v>
      </c>
      <c r="S163" s="224">
        <f t="shared" si="199"/>
        <v>164.50577397474245</v>
      </c>
      <c r="T163" s="224">
        <f t="shared" si="199"/>
        <v>177.25165697509178</v>
      </c>
      <c r="U163" s="224">
        <f t="shared" si="199"/>
        <v>190.98358820759864</v>
      </c>
      <c r="V163" s="224">
        <f t="shared" si="199"/>
        <v>205.77980818123015</v>
      </c>
    </row>
    <row r="164" spans="2:22">
      <c r="B164" s="270" t="s">
        <v>74</v>
      </c>
      <c r="G164" s="614"/>
      <c r="H164" s="614"/>
      <c r="I164" s="614"/>
      <c r="J164" s="614"/>
      <c r="K164" s="614"/>
      <c r="L164" s="614"/>
      <c r="M164" s="614"/>
      <c r="N164" s="614"/>
      <c r="O164" s="614"/>
      <c r="P164" s="614"/>
      <c r="Q164" s="614"/>
      <c r="R164" s="614"/>
      <c r="S164" s="614"/>
      <c r="T164" s="614"/>
      <c r="U164" s="614"/>
      <c r="V164" s="614"/>
    </row>
    <row r="165" spans="2:22">
      <c r="B165" s="270"/>
      <c r="G165" s="614"/>
      <c r="H165" s="614"/>
      <c r="I165" s="614"/>
      <c r="J165" s="614"/>
      <c r="K165" s="614"/>
      <c r="L165" s="614"/>
      <c r="M165" s="614"/>
      <c r="N165" s="614"/>
      <c r="O165" s="614"/>
      <c r="P165" s="614"/>
      <c r="Q165" s="614"/>
      <c r="R165" s="614"/>
      <c r="S165" s="614"/>
      <c r="T165" s="614"/>
      <c r="U165" s="614"/>
      <c r="V165" s="614"/>
    </row>
    <row r="166" spans="2:22">
      <c r="B166" s="225" t="s">
        <v>227</v>
      </c>
      <c r="C166" s="229"/>
      <c r="D166" s="229"/>
      <c r="E166" s="229"/>
      <c r="F166" s="229"/>
      <c r="G166" s="613"/>
      <c r="H166" s="613"/>
      <c r="I166" s="613"/>
      <c r="J166" s="298">
        <f>I161*0.35</f>
        <v>0</v>
      </c>
      <c r="K166" s="298">
        <f>J161*0.35</f>
        <v>0</v>
      </c>
      <c r="L166" s="298">
        <f t="shared" ref="L166:V166" si="200">K161*0.35</f>
        <v>6.6368784765855722</v>
      </c>
      <c r="M166" s="298">
        <f t="shared" si="200"/>
        <v>11.600135307730557</v>
      </c>
      <c r="N166" s="298">
        <f t="shared" si="200"/>
        <v>20.928313736572377</v>
      </c>
      <c r="O166" s="298">
        <f t="shared" si="200"/>
        <v>31.278176503798591</v>
      </c>
      <c r="P166" s="298">
        <f t="shared" si="200"/>
        <v>32.975375977601658</v>
      </c>
      <c r="Q166" s="298">
        <f t="shared" si="200"/>
        <v>35.751159380077418</v>
      </c>
      <c r="R166" s="298">
        <f t="shared" si="200"/>
        <v>38.453600899514456</v>
      </c>
      <c r="S166" s="298">
        <f t="shared" si="200"/>
        <v>41.453224358554941</v>
      </c>
      <c r="T166" s="298">
        <f t="shared" si="200"/>
        <v>44.658498724541509</v>
      </c>
      <c r="U166" s="298">
        <f t="shared" si="200"/>
        <v>48.120238342683756</v>
      </c>
      <c r="V166" s="298">
        <f t="shared" si="200"/>
        <v>51.847690870698479</v>
      </c>
    </row>
    <row r="167" spans="2:22">
      <c r="B167" s="225" t="s">
        <v>235</v>
      </c>
      <c r="C167" s="229"/>
      <c r="D167" s="229"/>
      <c r="E167" s="229"/>
      <c r="F167" s="229"/>
      <c r="G167" s="613"/>
      <c r="H167" s="613"/>
      <c r="I167" s="613"/>
      <c r="J167" s="298">
        <f>I162*0.35</f>
        <v>0</v>
      </c>
      <c r="K167" s="298">
        <f>J162*0.35</f>
        <v>5.2310372229245896</v>
      </c>
      <c r="L167" s="298">
        <f t="shared" ref="L167:V167" si="201">K162*0.35</f>
        <v>5.4263118424563634</v>
      </c>
      <c r="M167" s="298">
        <f t="shared" si="201"/>
        <v>9.9991468771860639</v>
      </c>
      <c r="N167" s="298">
        <f t="shared" si="201"/>
        <v>12.932894261252354</v>
      </c>
      <c r="O167" s="298">
        <f t="shared" si="201"/>
        <v>8.474665278149967</v>
      </c>
      <c r="P167" s="298">
        <f t="shared" si="201"/>
        <v>9.7120431511262595</v>
      </c>
      <c r="Q167" s="298">
        <f t="shared" si="201"/>
        <v>10.287607613769028</v>
      </c>
      <c r="R167" s="298">
        <f t="shared" si="201"/>
        <v>11.138475601536893</v>
      </c>
      <c r="S167" s="298">
        <f t="shared" si="201"/>
        <v>11.9850110879119</v>
      </c>
      <c r="T167" s="298">
        <f t="shared" si="201"/>
        <v>12.918522166618349</v>
      </c>
      <c r="U167" s="298">
        <f t="shared" si="201"/>
        <v>13.917841598598363</v>
      </c>
      <c r="V167" s="298">
        <f t="shared" si="201"/>
        <v>14.996565001961049</v>
      </c>
    </row>
    <row r="168" spans="2:22">
      <c r="B168" s="226" t="s">
        <v>165</v>
      </c>
      <c r="C168" s="224"/>
      <c r="D168" s="224"/>
      <c r="E168" s="224"/>
      <c r="F168" s="224"/>
      <c r="G168" s="224"/>
      <c r="H168" s="224"/>
      <c r="I168" s="224">
        <f t="shared" ref="I168:Q168" si="202">I166+I167</f>
        <v>0</v>
      </c>
      <c r="J168" s="224">
        <f t="shared" si="202"/>
        <v>0</v>
      </c>
      <c r="K168" s="224">
        <f t="shared" si="202"/>
        <v>5.2310372229245896</v>
      </c>
      <c r="L168" s="224">
        <f t="shared" si="202"/>
        <v>12.063190319041937</v>
      </c>
      <c r="M168" s="224">
        <f t="shared" si="202"/>
        <v>21.599282184916621</v>
      </c>
      <c r="N168" s="224">
        <f t="shared" si="202"/>
        <v>33.861207997824735</v>
      </c>
      <c r="O168" s="224">
        <f t="shared" si="202"/>
        <v>39.752841781948561</v>
      </c>
      <c r="P168" s="224">
        <f t="shared" si="202"/>
        <v>42.687419128727917</v>
      </c>
      <c r="Q168" s="224">
        <f t="shared" si="202"/>
        <v>46.038766993846444</v>
      </c>
      <c r="R168" s="224">
        <f t="shared" ref="R168:V168" si="203">R166+R167</f>
        <v>49.592076501051352</v>
      </c>
      <c r="S168" s="224">
        <f t="shared" si="203"/>
        <v>53.438235446466841</v>
      </c>
      <c r="T168" s="224">
        <f t="shared" si="203"/>
        <v>57.577020891159862</v>
      </c>
      <c r="U168" s="224">
        <f t="shared" si="203"/>
        <v>62.03807994128212</v>
      </c>
      <c r="V168" s="224">
        <f t="shared" si="203"/>
        <v>66.844255872659531</v>
      </c>
    </row>
    <row r="169" spans="2:22">
      <c r="B169" s="270" t="s">
        <v>74</v>
      </c>
      <c r="G169" s="614"/>
      <c r="H169" s="614"/>
      <c r="I169" s="614"/>
      <c r="J169" s="614"/>
      <c r="K169" s="614"/>
      <c r="L169" s="614"/>
      <c r="M169" s="614"/>
      <c r="N169" s="614"/>
      <c r="O169" s="614"/>
      <c r="P169" s="614"/>
      <c r="Q169" s="614"/>
      <c r="R169" s="614"/>
      <c r="S169" s="614"/>
      <c r="T169" s="614"/>
      <c r="U169" s="614"/>
      <c r="V169" s="614"/>
    </row>
    <row r="170" spans="2:22">
      <c r="B170" s="270"/>
      <c r="G170" s="614"/>
      <c r="H170" s="614"/>
      <c r="I170" s="614"/>
      <c r="J170" s="614"/>
      <c r="K170" s="614"/>
      <c r="L170" s="614"/>
      <c r="M170" s="614"/>
      <c r="N170" s="614"/>
      <c r="O170" s="614"/>
      <c r="P170" s="614"/>
      <c r="Q170" s="614"/>
      <c r="R170" s="614"/>
      <c r="S170" s="614"/>
      <c r="T170" s="614"/>
      <c r="U170" s="614"/>
      <c r="V170" s="614"/>
    </row>
    <row r="171" spans="2:22">
      <c r="B171" s="226" t="s">
        <v>578</v>
      </c>
      <c r="C171" s="224"/>
      <c r="D171" s="224"/>
      <c r="E171" s="224"/>
      <c r="F171" s="224"/>
      <c r="G171" s="224"/>
      <c r="H171" s="224"/>
      <c r="I171" s="224">
        <f>IF($G$4=2,I168+I163,0)</f>
        <v>0</v>
      </c>
      <c r="J171" s="224">
        <f t="shared" ref="J171:V171" si="204">IF($G$4=2,J168+J163,0)</f>
        <v>14.945820636927399</v>
      </c>
      <c r="K171" s="224">
        <f t="shared" si="204"/>
        <v>39.69729527733012</v>
      </c>
      <c r="L171" s="224">
        <f t="shared" si="204"/>
        <v>73.775425133089428</v>
      </c>
      <c r="M171" s="224">
        <f t="shared" si="204"/>
        <v>118.34559075013014</v>
      </c>
      <c r="N171" s="224">
        <f t="shared" si="204"/>
        <v>147.44075594624917</v>
      </c>
      <c r="O171" s="224">
        <f t="shared" si="204"/>
        <v>161.7168964354569</v>
      </c>
      <c r="P171" s="224">
        <f t="shared" si="204"/>
        <v>174.22675339686063</v>
      </c>
      <c r="Q171" s="224">
        <f t="shared" si="204"/>
        <v>187.73041413970745</v>
      </c>
      <c r="R171" s="224">
        <f t="shared" si="204"/>
        <v>202.27274920524235</v>
      </c>
      <c r="S171" s="224">
        <f t="shared" si="204"/>
        <v>217.9440094212093</v>
      </c>
      <c r="T171" s="224">
        <f t="shared" si="204"/>
        <v>234.82867786625164</v>
      </c>
      <c r="U171" s="224">
        <f t="shared" si="204"/>
        <v>253.02166814888076</v>
      </c>
      <c r="V171" s="224">
        <f t="shared" si="204"/>
        <v>272.6240640538897</v>
      </c>
    </row>
    <row r="172" spans="2:22">
      <c r="B172" s="270"/>
      <c r="G172" s="614"/>
      <c r="H172" s="614"/>
      <c r="I172" s="614"/>
      <c r="J172" s="614"/>
      <c r="K172" s="614"/>
      <c r="L172" s="614"/>
      <c r="M172" s="614"/>
      <c r="N172" s="614"/>
      <c r="O172" s="614"/>
      <c r="P172" s="614"/>
      <c r="Q172" s="614"/>
      <c r="R172" s="614"/>
      <c r="S172" s="614"/>
      <c r="T172" s="614"/>
      <c r="U172" s="614"/>
      <c r="V172" s="614"/>
    </row>
    <row r="173" spans="2:22">
      <c r="G173" s="612"/>
      <c r="H173" s="612"/>
      <c r="I173" s="612"/>
      <c r="J173" s="612"/>
      <c r="K173" s="612"/>
      <c r="L173" s="612"/>
      <c r="M173" s="612"/>
      <c r="N173" s="612"/>
      <c r="O173" s="612"/>
      <c r="P173" s="612"/>
      <c r="Q173" s="612"/>
      <c r="R173" s="612"/>
      <c r="S173" s="612"/>
      <c r="T173" s="612"/>
      <c r="U173" s="612"/>
      <c r="V173" s="612"/>
    </row>
    <row r="174" spans="2:22">
      <c r="B174" s="226" t="s">
        <v>204</v>
      </c>
      <c r="C174" s="224">
        <f t="shared" ref="C174:V174" si="205">C97+C171</f>
        <v>0</v>
      </c>
      <c r="D174" s="224">
        <f t="shared" si="205"/>
        <v>0</v>
      </c>
      <c r="E174" s="224">
        <f t="shared" si="205"/>
        <v>216.68429530654689</v>
      </c>
      <c r="F174" s="224">
        <f t="shared" si="205"/>
        <v>256.34136616617849</v>
      </c>
      <c r="G174" s="224">
        <f t="shared" si="205"/>
        <v>292.83402280296622</v>
      </c>
      <c r="H174" s="224">
        <f t="shared" si="205"/>
        <v>355.60902618536488</v>
      </c>
      <c r="I174" s="224">
        <f t="shared" si="205"/>
        <v>411.84055858349433</v>
      </c>
      <c r="J174" s="224">
        <f t="shared" si="205"/>
        <v>482.87479289728964</v>
      </c>
      <c r="K174" s="224">
        <f t="shared" si="205"/>
        <v>554.04322943609941</v>
      </c>
      <c r="L174" s="224">
        <f t="shared" si="205"/>
        <v>641.50201568410091</v>
      </c>
      <c r="M174" s="224">
        <f t="shared" si="205"/>
        <v>678.42599798409799</v>
      </c>
      <c r="N174" s="224">
        <f t="shared" si="205"/>
        <v>676.43050650094835</v>
      </c>
      <c r="O174" s="224">
        <f t="shared" si="205"/>
        <v>621.28710481974906</v>
      </c>
      <c r="P174" s="224">
        <f t="shared" si="205"/>
        <v>530.70465775926107</v>
      </c>
      <c r="Q174" s="224">
        <f t="shared" si="205"/>
        <v>506.15457509664918</v>
      </c>
      <c r="R174" s="224">
        <f t="shared" si="205"/>
        <v>489.39453584694309</v>
      </c>
      <c r="S174" s="224">
        <f t="shared" si="205"/>
        <v>460.94791911545946</v>
      </c>
      <c r="T174" s="224">
        <f t="shared" si="205"/>
        <v>422.49608807879054</v>
      </c>
      <c r="U174" s="224">
        <f t="shared" si="205"/>
        <v>426.8767721881793</v>
      </c>
      <c r="V174" s="224">
        <f t="shared" si="205"/>
        <v>430.71818633946066</v>
      </c>
    </row>
    <row r="175" spans="2:22">
      <c r="B175" s="270" t="s">
        <v>74</v>
      </c>
      <c r="D175" s="228"/>
      <c r="E175" s="228"/>
      <c r="F175" s="228">
        <f t="shared" ref="F175:J175" si="206">F174/E174-1</f>
        <v>0.1830177438726146</v>
      </c>
      <c r="G175" s="228">
        <f t="shared" si="206"/>
        <v>0.14235960891747235</v>
      </c>
      <c r="H175" s="228">
        <f t="shared" si="206"/>
        <v>0.21437059390000224</v>
      </c>
      <c r="I175" s="228">
        <f t="shared" si="206"/>
        <v>0.15812740469871578</v>
      </c>
      <c r="J175" s="228">
        <f t="shared" si="206"/>
        <v>0.17247993873676282</v>
      </c>
      <c r="K175" s="228">
        <f t="shared" ref="K175:Q175" si="207">K174/J174-1</f>
        <v>0.14738486577813092</v>
      </c>
      <c r="L175" s="228">
        <f t="shared" si="207"/>
        <v>0.15785552751364973</v>
      </c>
      <c r="M175" s="228">
        <f t="shared" si="207"/>
        <v>5.7558638004622908E-2</v>
      </c>
      <c r="N175" s="228">
        <f t="shared" si="207"/>
        <v>-2.9413546784455846E-3</v>
      </c>
      <c r="O175" s="228">
        <f t="shared" si="207"/>
        <v>-8.1521163151623721E-2</v>
      </c>
      <c r="P175" s="228">
        <f t="shared" si="207"/>
        <v>-0.14579804788764805</v>
      </c>
      <c r="Q175" s="228">
        <f t="shared" si="207"/>
        <v>-4.6259406816339554E-2</v>
      </c>
      <c r="R175" s="228">
        <f t="shared" ref="R175" si="208">R174/Q174-1</f>
        <v>-3.3112491863786508E-2</v>
      </c>
      <c r="S175" s="228">
        <f t="shared" ref="S175" si="209">S174/R174-1</f>
        <v>-5.8126142913005996E-2</v>
      </c>
      <c r="T175" s="228">
        <f t="shared" ref="T175" si="210">T174/S174-1</f>
        <v>-8.341903595194966E-2</v>
      </c>
      <c r="U175" s="228">
        <f t="shared" ref="U175" si="211">U174/T174-1</f>
        <v>1.0368579101664555E-2</v>
      </c>
      <c r="V175" s="228">
        <f t="shared" ref="V175" si="212">V174/U174-1</f>
        <v>8.9988830537444109E-3</v>
      </c>
    </row>
    <row r="179" spans="2:23">
      <c r="B179" s="205" t="s">
        <v>22</v>
      </c>
    </row>
    <row r="184" spans="2:23">
      <c r="B184" s="240" t="s">
        <v>33</v>
      </c>
      <c r="F184" s="627">
        <f>F97*(1-0.87)</f>
        <v>33.324377601603203</v>
      </c>
      <c r="G184" s="627">
        <f>'Rev-Exp'!Q136</f>
        <v>49.781783876504271</v>
      </c>
      <c r="H184" s="627">
        <f>'Rev-Exp'!V136</f>
        <v>68.611144713365704</v>
      </c>
      <c r="I184" s="627">
        <f>'Rev-Exp'!AA136</f>
        <v>74.131300545029006</v>
      </c>
      <c r="J184" s="627">
        <f>'Rev-Exp'!AF136</f>
        <v>84.227215006865222</v>
      </c>
      <c r="K184" s="627">
        <f>'Rev-Exp'!AG136</f>
        <v>92.582268148578493</v>
      </c>
      <c r="L184" s="627">
        <f>'Rev-Exp'!AH136</f>
        <v>102.19078629918209</v>
      </c>
      <c r="M184" s="627">
        <f>'Rev-Exp'!AI136</f>
        <v>100.81447330211425</v>
      </c>
      <c r="N184" s="627">
        <f>'Rev-Exp'!AJ136</f>
        <v>95.218155099845873</v>
      </c>
      <c r="O184" s="627">
        <f>'Rev-Exp'!AK136</f>
        <v>82.722637509172614</v>
      </c>
      <c r="P184" s="627">
        <f>'Rev-Exp'!AL136</f>
        <v>64.166022785232087</v>
      </c>
      <c r="Q184" s="627">
        <f>'Rev-Exp'!AM136</f>
        <v>57.316348972249521</v>
      </c>
      <c r="R184" s="627">
        <f>'Rev-Exp'!AN136</f>
        <v>51.681921595506147</v>
      </c>
      <c r="S184" s="627">
        <f>'Rev-Exp'!AO136</f>
        <v>43.740703744965039</v>
      </c>
      <c r="T184" s="627">
        <f>'Rev-Exp'!AP136</f>
        <v>33.780133838257015</v>
      </c>
      <c r="U184" s="627">
        <f>'Rev-Exp'!AQ136</f>
        <v>31.293918727073741</v>
      </c>
      <c r="V184" s="627">
        <f>'Rev-Exp'!AR136</f>
        <v>28.456942011402777</v>
      </c>
      <c r="W184" s="240"/>
    </row>
    <row r="185" spans="2:23">
      <c r="B185" s="240"/>
      <c r="F185" s="240"/>
      <c r="G185" s="240"/>
      <c r="H185" s="240"/>
      <c r="I185" s="240"/>
      <c r="J185" s="240"/>
      <c r="K185" s="240"/>
      <c r="L185" s="240"/>
      <c r="M185" s="240"/>
      <c r="N185" s="240"/>
      <c r="O185" s="240"/>
      <c r="P185" s="240"/>
      <c r="Q185" s="240"/>
      <c r="R185" s="240"/>
      <c r="S185" s="240"/>
      <c r="T185" s="240"/>
      <c r="U185" s="240"/>
      <c r="V185" s="240"/>
      <c r="W185" s="240"/>
    </row>
    <row r="186" spans="2:23">
      <c r="B186" s="240" t="s">
        <v>536</v>
      </c>
      <c r="F186" s="240">
        <f>IS!V57+15</f>
        <v>49.9</v>
      </c>
      <c r="G186" s="240">
        <f>IS!AA33+IS!AA57</f>
        <v>56.100000000000009</v>
      </c>
      <c r="H186" s="240">
        <f>IS!AF33+12+IS!AF57</f>
        <v>81.099999999999994</v>
      </c>
      <c r="I186" s="627">
        <f>H186*1.025</f>
        <v>83.127499999999984</v>
      </c>
      <c r="J186" s="627">
        <f t="shared" ref="J186:V186" si="213">I186*1.025</f>
        <v>85.205687499999982</v>
      </c>
      <c r="K186" s="627">
        <f t="shared" si="213"/>
        <v>87.335829687499981</v>
      </c>
      <c r="L186" s="627">
        <f t="shared" si="213"/>
        <v>89.519225429687467</v>
      </c>
      <c r="M186" s="627">
        <f>L186*0.5</f>
        <v>44.759612714843733</v>
      </c>
      <c r="N186" s="627">
        <f>M186*0.5</f>
        <v>22.379806357421867</v>
      </c>
      <c r="O186" s="627">
        <f>N186*0.5</f>
        <v>11.189903178710933</v>
      </c>
      <c r="P186" s="627">
        <f>O186*0.5</f>
        <v>5.5949515893554667</v>
      </c>
      <c r="Q186" s="627">
        <f t="shared" si="213"/>
        <v>5.7348253790893526</v>
      </c>
      <c r="R186" s="627">
        <f t="shared" si="213"/>
        <v>5.8781960135665861</v>
      </c>
      <c r="S186" s="627">
        <f t="shared" si="213"/>
        <v>6.0251509139057502</v>
      </c>
      <c r="T186" s="627">
        <f t="shared" si="213"/>
        <v>6.1757796867533932</v>
      </c>
      <c r="U186" s="627">
        <f t="shared" si="213"/>
        <v>6.3301741789222277</v>
      </c>
      <c r="V186" s="627">
        <f t="shared" si="213"/>
        <v>6.4884285333952825</v>
      </c>
      <c r="W186" s="240"/>
    </row>
    <row r="187" spans="2:23">
      <c r="B187" s="240"/>
      <c r="F187" s="240"/>
      <c r="G187" s="240"/>
      <c r="H187" s="240"/>
      <c r="I187" s="240"/>
      <c r="J187" s="240"/>
      <c r="K187" s="240"/>
      <c r="L187" s="240"/>
      <c r="M187" s="240"/>
      <c r="N187" s="240"/>
      <c r="O187" s="240"/>
      <c r="P187" s="240"/>
      <c r="Q187" s="240"/>
      <c r="R187" s="240"/>
      <c r="S187" s="240"/>
      <c r="T187" s="240"/>
      <c r="U187" s="240"/>
      <c r="V187" s="240"/>
      <c r="W187" s="240"/>
    </row>
    <row r="188" spans="2:23">
      <c r="B188" s="240" t="s">
        <v>37</v>
      </c>
      <c r="F188" s="627">
        <f>F97-F184-F186</f>
        <v>173.11698856457528</v>
      </c>
      <c r="G188" s="627">
        <f t="shared" ref="G188:V188" si="214">G97-G184-G186</f>
        <v>186.95223892646192</v>
      </c>
      <c r="H188" s="627">
        <f t="shared" si="214"/>
        <v>205.89788147199917</v>
      </c>
      <c r="I188" s="627">
        <f t="shared" si="214"/>
        <v>254.58175803846535</v>
      </c>
      <c r="J188" s="627">
        <f t="shared" si="214"/>
        <v>298.49606975349707</v>
      </c>
      <c r="K188" s="627">
        <f t="shared" si="214"/>
        <v>334.42783632269084</v>
      </c>
      <c r="L188" s="627">
        <f t="shared" si="214"/>
        <v>376.01657882214187</v>
      </c>
      <c r="M188" s="627">
        <f t="shared" si="214"/>
        <v>414.50632121700988</v>
      </c>
      <c r="N188" s="627">
        <f t="shared" si="214"/>
        <v>411.39178909743146</v>
      </c>
      <c r="O188" s="627">
        <f t="shared" si="214"/>
        <v>365.65766769640862</v>
      </c>
      <c r="P188" s="627">
        <f t="shared" si="214"/>
        <v>286.71692998781288</v>
      </c>
      <c r="Q188" s="627">
        <f t="shared" si="214"/>
        <v>255.37298660560285</v>
      </c>
      <c r="R188" s="627">
        <f t="shared" si="214"/>
        <v>229.561669032628</v>
      </c>
      <c r="S188" s="627">
        <f t="shared" si="214"/>
        <v>193.23805503537938</v>
      </c>
      <c r="T188" s="627">
        <f t="shared" si="214"/>
        <v>147.71149668752849</v>
      </c>
      <c r="U188" s="627">
        <f t="shared" si="214"/>
        <v>136.23101113330256</v>
      </c>
      <c r="V188" s="627">
        <f t="shared" si="214"/>
        <v>123.14875174077287</v>
      </c>
      <c r="W188" s="240"/>
    </row>
    <row r="189" spans="2:23">
      <c r="B189" s="626" t="s">
        <v>537</v>
      </c>
      <c r="F189" s="566">
        <f>F188/F174</f>
        <v>0.67533769969981627</v>
      </c>
      <c r="G189" s="566">
        <f t="shared" ref="G189:V189" si="215">G188/G174</f>
        <v>0.6384239001226063</v>
      </c>
      <c r="H189" s="566">
        <f t="shared" si="215"/>
        <v>0.57900071795329733</v>
      </c>
      <c r="I189" s="566">
        <f t="shared" si="215"/>
        <v>0.6181561109816065</v>
      </c>
      <c r="J189" s="566">
        <f t="shared" si="215"/>
        <v>0.61816453073165278</v>
      </c>
      <c r="K189" s="566">
        <f t="shared" si="215"/>
        <v>0.60361325354172946</v>
      </c>
      <c r="L189" s="566">
        <f t="shared" si="215"/>
        <v>0.58615026863346009</v>
      </c>
      <c r="M189" s="566">
        <f t="shared" si="215"/>
        <v>0.61098236572402953</v>
      </c>
      <c r="N189" s="566">
        <f t="shared" si="215"/>
        <v>0.60818041933898892</v>
      </c>
      <c r="O189" s="566">
        <f t="shared" si="215"/>
        <v>0.58854861924503499</v>
      </c>
      <c r="P189" s="566">
        <f t="shared" si="215"/>
        <v>0.54025704465905366</v>
      </c>
      <c r="Q189" s="566">
        <f t="shared" si="215"/>
        <v>0.50453556911313091</v>
      </c>
      <c r="R189" s="566">
        <f t="shared" si="215"/>
        <v>0.46907280776102256</v>
      </c>
      <c r="S189" s="566">
        <f t="shared" si="215"/>
        <v>0.41921884668922127</v>
      </c>
      <c r="T189" s="566">
        <f t="shared" si="215"/>
        <v>0.34961624700293564</v>
      </c>
      <c r="U189" s="566">
        <f t="shared" si="215"/>
        <v>0.31913427951345191</v>
      </c>
      <c r="V189" s="566">
        <f t="shared" si="215"/>
        <v>0.2859149105993774</v>
      </c>
      <c r="W189" s="240"/>
    </row>
    <row r="190" spans="2:23">
      <c r="B190" s="240"/>
      <c r="F190" s="240"/>
      <c r="G190" s="240"/>
      <c r="H190" s="240"/>
      <c r="I190" s="240"/>
      <c r="J190" s="240"/>
      <c r="K190" s="240"/>
      <c r="L190" s="240"/>
      <c r="M190" s="240"/>
      <c r="N190" s="240"/>
      <c r="O190" s="240"/>
      <c r="P190" s="240"/>
      <c r="Q190" s="240"/>
      <c r="R190" s="240"/>
      <c r="S190" s="240"/>
      <c r="T190" s="240"/>
      <c r="U190" s="240"/>
      <c r="V190" s="240"/>
      <c r="W190" s="240"/>
    </row>
    <row r="191" spans="2:23">
      <c r="B191" s="240" t="s">
        <v>40</v>
      </c>
      <c r="F191" s="250">
        <f>Vimizim!BE83</f>
        <v>0</v>
      </c>
      <c r="G191" s="250">
        <f>Vimizim!BF83</f>
        <v>0</v>
      </c>
      <c r="H191" s="250">
        <f>Vimizim!BG83</f>
        <v>0</v>
      </c>
      <c r="I191" s="250">
        <f>Vimizim!BH83</f>
        <v>-1.7531556802243933E-4</v>
      </c>
      <c r="J191" s="250">
        <f>Vimizim!BI83</f>
        <v>0.20000000000000004</v>
      </c>
      <c r="K191" s="250">
        <f>Vimizim!BJ83</f>
        <v>0.2</v>
      </c>
      <c r="L191" s="250">
        <f>Vimizim!BK83</f>
        <v>0.19999999999999998</v>
      </c>
      <c r="M191" s="250">
        <f>Vimizim!BL83</f>
        <v>0.2</v>
      </c>
      <c r="N191" s="250">
        <f>Vimizim!BM83</f>
        <v>0.2</v>
      </c>
      <c r="O191" s="250">
        <f>Vimizim!BN83</f>
        <v>0.2</v>
      </c>
      <c r="P191" s="250">
        <f>Vimizim!BO83</f>
        <v>0.2</v>
      </c>
      <c r="Q191" s="250">
        <f>Vimizim!BP83</f>
        <v>0.2</v>
      </c>
      <c r="R191" s="250">
        <f>Vimizim!BQ83</f>
        <v>0.2</v>
      </c>
      <c r="S191" s="250">
        <f>Vimizim!BR83</f>
        <v>0.2</v>
      </c>
      <c r="T191" s="250">
        <f>Vimizim!BS83</f>
        <v>0.2</v>
      </c>
      <c r="U191" s="250">
        <f>Vimizim!BT83</f>
        <v>0.20000000000000004</v>
      </c>
      <c r="V191" s="250">
        <f>Vimizim!BU83</f>
        <v>0.2</v>
      </c>
      <c r="W191" s="240"/>
    </row>
    <row r="192" spans="2:23">
      <c r="B192" s="240" t="s">
        <v>301</v>
      </c>
      <c r="F192" s="628">
        <f>F191*F188</f>
        <v>0</v>
      </c>
      <c r="G192" s="628">
        <f t="shared" ref="G192:V192" si="216">G191*G188</f>
        <v>0</v>
      </c>
      <c r="H192" s="628">
        <f t="shared" si="216"/>
        <v>0</v>
      </c>
      <c r="I192" s="628">
        <f t="shared" si="216"/>
        <v>-4.4632145518664762E-2</v>
      </c>
      <c r="J192" s="628">
        <f t="shared" si="216"/>
        <v>59.699213950699423</v>
      </c>
      <c r="K192" s="628">
        <f t="shared" si="216"/>
        <v>66.885567264538167</v>
      </c>
      <c r="L192" s="628">
        <f t="shared" si="216"/>
        <v>75.203315764428368</v>
      </c>
      <c r="M192" s="628">
        <f t="shared" si="216"/>
        <v>82.901264243401982</v>
      </c>
      <c r="N192" s="628">
        <f t="shared" si="216"/>
        <v>82.278357819486303</v>
      </c>
      <c r="O192" s="628">
        <f t="shared" si="216"/>
        <v>73.131533539281733</v>
      </c>
      <c r="P192" s="628">
        <f t="shared" si="216"/>
        <v>57.343385997562578</v>
      </c>
      <c r="Q192" s="628">
        <f t="shared" si="216"/>
        <v>51.074597321120571</v>
      </c>
      <c r="R192" s="628">
        <f t="shared" si="216"/>
        <v>45.912333806525602</v>
      </c>
      <c r="S192" s="628">
        <f t="shared" si="216"/>
        <v>38.647611007075881</v>
      </c>
      <c r="T192" s="628">
        <f t="shared" si="216"/>
        <v>29.5422993375057</v>
      </c>
      <c r="U192" s="628">
        <f t="shared" si="216"/>
        <v>27.246202226660518</v>
      </c>
      <c r="V192" s="628">
        <f t="shared" si="216"/>
        <v>24.629750348154573</v>
      </c>
      <c r="W192" s="240"/>
    </row>
    <row r="193" spans="2:24">
      <c r="B193" s="240"/>
      <c r="F193" s="240"/>
      <c r="G193" s="240"/>
      <c r="H193" s="240"/>
      <c r="I193" s="240"/>
      <c r="J193" s="240"/>
      <c r="K193" s="240"/>
      <c r="L193" s="240"/>
      <c r="M193" s="240"/>
      <c r="N193" s="240"/>
      <c r="O193" s="240"/>
      <c r="P193" s="240"/>
      <c r="Q193" s="240"/>
      <c r="R193" s="240"/>
      <c r="S193" s="240"/>
      <c r="T193" s="240"/>
      <c r="U193" s="240"/>
      <c r="V193" s="240"/>
      <c r="W193" s="240"/>
    </row>
    <row r="194" spans="2:24">
      <c r="B194" s="240" t="s">
        <v>302</v>
      </c>
      <c r="F194" s="627">
        <f>F188-F192</f>
        <v>173.11698856457528</v>
      </c>
      <c r="G194" s="627">
        <f t="shared" ref="G194:V194" si="217">G188-G192</f>
        <v>186.95223892646192</v>
      </c>
      <c r="H194" s="627">
        <f t="shared" si="217"/>
        <v>205.89788147199917</v>
      </c>
      <c r="I194" s="627">
        <f t="shared" si="217"/>
        <v>254.62639018398403</v>
      </c>
      <c r="J194" s="627">
        <f t="shared" si="217"/>
        <v>238.79685580279764</v>
      </c>
      <c r="K194" s="627">
        <f t="shared" si="217"/>
        <v>267.54226905815267</v>
      </c>
      <c r="L194" s="627">
        <f t="shared" si="217"/>
        <v>300.81326305771347</v>
      </c>
      <c r="M194" s="627">
        <f t="shared" si="217"/>
        <v>331.60505697360793</v>
      </c>
      <c r="N194" s="627">
        <f t="shared" si="217"/>
        <v>329.11343127794515</v>
      </c>
      <c r="O194" s="627">
        <f t="shared" si="217"/>
        <v>292.52613415712688</v>
      </c>
      <c r="P194" s="627">
        <f t="shared" si="217"/>
        <v>229.37354399025031</v>
      </c>
      <c r="Q194" s="627">
        <f t="shared" si="217"/>
        <v>204.29838928448228</v>
      </c>
      <c r="R194" s="627">
        <f t="shared" si="217"/>
        <v>183.64933522610241</v>
      </c>
      <c r="S194" s="627">
        <f t="shared" si="217"/>
        <v>154.59044402830349</v>
      </c>
      <c r="T194" s="627">
        <f t="shared" si="217"/>
        <v>118.1691973500228</v>
      </c>
      <c r="U194" s="627">
        <f t="shared" si="217"/>
        <v>108.98480890664204</v>
      </c>
      <c r="V194" s="627">
        <f t="shared" si="217"/>
        <v>98.519001392618293</v>
      </c>
      <c r="W194" s="627">
        <f>V194*(1+Vimizim!BE92)/(DCF!C24-Vimizim!BE92)</f>
        <v>1635.4154231174639</v>
      </c>
    </row>
    <row r="195" spans="2:24">
      <c r="B195" s="240"/>
      <c r="F195" s="627"/>
      <c r="G195" s="627"/>
      <c r="H195" s="627"/>
      <c r="I195" s="627">
        <f>DCF!D41</f>
        <v>1.1265250579928898</v>
      </c>
      <c r="J195" s="627">
        <f>DCF!E41</f>
        <v>1.0241136890844451</v>
      </c>
      <c r="K195" s="627">
        <f>DCF!F41</f>
        <v>0.93101244462222288</v>
      </c>
      <c r="L195" s="627">
        <f>DCF!G41</f>
        <v>0.84637494965656612</v>
      </c>
      <c r="M195" s="627">
        <f>DCF!H41</f>
        <v>0.76943177241506011</v>
      </c>
      <c r="N195" s="627">
        <f>DCF!I41</f>
        <v>0.69948342946823638</v>
      </c>
      <c r="O195" s="627">
        <f>DCF!J41</f>
        <v>0.63589402678930573</v>
      </c>
      <c r="P195" s="627">
        <f>DCF!K41</f>
        <v>0.57808547889936879</v>
      </c>
      <c r="Q195" s="627">
        <f>DCF!L41</f>
        <v>0.52553225354488076</v>
      </c>
      <c r="R195" s="627">
        <f>DCF!M41</f>
        <v>0.47775659413170962</v>
      </c>
      <c r="S195" s="627">
        <f>DCF!N41</f>
        <v>0.4343241764833724</v>
      </c>
      <c r="T195" s="627">
        <f>DCF!O41</f>
        <v>0.39484016043942943</v>
      </c>
      <c r="U195" s="627">
        <f>DCF!P41</f>
        <v>0.35894560039948126</v>
      </c>
      <c r="V195" s="627">
        <f>DCF!Q41</f>
        <v>0.32631418218134656</v>
      </c>
      <c r="W195" s="627">
        <f>DCF!R41</f>
        <v>0.29664925652849683</v>
      </c>
      <c r="X195" s="205">
        <f>DCF!Q42*DCF!Q41</f>
        <v>3.8965752342831377</v>
      </c>
    </row>
    <row r="196" spans="2:24" ht="13.5" thickBot="1">
      <c r="B196" s="240"/>
      <c r="F196" s="240"/>
      <c r="G196" s="240"/>
      <c r="H196" s="240"/>
      <c r="I196" s="627">
        <f>I195*I194*0.75</f>
        <v>215.13225672639959</v>
      </c>
      <c r="J196" s="627">
        <f t="shared" ref="J196:V196" si="218">J195*J194</f>
        <v>244.55512893796939</v>
      </c>
      <c r="K196" s="627">
        <f t="shared" si="218"/>
        <v>249.08518195560723</v>
      </c>
      <c r="L196" s="627">
        <f t="shared" si="218"/>
        <v>254.60081037649962</v>
      </c>
      <c r="M196" s="627">
        <f t="shared" si="218"/>
        <v>255.14746672900014</v>
      </c>
      <c r="N196" s="627">
        <f t="shared" si="218"/>
        <v>230.20939159435582</v>
      </c>
      <c r="O196" s="627">
        <f t="shared" si="218"/>
        <v>186.01562139028408</v>
      </c>
      <c r="P196" s="627">
        <f t="shared" si="218"/>
        <v>132.59751502444928</v>
      </c>
      <c r="Q196" s="627">
        <f t="shared" si="218"/>
        <v>107.36539291626329</v>
      </c>
      <c r="R196" s="627">
        <f t="shared" si="218"/>
        <v>87.739680912175288</v>
      </c>
      <c r="S196" s="627">
        <f t="shared" si="218"/>
        <v>67.142367294791796</v>
      </c>
      <c r="T196" s="627">
        <f t="shared" si="218"/>
        <v>46.657944840681601</v>
      </c>
      <c r="U196" s="627">
        <f t="shared" si="218"/>
        <v>39.119617667417359</v>
      </c>
      <c r="V196" s="627">
        <f t="shared" si="218"/>
        <v>32.148147368755183</v>
      </c>
      <c r="W196" s="627">
        <v>0</v>
      </c>
    </row>
    <row r="197" spans="2:24" ht="13.5" thickBot="1">
      <c r="B197" s="629" t="s">
        <v>538</v>
      </c>
      <c r="F197" s="631">
        <f>SUM(I196:W196)/DCF!C27</f>
        <v>12.156631536449266</v>
      </c>
      <c r="G197" s="240"/>
      <c r="H197" s="240"/>
      <c r="I197" s="240"/>
      <c r="J197" s="240"/>
      <c r="K197" s="240"/>
      <c r="L197" s="240"/>
      <c r="M197" s="240"/>
      <c r="N197" s="240"/>
      <c r="O197" s="240"/>
      <c r="P197" s="240"/>
      <c r="Q197" s="240"/>
      <c r="R197" s="240"/>
      <c r="S197" s="240"/>
      <c r="T197" s="240"/>
      <c r="U197" s="240"/>
      <c r="V197" s="240"/>
      <c r="W197" s="240"/>
    </row>
    <row r="203" spans="2:24">
      <c r="B203" s="205" t="s">
        <v>300</v>
      </c>
      <c r="I203" s="612">
        <f>I171*2</f>
        <v>0</v>
      </c>
      <c r="J203" s="612">
        <f t="shared" ref="J203:V203" si="219">J171*2</f>
        <v>29.891641273854798</v>
      </c>
      <c r="K203" s="612">
        <f t="shared" si="219"/>
        <v>79.39459055466024</v>
      </c>
      <c r="L203" s="612">
        <f t="shared" si="219"/>
        <v>147.55085026617886</v>
      </c>
      <c r="M203" s="612">
        <f t="shared" si="219"/>
        <v>236.69118150026029</v>
      </c>
      <c r="N203" s="612">
        <f t="shared" si="219"/>
        <v>294.88151189249834</v>
      </c>
      <c r="O203" s="612">
        <f t="shared" si="219"/>
        <v>323.43379287091381</v>
      </c>
      <c r="P203" s="612">
        <f t="shared" si="219"/>
        <v>348.45350679372126</v>
      </c>
      <c r="Q203" s="612">
        <f t="shared" si="219"/>
        <v>375.4608282794149</v>
      </c>
      <c r="R203" s="612">
        <f t="shared" si="219"/>
        <v>404.5454984104847</v>
      </c>
      <c r="S203" s="612">
        <f t="shared" si="219"/>
        <v>435.8880188424186</v>
      </c>
      <c r="T203" s="612">
        <f t="shared" si="219"/>
        <v>469.65735573250328</v>
      </c>
      <c r="U203" s="612">
        <f t="shared" si="219"/>
        <v>506.04333629776153</v>
      </c>
      <c r="V203" s="612">
        <f t="shared" si="219"/>
        <v>545.24812810777939</v>
      </c>
    </row>
    <row r="204" spans="2:24">
      <c r="I204" s="612"/>
      <c r="J204" s="612"/>
      <c r="K204" s="612"/>
      <c r="L204" s="612"/>
      <c r="M204" s="612"/>
      <c r="N204" s="612"/>
      <c r="O204" s="612"/>
      <c r="P204" s="612"/>
      <c r="Q204" s="612"/>
      <c r="R204" s="612"/>
      <c r="S204" s="612"/>
      <c r="T204" s="612"/>
      <c r="U204" s="612"/>
      <c r="V204" s="612"/>
    </row>
    <row r="205" spans="2:24">
      <c r="I205" s="612"/>
      <c r="J205" s="612"/>
      <c r="K205" s="612"/>
      <c r="L205" s="612"/>
      <c r="M205" s="612"/>
      <c r="N205" s="612"/>
      <c r="O205" s="612"/>
      <c r="P205" s="612"/>
      <c r="Q205" s="612"/>
      <c r="R205" s="612"/>
      <c r="S205" s="612"/>
      <c r="T205" s="612"/>
      <c r="U205" s="612"/>
      <c r="V205" s="612"/>
    </row>
    <row r="206" spans="2:24" ht="13.5" thickBot="1">
      <c r="B206" s="675" t="s">
        <v>535</v>
      </c>
      <c r="C206" s="675"/>
      <c r="D206" s="675"/>
      <c r="E206" s="675"/>
      <c r="F206" s="675"/>
      <c r="G206" s="675"/>
      <c r="H206" s="675"/>
      <c r="I206" s="699">
        <f>I6</f>
        <v>2017</v>
      </c>
      <c r="J206" s="699">
        <f t="shared" ref="J206:V206" si="220">J6</f>
        <v>2018</v>
      </c>
      <c r="K206" s="699">
        <f t="shared" si="220"/>
        <v>2019</v>
      </c>
      <c r="L206" s="699">
        <f t="shared" si="220"/>
        <v>2020</v>
      </c>
      <c r="M206" s="699">
        <f t="shared" si="220"/>
        <v>2021</v>
      </c>
      <c r="N206" s="699">
        <f t="shared" si="220"/>
        <v>2022</v>
      </c>
      <c r="O206" s="699">
        <f t="shared" si="220"/>
        <v>2023</v>
      </c>
      <c r="P206" s="699">
        <f t="shared" si="220"/>
        <v>2024</v>
      </c>
      <c r="Q206" s="699">
        <f t="shared" si="220"/>
        <v>2025</v>
      </c>
      <c r="R206" s="699">
        <f t="shared" si="220"/>
        <v>2026</v>
      </c>
      <c r="S206" s="699">
        <f t="shared" si="220"/>
        <v>2027</v>
      </c>
      <c r="T206" s="699">
        <f t="shared" si="220"/>
        <v>2028</v>
      </c>
      <c r="U206" s="699">
        <f t="shared" si="220"/>
        <v>2029</v>
      </c>
      <c r="V206" s="699">
        <f t="shared" si="220"/>
        <v>2030</v>
      </c>
    </row>
    <row r="207" spans="2:24">
      <c r="I207" s="612"/>
      <c r="J207" s="612"/>
      <c r="K207" s="612"/>
      <c r="L207" s="612"/>
      <c r="M207" s="612"/>
      <c r="N207" s="612"/>
      <c r="O207" s="612"/>
      <c r="P207" s="612"/>
      <c r="Q207" s="612"/>
      <c r="R207" s="612"/>
      <c r="S207" s="612"/>
      <c r="T207" s="612"/>
      <c r="U207" s="612"/>
      <c r="V207" s="612"/>
    </row>
    <row r="208" spans="2:24">
      <c r="B208" s="205" t="s">
        <v>33</v>
      </c>
      <c r="I208" s="641">
        <f>'Rev-Exp'!AA166*2</f>
        <v>0</v>
      </c>
      <c r="J208" s="641">
        <f>'Rev-Exp'!AF166*2</f>
        <v>5.9783282547709584</v>
      </c>
      <c r="K208" s="641">
        <f>'Rev-Exp'!AG166*2</f>
        <v>15.878918110932045</v>
      </c>
      <c r="L208" s="641">
        <f>'Rev-Exp'!AH166*2</f>
        <v>29.510170053235765</v>
      </c>
      <c r="M208" s="641">
        <f>'Rev-Exp'!AI166*2</f>
        <v>47.338236300052046</v>
      </c>
      <c r="N208" s="641">
        <f>'Rev-Exp'!AJ166*2</f>
        <v>58.976302378499653</v>
      </c>
      <c r="O208" s="641">
        <f>'Rev-Exp'!AK166*2</f>
        <v>64.686758574182747</v>
      </c>
      <c r="P208" s="641">
        <f>'Rev-Exp'!AL166*2</f>
        <v>69.690701358744235</v>
      </c>
      <c r="Q208" s="641">
        <f>'Rev-Exp'!AM166*2</f>
        <v>75.092165655882965</v>
      </c>
      <c r="R208" s="641">
        <f>'Rev-Exp'!AN166*2</f>
        <v>80.909099682096922</v>
      </c>
      <c r="S208" s="641">
        <f>'Rev-Exp'!AO166*2</f>
        <v>87.177603768483706</v>
      </c>
      <c r="T208" s="641">
        <f>'Rev-Exp'!AP166*2</f>
        <v>93.931471146500641</v>
      </c>
      <c r="U208" s="641">
        <f>'Rev-Exp'!AQ166*2</f>
        <v>101.20866725955229</v>
      </c>
      <c r="V208" s="641">
        <f>'Rev-Exp'!AR166*2</f>
        <v>109.04962562155585</v>
      </c>
    </row>
    <row r="209" spans="2:24">
      <c r="B209" s="205" t="s">
        <v>536</v>
      </c>
      <c r="I209" s="205">
        <f>80+15</f>
        <v>95</v>
      </c>
      <c r="J209" s="205">
        <f>80/2+15</f>
        <v>55</v>
      </c>
      <c r="K209" s="205">
        <f>40+15</f>
        <v>55</v>
      </c>
      <c r="L209" s="641">
        <f>K209*1.025</f>
        <v>56.374999999999993</v>
      </c>
      <c r="M209" s="641">
        <f t="shared" ref="M209:V209" si="221">L209*1.025</f>
        <v>57.78437499999999</v>
      </c>
      <c r="N209" s="641">
        <f t="shared" si="221"/>
        <v>59.228984374999982</v>
      </c>
      <c r="O209" s="641">
        <f t="shared" si="221"/>
        <v>60.709708984374977</v>
      </c>
      <c r="P209" s="641">
        <f t="shared" si="221"/>
        <v>62.227451708984347</v>
      </c>
      <c r="Q209" s="641">
        <f t="shared" si="221"/>
        <v>63.783138001708949</v>
      </c>
      <c r="R209" s="641">
        <f t="shared" si="221"/>
        <v>65.377716451751667</v>
      </c>
      <c r="S209" s="641">
        <f t="shared" si="221"/>
        <v>67.012159363045456</v>
      </c>
      <c r="T209" s="641">
        <f t="shared" si="221"/>
        <v>68.687463347121593</v>
      </c>
      <c r="U209" s="641">
        <f t="shared" si="221"/>
        <v>70.404649930799621</v>
      </c>
      <c r="V209" s="641">
        <f t="shared" si="221"/>
        <v>72.164766179069602</v>
      </c>
    </row>
    <row r="210" spans="2:24">
      <c r="L210" s="641"/>
      <c r="M210" s="641"/>
      <c r="N210" s="641"/>
      <c r="O210" s="641"/>
      <c r="P210" s="641"/>
      <c r="Q210" s="641"/>
      <c r="R210" s="641"/>
      <c r="S210" s="641"/>
      <c r="T210" s="641"/>
      <c r="U210" s="641"/>
      <c r="V210" s="641"/>
    </row>
    <row r="211" spans="2:24">
      <c r="B211" s="205" t="s">
        <v>37</v>
      </c>
      <c r="I211" s="642">
        <f>I203-I208-I209</f>
        <v>-95</v>
      </c>
      <c r="J211" s="642">
        <f t="shared" ref="J211:V211" si="222">J203-J208-J209</f>
        <v>-31.086686980916159</v>
      </c>
      <c r="K211" s="642">
        <f t="shared" si="222"/>
        <v>8.5156724437281923</v>
      </c>
      <c r="L211" s="642">
        <f t="shared" si="222"/>
        <v>61.665680212943094</v>
      </c>
      <c r="M211" s="642">
        <f t="shared" si="222"/>
        <v>131.56857020020826</v>
      </c>
      <c r="N211" s="642">
        <f t="shared" si="222"/>
        <v>176.67622513899869</v>
      </c>
      <c r="O211" s="642">
        <f t="shared" si="222"/>
        <v>198.03732531235607</v>
      </c>
      <c r="P211" s="642">
        <f t="shared" si="222"/>
        <v>216.53535372599271</v>
      </c>
      <c r="Q211" s="642">
        <f t="shared" si="222"/>
        <v>236.58552462182297</v>
      </c>
      <c r="R211" s="642">
        <f t="shared" si="222"/>
        <v>258.25868227663614</v>
      </c>
      <c r="S211" s="642">
        <f t="shared" si="222"/>
        <v>281.69825571088944</v>
      </c>
      <c r="T211" s="642">
        <f t="shared" si="222"/>
        <v>307.03842123888103</v>
      </c>
      <c r="U211" s="642">
        <f t="shared" si="222"/>
        <v>334.43001910740963</v>
      </c>
      <c r="V211" s="642">
        <f t="shared" si="222"/>
        <v>364.03373630715396</v>
      </c>
    </row>
    <row r="212" spans="2:24" s="323" customFormat="1">
      <c r="B212" s="701" t="s">
        <v>537</v>
      </c>
      <c r="I212" s="282"/>
      <c r="J212" s="282">
        <f>J211/J203</f>
        <v>-1.0399792602926299</v>
      </c>
      <c r="K212" s="282">
        <f t="shared" ref="K212:V212" si="223">K211/K203</f>
        <v>0.10725759002265357</v>
      </c>
      <c r="L212" s="282">
        <f t="shared" si="223"/>
        <v>0.41792832844879857</v>
      </c>
      <c r="M212" s="282">
        <f t="shared" si="223"/>
        <v>0.55586595734688815</v>
      </c>
      <c r="N212" s="282">
        <f t="shared" si="223"/>
        <v>0.59914310668417747</v>
      </c>
      <c r="O212" s="282">
        <f t="shared" si="223"/>
        <v>0.61229633290481522</v>
      </c>
      <c r="P212" s="282">
        <f t="shared" si="223"/>
        <v>0.62141820789359448</v>
      </c>
      <c r="Q212" s="282">
        <f t="shared" si="223"/>
        <v>0.63012039286760946</v>
      </c>
      <c r="R212" s="282">
        <f t="shared" si="223"/>
        <v>0.63839217910314239</v>
      </c>
      <c r="S212" s="282">
        <f t="shared" si="223"/>
        <v>0.64626290132725228</v>
      </c>
      <c r="T212" s="282">
        <f t="shared" si="223"/>
        <v>0.65374984015742099</v>
      </c>
      <c r="U212" s="282">
        <f t="shared" si="223"/>
        <v>0.66087229120358837</v>
      </c>
      <c r="V212" s="282">
        <f t="shared" si="223"/>
        <v>0.66764784240615549</v>
      </c>
    </row>
    <row r="213" spans="2:24">
      <c r="I213" s="566"/>
      <c r="J213" s="566"/>
      <c r="K213" s="566"/>
      <c r="L213" s="566"/>
      <c r="M213" s="566"/>
      <c r="N213" s="566"/>
      <c r="O213" s="566"/>
      <c r="P213" s="566"/>
      <c r="Q213" s="566"/>
      <c r="R213" s="566"/>
      <c r="S213" s="566"/>
      <c r="T213" s="566"/>
      <c r="U213" s="566"/>
      <c r="V213" s="566"/>
    </row>
    <row r="214" spans="2:24">
      <c r="B214" s="205" t="s">
        <v>301</v>
      </c>
      <c r="I214" s="641">
        <f t="shared" ref="I214:K214" si="224">I211*I191</f>
        <v>1.6654978962131736E-2</v>
      </c>
      <c r="J214" s="641">
        <f t="shared" si="224"/>
        <v>-6.2173373961832334</v>
      </c>
      <c r="K214" s="641">
        <f t="shared" si="224"/>
        <v>1.7031344887456386</v>
      </c>
      <c r="L214" s="641">
        <f>L211*L191</f>
        <v>12.333136042588619</v>
      </c>
      <c r="M214" s="641">
        <f t="shared" ref="M214:V214" si="225">M211*M191</f>
        <v>26.313714040041653</v>
      </c>
      <c r="N214" s="641">
        <f t="shared" si="225"/>
        <v>35.335245027799736</v>
      </c>
      <c r="O214" s="641">
        <f t="shared" si="225"/>
        <v>39.607465062471221</v>
      </c>
      <c r="P214" s="641">
        <f t="shared" si="225"/>
        <v>43.307070745198544</v>
      </c>
      <c r="Q214" s="641">
        <f t="shared" si="225"/>
        <v>47.3171049243646</v>
      </c>
      <c r="R214" s="641">
        <f t="shared" si="225"/>
        <v>51.651736455327232</v>
      </c>
      <c r="S214" s="641">
        <f t="shared" si="225"/>
        <v>56.339651142177892</v>
      </c>
      <c r="T214" s="641">
        <f t="shared" si="225"/>
        <v>61.40768424777621</v>
      </c>
      <c r="U214" s="641">
        <f t="shared" si="225"/>
        <v>66.886003821481935</v>
      </c>
      <c r="V214" s="641">
        <f t="shared" si="225"/>
        <v>72.8067472614308</v>
      </c>
    </row>
    <row r="215" spans="2:24">
      <c r="B215" s="700" t="s">
        <v>40</v>
      </c>
      <c r="I215" s="702">
        <f>I191</f>
        <v>-1.7531556802243933E-4</v>
      </c>
      <c r="J215" s="702">
        <f t="shared" ref="J215:V215" si="226">J191</f>
        <v>0.20000000000000004</v>
      </c>
      <c r="K215" s="702">
        <f t="shared" si="226"/>
        <v>0.2</v>
      </c>
      <c r="L215" s="702">
        <f t="shared" si="226"/>
        <v>0.19999999999999998</v>
      </c>
      <c r="M215" s="702">
        <f t="shared" si="226"/>
        <v>0.2</v>
      </c>
      <c r="N215" s="702">
        <f t="shared" si="226"/>
        <v>0.2</v>
      </c>
      <c r="O215" s="702">
        <f t="shared" si="226"/>
        <v>0.2</v>
      </c>
      <c r="P215" s="702">
        <f t="shared" si="226"/>
        <v>0.2</v>
      </c>
      <c r="Q215" s="702">
        <f t="shared" si="226"/>
        <v>0.2</v>
      </c>
      <c r="R215" s="702">
        <f t="shared" si="226"/>
        <v>0.2</v>
      </c>
      <c r="S215" s="702">
        <f t="shared" si="226"/>
        <v>0.2</v>
      </c>
      <c r="T215" s="702">
        <f t="shared" si="226"/>
        <v>0.2</v>
      </c>
      <c r="U215" s="702">
        <f t="shared" si="226"/>
        <v>0.20000000000000004</v>
      </c>
      <c r="V215" s="702">
        <f t="shared" si="226"/>
        <v>0.2</v>
      </c>
    </row>
    <row r="216" spans="2:24">
      <c r="L216" s="641"/>
      <c r="M216" s="641"/>
      <c r="N216" s="641"/>
      <c r="O216" s="641"/>
      <c r="P216" s="641"/>
      <c r="Q216" s="641"/>
      <c r="R216" s="641"/>
      <c r="S216" s="641"/>
      <c r="T216" s="641"/>
      <c r="U216" s="641"/>
      <c r="V216" s="641"/>
    </row>
    <row r="217" spans="2:24">
      <c r="B217" s="703" t="s">
        <v>85</v>
      </c>
      <c r="C217" s="703"/>
      <c r="D217" s="703"/>
      <c r="E217" s="703"/>
      <c r="F217" s="703"/>
      <c r="G217" s="703"/>
      <c r="H217" s="703"/>
      <c r="I217" s="704">
        <f>I211-I214</f>
        <v>-95.016654978962137</v>
      </c>
      <c r="J217" s="704">
        <f t="shared" ref="J217:V217" si="227">J211-J214</f>
        <v>-24.869349584732927</v>
      </c>
      <c r="K217" s="704">
        <f t="shared" si="227"/>
        <v>6.8125379549825542</v>
      </c>
      <c r="L217" s="704">
        <f t="shared" si="227"/>
        <v>49.332544170354474</v>
      </c>
      <c r="M217" s="704">
        <f t="shared" si="227"/>
        <v>105.25485616016661</v>
      </c>
      <c r="N217" s="704">
        <f t="shared" si="227"/>
        <v>141.34098011119895</v>
      </c>
      <c r="O217" s="704">
        <f t="shared" si="227"/>
        <v>158.42986024988485</v>
      </c>
      <c r="P217" s="704">
        <f t="shared" si="227"/>
        <v>173.22828298079418</v>
      </c>
      <c r="Q217" s="704">
        <f t="shared" si="227"/>
        <v>189.26841969745837</v>
      </c>
      <c r="R217" s="704">
        <f t="shared" si="227"/>
        <v>206.6069458213089</v>
      </c>
      <c r="S217" s="704">
        <f t="shared" si="227"/>
        <v>225.35860456871154</v>
      </c>
      <c r="T217" s="704">
        <f t="shared" si="227"/>
        <v>245.63073699110481</v>
      </c>
      <c r="U217" s="704">
        <f t="shared" si="227"/>
        <v>267.54401528592768</v>
      </c>
      <c r="V217" s="704">
        <f t="shared" si="227"/>
        <v>291.22698904572314</v>
      </c>
      <c r="W217" s="205">
        <f>V217*(1+DCF!C25)/(PKU!F226-DCF!C25)</f>
        <v>1597.8129398995077</v>
      </c>
    </row>
    <row r="218" spans="2:24" ht="13.5" thickBot="1"/>
    <row r="219" spans="2:24">
      <c r="B219" s="679" t="s">
        <v>556</v>
      </c>
      <c r="C219" s="687"/>
      <c r="D219" s="687"/>
      <c r="E219" s="687"/>
      <c r="F219" s="690">
        <f>F228</f>
        <v>3.4513932836279384</v>
      </c>
    </row>
    <row r="220" spans="2:24" ht="13.5" thickBot="1">
      <c r="B220" s="677" t="s">
        <v>557</v>
      </c>
      <c r="C220" s="688"/>
      <c r="D220" s="688"/>
      <c r="E220" s="688"/>
      <c r="F220" s="689">
        <f>F227</f>
        <v>0.57469632601676679</v>
      </c>
    </row>
    <row r="224" spans="2:24">
      <c r="I224" s="640">
        <f>1/(1+$F$226)^(I6-DCF!$C$26)</f>
        <v>1.2559621672705266</v>
      </c>
      <c r="J224" s="640">
        <f>1/(1+$F$226)^(J6-DCF!$C$26)</f>
        <v>1.0466351393921056</v>
      </c>
      <c r="K224" s="640">
        <f>1/(1+$F$226)^(K6-DCF!$C$26)</f>
        <v>0.87219594949342127</v>
      </c>
      <c r="L224" s="640">
        <f>1/(1+$F$226)^(L6-DCF!$C$26)</f>
        <v>0.72682995791118443</v>
      </c>
      <c r="M224" s="640">
        <f>1/(1+$F$226)^(M6-DCF!$C$26)</f>
        <v>0.60569163159265371</v>
      </c>
      <c r="N224" s="640">
        <f>1/(1+$F$226)^(N6-DCF!$C$26)</f>
        <v>0.50474302632721146</v>
      </c>
      <c r="O224" s="640">
        <f>1/(1+$F$226)^(O6-DCF!$C$26)</f>
        <v>0.42061918860600955</v>
      </c>
      <c r="P224" s="640">
        <f>1/(1+$F$226)^(P6-DCF!$C$26)</f>
        <v>0.35051599050500798</v>
      </c>
      <c r="Q224" s="640">
        <f>1/(1+$F$226)^(Q6-DCF!$C$26)</f>
        <v>0.29209665875417329</v>
      </c>
      <c r="R224" s="640">
        <f>1/(1+$F$226)^(R6-DCF!$C$26)</f>
        <v>0.24341388229514449</v>
      </c>
      <c r="S224" s="640">
        <f>1/(1+$F$226)^(S6-DCF!$C$26)</f>
        <v>0.20284490191262039</v>
      </c>
      <c r="T224" s="640">
        <f>1/(1+$F$226)^(T6-DCF!$C$26)</f>
        <v>0.16903741826051699</v>
      </c>
      <c r="U224" s="640">
        <f>1/(1+$F$226)^(U6-DCF!$C$26)</f>
        <v>0.1408645152170975</v>
      </c>
      <c r="V224" s="640">
        <f>1/(1+$F$226)^(V6-DCF!$C$26)</f>
        <v>0.11738709601424792</v>
      </c>
      <c r="W224" s="640">
        <f>1/(1+$F$226)^(W6-DCF!$C$26)</f>
        <v>9.7822580011873272E-2</v>
      </c>
      <c r="X224" s="205">
        <f>W224*(1+DCF!C25)/(PKU!F226-DCF!C25)</f>
        <v>0.53670226330838577</v>
      </c>
    </row>
    <row r="225" spans="2:23">
      <c r="I225" s="640">
        <f>I224*I217*0.75</f>
        <v>-89.502992935629862</v>
      </c>
      <c r="J225" s="640">
        <f>J224*J217</f>
        <v>-26.029135169207951</v>
      </c>
      <c r="K225" s="640">
        <f t="shared" ref="K225:W225" si="228">K224*K217</f>
        <v>5.9418680101059795</v>
      </c>
      <c r="L225" s="640">
        <f t="shared" si="228"/>
        <v>35.856371002990386</v>
      </c>
      <c r="M225" s="640">
        <f t="shared" si="228"/>
        <v>63.751985560701392</v>
      </c>
      <c r="N225" s="640">
        <f t="shared" si="228"/>
        <v>71.340874045380758</v>
      </c>
      <c r="O225" s="640">
        <f t="shared" si="228"/>
        <v>66.638639269270058</v>
      </c>
      <c r="P225" s="640">
        <f t="shared" si="228"/>
        <v>60.719283192494885</v>
      </c>
      <c r="Q225" s="640">
        <f t="shared" si="228"/>
        <v>55.284673001310146</v>
      </c>
      <c r="R225" s="640">
        <f t="shared" si="228"/>
        <v>50.290998791507377</v>
      </c>
      <c r="S225" s="640">
        <f t="shared" si="228"/>
        <v>45.712844038905295</v>
      </c>
      <c r="T225" s="640">
        <f t="shared" si="228"/>
        <v>41.520785626404425</v>
      </c>
      <c r="U225" s="640">
        <f t="shared" si="228"/>
        <v>37.68745801248793</v>
      </c>
      <c r="V225" s="640">
        <f t="shared" si="228"/>
        <v>34.18629052505063</v>
      </c>
      <c r="W225" s="640">
        <f t="shared" si="228"/>
        <v>156.30218415732605</v>
      </c>
    </row>
    <row r="226" spans="2:23">
      <c r="B226" s="205" t="s">
        <v>547</v>
      </c>
      <c r="F226" s="638">
        <v>0.2</v>
      </c>
    </row>
    <row r="227" spans="2:23" ht="13.5" thickBot="1">
      <c r="B227" s="205" t="s">
        <v>548</v>
      </c>
      <c r="F227" s="670">
        <f>SUM(I224:V224,X224)/SUM(I195:V195,X195)</f>
        <v>0.57469632601676679</v>
      </c>
    </row>
    <row r="228" spans="2:23" ht="13.5" thickBot="1">
      <c r="B228" s="629" t="s">
        <v>538</v>
      </c>
      <c r="F228" s="631">
        <f>SUM(I225:W225)/DCF!C27</f>
        <v>3.4513932836279384</v>
      </c>
    </row>
    <row r="232" spans="2:23">
      <c r="B232" s="205" t="s">
        <v>77</v>
      </c>
    </row>
    <row r="233" spans="2:23">
      <c r="B233" s="205" t="s">
        <v>78</v>
      </c>
    </row>
    <row r="234" spans="2:23">
      <c r="B234" s="205" t="s">
        <v>79</v>
      </c>
    </row>
    <row r="235" spans="2:23">
      <c r="B235" s="205" t="s">
        <v>80</v>
      </c>
    </row>
  </sheetData>
  <pageMargins left="0" right="0" top="0" bottom="0" header="0" footer="0"/>
  <pageSetup paperSize="5" scale="23"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2:BQ84"/>
  <sheetViews>
    <sheetView zoomScale="85" zoomScaleNormal="85" workbookViewId="0">
      <pane xSplit="2" ySplit="5" topLeftCell="Z24" activePane="bottomRight" state="frozen"/>
      <selection pane="topRight" activeCell="D1" sqref="D1"/>
      <selection pane="bottomLeft" activeCell="A3" sqref="A3"/>
      <selection pane="bottomRight" activeCell="AD55" sqref="AD55"/>
    </sheetView>
  </sheetViews>
  <sheetFormatPr defaultColWidth="8" defaultRowHeight="12.75" outlineLevelRow="1" outlineLevelCol="1"/>
  <cols>
    <col min="1" max="1" width="4" style="240" customWidth="1"/>
    <col min="2" max="2" width="25.625" style="240" customWidth="1"/>
    <col min="3" max="3" width="1.625" style="240" hidden="1" customWidth="1" outlineLevel="1"/>
    <col min="4" max="25" width="8.875" style="240" hidden="1" customWidth="1" outlineLevel="1"/>
    <col min="26" max="26" width="8.875" style="240" customWidth="1" collapsed="1"/>
    <col min="27" max="37" width="8.875" style="240" customWidth="1"/>
    <col min="38" max="42" width="8.625" style="240" bestFit="1" customWidth="1"/>
    <col min="43" max="16384" width="8" style="240"/>
  </cols>
  <sheetData>
    <row r="2" spans="2:42" ht="13.5" thickBot="1"/>
    <row r="3" spans="2:42" ht="14.25" thickBot="1">
      <c r="B3" s="242" t="s">
        <v>167</v>
      </c>
      <c r="C3" s="244"/>
      <c r="D3" s="244"/>
      <c r="E3" s="244"/>
      <c r="F3" s="244"/>
      <c r="G3" s="244"/>
      <c r="H3" s="244"/>
      <c r="I3" s="244"/>
      <c r="J3" s="244"/>
      <c r="K3" s="244"/>
      <c r="L3" s="244"/>
      <c r="M3" s="244"/>
      <c r="N3" s="244"/>
      <c r="O3" s="244"/>
      <c r="P3" s="244"/>
      <c r="Q3" s="244"/>
      <c r="R3" s="244"/>
      <c r="S3" s="244"/>
      <c r="T3" s="244"/>
      <c r="U3" s="244"/>
      <c r="V3" s="244"/>
      <c r="W3" s="244"/>
      <c r="X3" s="244"/>
      <c r="Y3" s="244"/>
      <c r="Z3" s="551">
        <f>DCF!C30</f>
        <v>2</v>
      </c>
    </row>
    <row r="4" spans="2:42" ht="15" customHeight="1"/>
    <row r="5" spans="2:42" ht="15" customHeight="1">
      <c r="B5" s="220"/>
      <c r="C5" s="220">
        <v>1991</v>
      </c>
      <c r="D5" s="220">
        <v>1992</v>
      </c>
      <c r="E5" s="220">
        <v>1993</v>
      </c>
      <c r="F5" s="220">
        <v>1994</v>
      </c>
      <c r="G5" s="220">
        <v>1995</v>
      </c>
      <c r="H5" s="220">
        <v>1996</v>
      </c>
      <c r="I5" s="220">
        <v>1997</v>
      </c>
      <c r="J5" s="220">
        <v>1998</v>
      </c>
      <c r="K5" s="220">
        <v>1999</v>
      </c>
      <c r="L5" s="220">
        <v>2000</v>
      </c>
      <c r="M5" s="220">
        <v>2001</v>
      </c>
      <c r="N5" s="220">
        <v>2002</v>
      </c>
      <c r="O5" s="220">
        <v>2003</v>
      </c>
      <c r="P5" s="220">
        <v>2004</v>
      </c>
      <c r="Q5" s="220">
        <v>2005</v>
      </c>
      <c r="R5" s="220">
        <v>2006</v>
      </c>
      <c r="S5" s="220">
        <v>2007</v>
      </c>
      <c r="T5" s="220">
        <v>2008</v>
      </c>
      <c r="U5" s="220">
        <v>2009</v>
      </c>
      <c r="V5" s="220">
        <v>2010</v>
      </c>
      <c r="W5" s="220">
        <v>2011</v>
      </c>
      <c r="X5" s="220">
        <v>2012</v>
      </c>
      <c r="Y5" s="220">
        <v>2013</v>
      </c>
      <c r="Z5" s="220">
        <v>2014</v>
      </c>
      <c r="AA5" s="220">
        <v>2015</v>
      </c>
      <c r="AB5" s="220">
        <v>2016</v>
      </c>
      <c r="AC5" s="220">
        <v>2017</v>
      </c>
      <c r="AD5" s="220">
        <v>2018</v>
      </c>
      <c r="AE5" s="220">
        <v>2019</v>
      </c>
      <c r="AF5" s="220">
        <v>2020</v>
      </c>
      <c r="AG5" s="220">
        <v>2021</v>
      </c>
      <c r="AH5" s="220">
        <v>2022</v>
      </c>
      <c r="AI5" s="220">
        <v>2023</v>
      </c>
      <c r="AJ5" s="220">
        <v>2024</v>
      </c>
      <c r="AK5" s="220">
        <v>2025</v>
      </c>
      <c r="AL5" s="220">
        <v>2026</v>
      </c>
      <c r="AM5" s="220">
        <v>2027</v>
      </c>
      <c r="AN5" s="220">
        <v>2028</v>
      </c>
      <c r="AO5" s="220">
        <v>2029</v>
      </c>
      <c r="AP5" s="220">
        <v>2030</v>
      </c>
    </row>
    <row r="6" spans="2:42" ht="15" customHeight="1">
      <c r="B6" s="245" t="s">
        <v>195</v>
      </c>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row>
    <row r="7" spans="2:42" ht="15" customHeight="1">
      <c r="B7" s="247" t="s">
        <v>24</v>
      </c>
      <c r="C7" s="248">
        <f>Vimizim!AH7</f>
        <v>3555854.6930170674</v>
      </c>
      <c r="D7" s="248">
        <f>Vimizim!AI7</f>
        <v>3573633.9664821522</v>
      </c>
      <c r="E7" s="248">
        <f>Vimizim!AJ7</f>
        <v>3591502.1363145625</v>
      </c>
      <c r="F7" s="248">
        <f>Vimizim!AK7</f>
        <v>3609459.6469961349</v>
      </c>
      <c r="G7" s="248">
        <f>Vimizim!AL7</f>
        <v>3627506.945231115</v>
      </c>
      <c r="H7" s="248">
        <f>Vimizim!AM7</f>
        <v>3645644.47995727</v>
      </c>
      <c r="I7" s="248">
        <f>Vimizim!AN7</f>
        <v>3663872.7023570561</v>
      </c>
      <c r="J7" s="248">
        <f>Vimizim!AO7</f>
        <v>3682192.065868841</v>
      </c>
      <c r="K7" s="248">
        <f>Vimizim!AP7</f>
        <v>3700603.026198185</v>
      </c>
      <c r="L7" s="248">
        <f>Vimizim!AQ7</f>
        <v>3719106.0413291757</v>
      </c>
      <c r="M7" s="248">
        <f>Vimizim!AR7</f>
        <v>3737701.5715358211</v>
      </c>
      <c r="N7" s="248">
        <f>Vimizim!AS7</f>
        <v>3756390.0793935</v>
      </c>
      <c r="O7" s="248">
        <f>Vimizim!AT7</f>
        <v>3775172.0297904671</v>
      </c>
      <c r="P7" s="248">
        <f>Vimizim!AU7</f>
        <v>3794047.889939419</v>
      </c>
      <c r="Q7" s="248">
        <f>Vimizim!AV7</f>
        <v>3813018.1293891156</v>
      </c>
      <c r="R7" s="248">
        <f>Vimizim!AW7</f>
        <v>3832083.220036061</v>
      </c>
      <c r="S7" s="248">
        <f>Vimizim!AX7</f>
        <v>3851243.6361362408</v>
      </c>
      <c r="T7" s="248">
        <f>Vimizim!AY7</f>
        <v>3870499.8543169214</v>
      </c>
      <c r="U7" s="248">
        <f>Vimizim!AZ7</f>
        <v>3889852.3535885056</v>
      </c>
      <c r="V7" s="248">
        <f>Vimizim!BA7</f>
        <v>3909301.6153564476</v>
      </c>
      <c r="W7" s="248">
        <f>Vimizim!BB7</f>
        <v>3928848.1234332295</v>
      </c>
      <c r="X7" s="248">
        <f>Vimizim!BC7</f>
        <v>3948492.3640503953</v>
      </c>
      <c r="Y7" s="248">
        <f>Vimizim!BD7</f>
        <v>3968234.8258706471</v>
      </c>
      <c r="Z7" s="248">
        <f>Vimizim!BE7</f>
        <v>3988076</v>
      </c>
      <c r="AA7" s="248">
        <f>Vimizim!BF7</f>
        <v>4008016.3799999994</v>
      </c>
      <c r="AB7" s="248">
        <f>Vimizim!BG7</f>
        <v>4028056.4618999991</v>
      </c>
      <c r="AC7" s="248">
        <f>Vimizim!BH7</f>
        <v>4048196.7442094986</v>
      </c>
      <c r="AD7" s="248">
        <f>Vimizim!BI7</f>
        <v>4068437.7279305458</v>
      </c>
      <c r="AE7" s="248">
        <f>Vimizim!BJ7</f>
        <v>4088779.9165701983</v>
      </c>
      <c r="AF7" s="248">
        <f>Vimizim!BK7</f>
        <v>4109223.816153049</v>
      </c>
      <c r="AG7" s="248">
        <f>Vimizim!BL7</f>
        <v>4129769.9352338137</v>
      </c>
      <c r="AH7" s="248">
        <f>Vimizim!BM7</f>
        <v>4150418.7849099822</v>
      </c>
      <c r="AI7" s="248">
        <f>Vimizim!BN7</f>
        <v>4171170.8788345316</v>
      </c>
      <c r="AJ7" s="248">
        <f>Vimizim!BO7</f>
        <v>4192026.733228704</v>
      </c>
      <c r="AK7" s="248">
        <f>Vimizim!BP7</f>
        <v>4212986.8668948468</v>
      </c>
      <c r="AL7" s="248">
        <f>Vimizim!BQ7</f>
        <v>4234051.8012293205</v>
      </c>
      <c r="AM7" s="248">
        <f>Vimizim!BR7</f>
        <v>4255222.0602354668</v>
      </c>
      <c r="AN7" s="248">
        <f>Vimizim!BS7</f>
        <v>4276498.1705366438</v>
      </c>
      <c r="AO7" s="248">
        <f>Vimizim!BT7</f>
        <v>4297880.6613893267</v>
      </c>
      <c r="AP7" s="248">
        <f>Vimizim!BU7</f>
        <v>4319370.0646962728</v>
      </c>
    </row>
    <row r="8" spans="2:42" ht="15" customHeight="1">
      <c r="B8" s="247" t="s">
        <v>25</v>
      </c>
      <c r="C8" s="248">
        <f>Vimizim!AH8</f>
        <v>4851683.541417582</v>
      </c>
      <c r="D8" s="248">
        <f>Vimizim!AI8</f>
        <v>4861386.9085004171</v>
      </c>
      <c r="E8" s="248">
        <f>Vimizim!AJ8</f>
        <v>4871109.682317418</v>
      </c>
      <c r="F8" s="248">
        <f>Vimizim!AK8</f>
        <v>4880851.9016820528</v>
      </c>
      <c r="G8" s="248">
        <f>Vimizim!AL8</f>
        <v>4890613.6054854169</v>
      </c>
      <c r="H8" s="248">
        <f>Vimizim!AM8</f>
        <v>4900394.8326963875</v>
      </c>
      <c r="I8" s="248">
        <f>Vimizim!AN8</f>
        <v>4910195.6223617801</v>
      </c>
      <c r="J8" s="248">
        <f>Vimizim!AO8</f>
        <v>4920016.0136065036</v>
      </c>
      <c r="K8" s="248">
        <f>Vimizim!AP8</f>
        <v>4929856.0456337165</v>
      </c>
      <c r="L8" s="248">
        <f>Vimizim!AQ8</f>
        <v>4939715.7577249836</v>
      </c>
      <c r="M8" s="248">
        <f>Vimizim!AR8</f>
        <v>4949595.1892404333</v>
      </c>
      <c r="N8" s="248">
        <f>Vimizim!AS8</f>
        <v>4959494.3796189139</v>
      </c>
      <c r="O8" s="248">
        <f>Vimizim!AT8</f>
        <v>4969413.3683781521</v>
      </c>
      <c r="P8" s="248">
        <f>Vimizim!AU8</f>
        <v>4979352.1951149087</v>
      </c>
      <c r="Q8" s="248">
        <f>Vimizim!AV8</f>
        <v>4989310.8995051384</v>
      </c>
      <c r="R8" s="248">
        <f>Vimizim!AW8</f>
        <v>4999289.5213041482</v>
      </c>
      <c r="S8" s="248">
        <f>Vimizim!AX8</f>
        <v>5009288.1003467562</v>
      </c>
      <c r="T8" s="248">
        <f>Vimizim!AY8</f>
        <v>5019306.67654745</v>
      </c>
      <c r="U8" s="248">
        <f>Vimizim!AZ8</f>
        <v>5029345.289900545</v>
      </c>
      <c r="V8" s="248">
        <f>Vimizim!BA8</f>
        <v>5039403.9804803459</v>
      </c>
      <c r="W8" s="248">
        <f>Vimizim!BB8</f>
        <v>5049482.7884413069</v>
      </c>
      <c r="X8" s="248">
        <f>Vimizim!BC8</f>
        <v>5059581.7540181894</v>
      </c>
      <c r="Y8" s="248">
        <f>Vimizim!BD8</f>
        <v>5069700.9175262256</v>
      </c>
      <c r="Z8" s="248">
        <f>Vimizim!BE8</f>
        <v>5079840.3193612779</v>
      </c>
      <c r="AA8" s="248">
        <f>Vimizim!BF8</f>
        <v>5090000</v>
      </c>
      <c r="AB8" s="248">
        <f>Vimizim!BG8</f>
        <v>5100180</v>
      </c>
      <c r="AC8" s="248">
        <f>Vimizim!BH8</f>
        <v>5110380.3600000003</v>
      </c>
      <c r="AD8" s="248">
        <f>Vimizim!BI8</f>
        <v>5120601.12072</v>
      </c>
      <c r="AE8" s="248">
        <f>Vimizim!BJ8</f>
        <v>5130842.3229614403</v>
      </c>
      <c r="AF8" s="248">
        <f>Vimizim!BK8</f>
        <v>5141104.0076073632</v>
      </c>
      <c r="AG8" s="248">
        <f>Vimizim!BL8</f>
        <v>5151386.2156225778</v>
      </c>
      <c r="AH8" s="248">
        <f>Vimizim!BM8</f>
        <v>5161688.9880538229</v>
      </c>
      <c r="AI8" s="248">
        <f>Vimizim!BN8</f>
        <v>5172012.3660299303</v>
      </c>
      <c r="AJ8" s="248">
        <f>Vimizim!BO8</f>
        <v>5182356.3907619901</v>
      </c>
      <c r="AK8" s="248">
        <f>Vimizim!BP8</f>
        <v>5192721.1035435144</v>
      </c>
      <c r="AL8" s="248">
        <f>Vimizim!BQ8</f>
        <v>5203106.5457506012</v>
      </c>
      <c r="AM8" s="248">
        <f>Vimizim!BR8</f>
        <v>5213512.7588421023</v>
      </c>
      <c r="AN8" s="248">
        <f>Vimizim!BS8</f>
        <v>5223939.7843597867</v>
      </c>
      <c r="AO8" s="248">
        <f>Vimizim!BT8</f>
        <v>5234387.663928506</v>
      </c>
      <c r="AP8" s="248">
        <f>Vimizim!BU8</f>
        <v>5244856.4392563626</v>
      </c>
    </row>
    <row r="9" spans="2:42" ht="15" customHeight="1">
      <c r="B9" s="247" t="s">
        <v>68</v>
      </c>
      <c r="C9" s="248">
        <f>Vimizim!AH9</f>
        <v>1193986.5317251009</v>
      </c>
      <c r="D9" s="248">
        <f>Vimizim!AI9</f>
        <v>1184510.4481399811</v>
      </c>
      <c r="E9" s="248">
        <f>Vimizim!AJ9</f>
        <v>1175109.5715674416</v>
      </c>
      <c r="F9" s="248">
        <f>Vimizim!AK9</f>
        <v>1165783.3051264302</v>
      </c>
      <c r="G9" s="248">
        <f>Vimizim!AL9</f>
        <v>1156531.056673046</v>
      </c>
      <c r="H9" s="248">
        <f>Vimizim!AM9</f>
        <v>1147352.2387629424</v>
      </c>
      <c r="I9" s="248">
        <f>Vimizim!AN9</f>
        <v>1138246.2686140302</v>
      </c>
      <c r="J9" s="248">
        <f>Vimizim!AO9</f>
        <v>1129212.5680694743</v>
      </c>
      <c r="K9" s="248">
        <f>Vimizim!AP9</f>
        <v>1120250.5635609864</v>
      </c>
      <c r="L9" s="248">
        <f>Vimizim!AQ9</f>
        <v>1111359.6860724071</v>
      </c>
      <c r="M9" s="248">
        <f>Vimizim!AR9</f>
        <v>1102539.3711035785</v>
      </c>
      <c r="N9" s="248">
        <f>Vimizim!AS9</f>
        <v>1093789.0586345023</v>
      </c>
      <c r="O9" s="248">
        <f>Vimizim!AT9</f>
        <v>1085108.1930897841</v>
      </c>
      <c r="P9" s="248">
        <f>Vimizim!AU9</f>
        <v>1076496.2233033574</v>
      </c>
      <c r="Q9" s="248">
        <f>Vimizim!AV9</f>
        <v>1067952.6024834896</v>
      </c>
      <c r="R9" s="248">
        <f>Vimizim!AW9</f>
        <v>1059476.7881780651</v>
      </c>
      <c r="S9" s="248">
        <f>Vimizim!AX9</f>
        <v>1051068.2422401439</v>
      </c>
      <c r="T9" s="248">
        <f>Vimizim!AY9</f>
        <v>1042726.4307937936</v>
      </c>
      <c r="U9" s="248">
        <f>Vimizim!AZ9</f>
        <v>1034450.8242001921</v>
      </c>
      <c r="V9" s="248">
        <f>Vimizim!BA9</f>
        <v>1026240.8970240001</v>
      </c>
      <c r="W9" s="248">
        <f>Vimizim!BB9</f>
        <v>1018096.128</v>
      </c>
      <c r="X9" s="248">
        <f>Vimizim!BC9</f>
        <v>1010016</v>
      </c>
      <c r="Y9" s="248">
        <f>Vimizim!BD9</f>
        <v>1002000</v>
      </c>
      <c r="Z9" s="248">
        <f>Vimizim!BE9</f>
        <v>1000000</v>
      </c>
      <c r="AA9" s="248">
        <f>Vimizim!BF9</f>
        <v>999900</v>
      </c>
      <c r="AB9" s="248">
        <f>Vimizim!BG9</f>
        <v>999800.01</v>
      </c>
      <c r="AC9" s="248">
        <f>Vimizim!BH9</f>
        <v>999700.02999900002</v>
      </c>
      <c r="AD9" s="248">
        <f>Vimizim!BI9</f>
        <v>999600.05999600014</v>
      </c>
      <c r="AE9" s="248">
        <f>Vimizim!BJ9</f>
        <v>999500.0999900006</v>
      </c>
      <c r="AF9" s="248">
        <f>Vimizim!BK9</f>
        <v>999400.14998000162</v>
      </c>
      <c r="AG9" s="248">
        <f>Vimizim!BL9</f>
        <v>999300.20996500365</v>
      </c>
      <c r="AH9" s="248">
        <f>Vimizim!BM9</f>
        <v>999200.27994400717</v>
      </c>
      <c r="AI9" s="248">
        <f>Vimizim!BN9</f>
        <v>999100.35991601273</v>
      </c>
      <c r="AJ9" s="248">
        <f>Vimizim!BO9</f>
        <v>999000.44988002116</v>
      </c>
      <c r="AK9" s="248">
        <f>Vimizim!BP9</f>
        <v>998900.54983503313</v>
      </c>
      <c r="AL9" s="248">
        <f>Vimizim!BQ9</f>
        <v>998800.6597800497</v>
      </c>
      <c r="AM9" s="248">
        <f>Vimizim!BR9</f>
        <v>998700.77971407166</v>
      </c>
      <c r="AN9" s="248">
        <f>Vimizim!BS9</f>
        <v>998600.90963610029</v>
      </c>
      <c r="AO9" s="248">
        <f>Vimizim!BT9</f>
        <v>998501.04954513675</v>
      </c>
      <c r="AP9" s="248">
        <f>Vimizim!BU9</f>
        <v>998401.19944018219</v>
      </c>
    </row>
    <row r="10" spans="2:42" ht="15" customHeight="1">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250"/>
      <c r="AB10" s="250"/>
      <c r="AC10" s="250"/>
      <c r="AD10" s="250"/>
      <c r="AE10" s="250"/>
      <c r="AF10" s="250"/>
      <c r="AG10" s="250"/>
      <c r="AH10" s="250"/>
      <c r="AI10" s="250"/>
      <c r="AJ10" s="250"/>
      <c r="AK10" s="250"/>
      <c r="AL10" s="250"/>
      <c r="AM10" s="250"/>
      <c r="AN10" s="250"/>
      <c r="AO10" s="250"/>
      <c r="AP10" s="250"/>
    </row>
    <row r="11" spans="2:42" ht="15" customHeight="1">
      <c r="B11" s="245" t="s">
        <v>69</v>
      </c>
      <c r="C11" s="229"/>
      <c r="D11" s="229"/>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c r="AM11" s="229"/>
      <c r="AN11" s="229"/>
      <c r="AO11" s="229"/>
      <c r="AP11" s="229"/>
    </row>
    <row r="12" spans="2:42" ht="15" customHeight="1">
      <c r="B12" s="247" t="s">
        <v>24</v>
      </c>
      <c r="C12" s="241">
        <f t="shared" ref="C12:V14" si="0">1/100000</f>
        <v>1.0000000000000001E-5</v>
      </c>
      <c r="D12" s="241">
        <f t="shared" si="0"/>
        <v>1.0000000000000001E-5</v>
      </c>
      <c r="E12" s="241">
        <f t="shared" si="0"/>
        <v>1.0000000000000001E-5</v>
      </c>
      <c r="F12" s="241">
        <f t="shared" si="0"/>
        <v>1.0000000000000001E-5</v>
      </c>
      <c r="G12" s="241">
        <f t="shared" si="0"/>
        <v>1.0000000000000001E-5</v>
      </c>
      <c r="H12" s="241">
        <f t="shared" si="0"/>
        <v>1.0000000000000001E-5</v>
      </c>
      <c r="I12" s="241">
        <f t="shared" si="0"/>
        <v>1.0000000000000001E-5</v>
      </c>
      <c r="J12" s="241">
        <f t="shared" si="0"/>
        <v>1.0000000000000001E-5</v>
      </c>
      <c r="K12" s="241">
        <f t="shared" si="0"/>
        <v>1.0000000000000001E-5</v>
      </c>
      <c r="L12" s="241">
        <f t="shared" si="0"/>
        <v>1.0000000000000001E-5</v>
      </c>
      <c r="M12" s="241">
        <f t="shared" si="0"/>
        <v>1.0000000000000001E-5</v>
      </c>
      <c r="N12" s="241">
        <f t="shared" si="0"/>
        <v>1.0000000000000001E-5</v>
      </c>
      <c r="O12" s="241">
        <f t="shared" si="0"/>
        <v>1.0000000000000001E-5</v>
      </c>
      <c r="P12" s="241">
        <f t="shared" si="0"/>
        <v>1.0000000000000001E-5</v>
      </c>
      <c r="Q12" s="241">
        <f t="shared" si="0"/>
        <v>1.0000000000000001E-5</v>
      </c>
      <c r="R12" s="241">
        <f t="shared" si="0"/>
        <v>1.0000000000000001E-5</v>
      </c>
      <c r="S12" s="241">
        <f t="shared" si="0"/>
        <v>1.0000000000000001E-5</v>
      </c>
      <c r="T12" s="241">
        <f t="shared" si="0"/>
        <v>1.0000000000000001E-5</v>
      </c>
      <c r="U12" s="241">
        <f t="shared" si="0"/>
        <v>1.0000000000000001E-5</v>
      </c>
      <c r="V12" s="241">
        <f t="shared" si="0"/>
        <v>1.0000000000000001E-5</v>
      </c>
      <c r="W12" s="241">
        <f>1/100000</f>
        <v>1.0000000000000001E-5</v>
      </c>
      <c r="X12" s="241">
        <f t="shared" ref="X12:AM14" si="1">1/100000</f>
        <v>1.0000000000000001E-5</v>
      </c>
      <c r="Y12" s="241">
        <f t="shared" si="1"/>
        <v>1.0000000000000001E-5</v>
      </c>
      <c r="Z12" s="241">
        <f t="shared" si="1"/>
        <v>1.0000000000000001E-5</v>
      </c>
      <c r="AA12" s="241">
        <f t="shared" si="1"/>
        <v>1.0000000000000001E-5</v>
      </c>
      <c r="AB12" s="241">
        <f t="shared" si="1"/>
        <v>1.0000000000000001E-5</v>
      </c>
      <c r="AC12" s="241">
        <f t="shared" si="1"/>
        <v>1.0000000000000001E-5</v>
      </c>
      <c r="AD12" s="241">
        <f t="shared" si="1"/>
        <v>1.0000000000000001E-5</v>
      </c>
      <c r="AE12" s="241">
        <f t="shared" si="1"/>
        <v>1.0000000000000001E-5</v>
      </c>
      <c r="AF12" s="241">
        <f t="shared" si="1"/>
        <v>1.0000000000000001E-5</v>
      </c>
      <c r="AG12" s="241">
        <f t="shared" si="1"/>
        <v>1.0000000000000001E-5</v>
      </c>
      <c r="AH12" s="241">
        <f t="shared" si="1"/>
        <v>1.0000000000000001E-5</v>
      </c>
      <c r="AI12" s="241">
        <f t="shared" si="1"/>
        <v>1.0000000000000001E-5</v>
      </c>
      <c r="AJ12" s="241">
        <f t="shared" si="1"/>
        <v>1.0000000000000001E-5</v>
      </c>
      <c r="AK12" s="241">
        <f t="shared" si="1"/>
        <v>1.0000000000000001E-5</v>
      </c>
      <c r="AL12" s="241">
        <f t="shared" si="1"/>
        <v>1.0000000000000001E-5</v>
      </c>
      <c r="AM12" s="241">
        <f t="shared" si="1"/>
        <v>1.0000000000000001E-5</v>
      </c>
      <c r="AN12" s="241">
        <f t="shared" ref="AL12:AP14" si="2">1/100000</f>
        <v>1.0000000000000001E-5</v>
      </c>
      <c r="AO12" s="241">
        <f t="shared" si="2"/>
        <v>1.0000000000000001E-5</v>
      </c>
      <c r="AP12" s="241">
        <f t="shared" si="2"/>
        <v>1.0000000000000001E-5</v>
      </c>
    </row>
    <row r="13" spans="2:42" ht="15" customHeight="1">
      <c r="B13" s="247" t="s">
        <v>25</v>
      </c>
      <c r="C13" s="241">
        <f t="shared" si="0"/>
        <v>1.0000000000000001E-5</v>
      </c>
      <c r="D13" s="241">
        <f t="shared" si="0"/>
        <v>1.0000000000000001E-5</v>
      </c>
      <c r="E13" s="241">
        <f t="shared" si="0"/>
        <v>1.0000000000000001E-5</v>
      </c>
      <c r="F13" s="241">
        <f t="shared" si="0"/>
        <v>1.0000000000000001E-5</v>
      </c>
      <c r="G13" s="241">
        <f t="shared" si="0"/>
        <v>1.0000000000000001E-5</v>
      </c>
      <c r="H13" s="241">
        <f t="shared" si="0"/>
        <v>1.0000000000000001E-5</v>
      </c>
      <c r="I13" s="241">
        <f t="shared" si="0"/>
        <v>1.0000000000000001E-5</v>
      </c>
      <c r="J13" s="241">
        <f t="shared" si="0"/>
        <v>1.0000000000000001E-5</v>
      </c>
      <c r="K13" s="241">
        <f t="shared" si="0"/>
        <v>1.0000000000000001E-5</v>
      </c>
      <c r="L13" s="241">
        <f t="shared" si="0"/>
        <v>1.0000000000000001E-5</v>
      </c>
      <c r="M13" s="241">
        <f t="shared" si="0"/>
        <v>1.0000000000000001E-5</v>
      </c>
      <c r="N13" s="241">
        <f t="shared" si="0"/>
        <v>1.0000000000000001E-5</v>
      </c>
      <c r="O13" s="241">
        <f t="shared" si="0"/>
        <v>1.0000000000000001E-5</v>
      </c>
      <c r="P13" s="241">
        <f t="shared" si="0"/>
        <v>1.0000000000000001E-5</v>
      </c>
      <c r="Q13" s="241">
        <f t="shared" si="0"/>
        <v>1.0000000000000001E-5</v>
      </c>
      <c r="R13" s="241">
        <f t="shared" si="0"/>
        <v>1.0000000000000001E-5</v>
      </c>
      <c r="S13" s="241">
        <f t="shared" si="0"/>
        <v>1.0000000000000001E-5</v>
      </c>
      <c r="T13" s="241">
        <f t="shared" si="0"/>
        <v>1.0000000000000001E-5</v>
      </c>
      <c r="U13" s="241">
        <f t="shared" si="0"/>
        <v>1.0000000000000001E-5</v>
      </c>
      <c r="V13" s="241">
        <f t="shared" si="0"/>
        <v>1.0000000000000001E-5</v>
      </c>
      <c r="W13" s="241">
        <f>1/100000</f>
        <v>1.0000000000000001E-5</v>
      </c>
      <c r="X13" s="241">
        <f t="shared" si="1"/>
        <v>1.0000000000000001E-5</v>
      </c>
      <c r="Y13" s="241">
        <f t="shared" si="1"/>
        <v>1.0000000000000001E-5</v>
      </c>
      <c r="Z13" s="241">
        <f t="shared" si="1"/>
        <v>1.0000000000000001E-5</v>
      </c>
      <c r="AA13" s="241">
        <f t="shared" si="1"/>
        <v>1.0000000000000001E-5</v>
      </c>
      <c r="AB13" s="241">
        <f t="shared" si="1"/>
        <v>1.0000000000000001E-5</v>
      </c>
      <c r="AC13" s="241">
        <f t="shared" si="1"/>
        <v>1.0000000000000001E-5</v>
      </c>
      <c r="AD13" s="241">
        <f t="shared" si="1"/>
        <v>1.0000000000000001E-5</v>
      </c>
      <c r="AE13" s="241">
        <f t="shared" si="1"/>
        <v>1.0000000000000001E-5</v>
      </c>
      <c r="AF13" s="241">
        <f t="shared" si="1"/>
        <v>1.0000000000000001E-5</v>
      </c>
      <c r="AG13" s="241">
        <f t="shared" si="1"/>
        <v>1.0000000000000001E-5</v>
      </c>
      <c r="AH13" s="241">
        <f t="shared" si="1"/>
        <v>1.0000000000000001E-5</v>
      </c>
      <c r="AI13" s="241">
        <f t="shared" si="1"/>
        <v>1.0000000000000001E-5</v>
      </c>
      <c r="AJ13" s="241">
        <f t="shared" si="1"/>
        <v>1.0000000000000001E-5</v>
      </c>
      <c r="AK13" s="241">
        <f t="shared" si="1"/>
        <v>1.0000000000000001E-5</v>
      </c>
      <c r="AL13" s="241">
        <f t="shared" si="2"/>
        <v>1.0000000000000001E-5</v>
      </c>
      <c r="AM13" s="241">
        <f t="shared" si="2"/>
        <v>1.0000000000000001E-5</v>
      </c>
      <c r="AN13" s="241">
        <f t="shared" si="2"/>
        <v>1.0000000000000001E-5</v>
      </c>
      <c r="AO13" s="241">
        <f t="shared" si="2"/>
        <v>1.0000000000000001E-5</v>
      </c>
      <c r="AP13" s="241">
        <f t="shared" si="2"/>
        <v>1.0000000000000001E-5</v>
      </c>
    </row>
    <row r="14" spans="2:42" ht="15" customHeight="1">
      <c r="B14" s="247" t="s">
        <v>68</v>
      </c>
      <c r="C14" s="241">
        <f t="shared" si="0"/>
        <v>1.0000000000000001E-5</v>
      </c>
      <c r="D14" s="241">
        <f t="shared" si="0"/>
        <v>1.0000000000000001E-5</v>
      </c>
      <c r="E14" s="241">
        <f t="shared" si="0"/>
        <v>1.0000000000000001E-5</v>
      </c>
      <c r="F14" s="241">
        <f t="shared" si="0"/>
        <v>1.0000000000000001E-5</v>
      </c>
      <c r="G14" s="241">
        <f t="shared" si="0"/>
        <v>1.0000000000000001E-5</v>
      </c>
      <c r="H14" s="241">
        <f t="shared" si="0"/>
        <v>1.0000000000000001E-5</v>
      </c>
      <c r="I14" s="241">
        <f t="shared" si="0"/>
        <v>1.0000000000000001E-5</v>
      </c>
      <c r="J14" s="241">
        <f t="shared" si="0"/>
        <v>1.0000000000000001E-5</v>
      </c>
      <c r="K14" s="241">
        <f t="shared" si="0"/>
        <v>1.0000000000000001E-5</v>
      </c>
      <c r="L14" s="241">
        <f t="shared" si="0"/>
        <v>1.0000000000000001E-5</v>
      </c>
      <c r="M14" s="241">
        <f t="shared" si="0"/>
        <v>1.0000000000000001E-5</v>
      </c>
      <c r="N14" s="241">
        <f t="shared" si="0"/>
        <v>1.0000000000000001E-5</v>
      </c>
      <c r="O14" s="241">
        <f t="shared" si="0"/>
        <v>1.0000000000000001E-5</v>
      </c>
      <c r="P14" s="241">
        <f t="shared" si="0"/>
        <v>1.0000000000000001E-5</v>
      </c>
      <c r="Q14" s="241">
        <f t="shared" si="0"/>
        <v>1.0000000000000001E-5</v>
      </c>
      <c r="R14" s="241">
        <f t="shared" si="0"/>
        <v>1.0000000000000001E-5</v>
      </c>
      <c r="S14" s="241">
        <f t="shared" si="0"/>
        <v>1.0000000000000001E-5</v>
      </c>
      <c r="T14" s="241">
        <f t="shared" si="0"/>
        <v>1.0000000000000001E-5</v>
      </c>
      <c r="U14" s="241">
        <f t="shared" si="0"/>
        <v>1.0000000000000001E-5</v>
      </c>
      <c r="V14" s="241">
        <f t="shared" si="0"/>
        <v>1.0000000000000001E-5</v>
      </c>
      <c r="W14" s="241">
        <f>1/100000</f>
        <v>1.0000000000000001E-5</v>
      </c>
      <c r="X14" s="241">
        <f t="shared" si="1"/>
        <v>1.0000000000000001E-5</v>
      </c>
      <c r="Y14" s="241">
        <f t="shared" si="1"/>
        <v>1.0000000000000001E-5</v>
      </c>
      <c r="Z14" s="241">
        <f t="shared" si="1"/>
        <v>1.0000000000000001E-5</v>
      </c>
      <c r="AA14" s="241">
        <f t="shared" si="1"/>
        <v>1.0000000000000001E-5</v>
      </c>
      <c r="AB14" s="241">
        <f t="shared" si="1"/>
        <v>1.0000000000000001E-5</v>
      </c>
      <c r="AC14" s="241">
        <f t="shared" si="1"/>
        <v>1.0000000000000001E-5</v>
      </c>
      <c r="AD14" s="241">
        <f t="shared" si="1"/>
        <v>1.0000000000000001E-5</v>
      </c>
      <c r="AE14" s="241">
        <f t="shared" si="1"/>
        <v>1.0000000000000001E-5</v>
      </c>
      <c r="AF14" s="241">
        <f t="shared" si="1"/>
        <v>1.0000000000000001E-5</v>
      </c>
      <c r="AG14" s="241">
        <f t="shared" si="1"/>
        <v>1.0000000000000001E-5</v>
      </c>
      <c r="AH14" s="241">
        <f t="shared" si="1"/>
        <v>1.0000000000000001E-5</v>
      </c>
      <c r="AI14" s="241">
        <f t="shared" si="1"/>
        <v>1.0000000000000001E-5</v>
      </c>
      <c r="AJ14" s="241">
        <f t="shared" si="1"/>
        <v>1.0000000000000001E-5</v>
      </c>
      <c r="AK14" s="241">
        <f t="shared" si="1"/>
        <v>1.0000000000000001E-5</v>
      </c>
      <c r="AL14" s="241">
        <f t="shared" si="2"/>
        <v>1.0000000000000001E-5</v>
      </c>
      <c r="AM14" s="241">
        <f t="shared" si="2"/>
        <v>1.0000000000000001E-5</v>
      </c>
      <c r="AN14" s="241">
        <f t="shared" si="2"/>
        <v>1.0000000000000001E-5</v>
      </c>
      <c r="AO14" s="241">
        <f t="shared" si="2"/>
        <v>1.0000000000000001E-5</v>
      </c>
      <c r="AP14" s="241">
        <f t="shared" si="2"/>
        <v>1.0000000000000001E-5</v>
      </c>
    </row>
    <row r="15" spans="2:42" ht="15" customHeight="1">
      <c r="B15" s="247"/>
      <c r="C15" s="241"/>
      <c r="D15" s="241"/>
      <c r="E15" s="241"/>
      <c r="F15" s="241"/>
      <c r="G15" s="241"/>
      <c r="H15" s="241"/>
      <c r="I15" s="241"/>
      <c r="J15" s="241"/>
      <c r="K15" s="241"/>
      <c r="L15" s="241"/>
      <c r="M15" s="241"/>
      <c r="N15" s="241"/>
      <c r="O15" s="241"/>
      <c r="P15" s="241"/>
      <c r="Q15" s="241"/>
      <c r="R15" s="241"/>
      <c r="S15" s="241"/>
      <c r="T15" s="241"/>
      <c r="U15" s="241"/>
      <c r="V15" s="241"/>
      <c r="W15" s="241"/>
      <c r="X15" s="241"/>
      <c r="Y15" s="241"/>
      <c r="Z15" s="241"/>
      <c r="AA15" s="241"/>
      <c r="AB15" s="241"/>
      <c r="AC15" s="241"/>
      <c r="AD15" s="241"/>
      <c r="AE15" s="241"/>
      <c r="AF15" s="241"/>
      <c r="AG15" s="241"/>
      <c r="AH15" s="241"/>
      <c r="AI15" s="241"/>
      <c r="AJ15" s="241"/>
      <c r="AK15" s="241"/>
      <c r="AL15" s="241"/>
      <c r="AM15" s="241"/>
      <c r="AN15" s="241"/>
      <c r="AO15" s="241"/>
      <c r="AP15" s="241"/>
    </row>
    <row r="16" spans="2:42" ht="15" customHeight="1">
      <c r="B16" s="247" t="s">
        <v>24</v>
      </c>
      <c r="C16" s="248">
        <f>C7*C12</f>
        <v>35.558546930170678</v>
      </c>
      <c r="D16" s="248">
        <f t="shared" ref="D16:AK18" si="3">D7*D12</f>
        <v>35.736339664821529</v>
      </c>
      <c r="E16" s="248">
        <f t="shared" si="3"/>
        <v>35.915021363145627</v>
      </c>
      <c r="F16" s="248">
        <f t="shared" si="3"/>
        <v>36.094596469961353</v>
      </c>
      <c r="G16" s="248">
        <f t="shared" si="3"/>
        <v>36.275069452311151</v>
      </c>
      <c r="H16" s="248">
        <f t="shared" si="3"/>
        <v>36.456444799572701</v>
      </c>
      <c r="I16" s="248">
        <f t="shared" si="3"/>
        <v>36.638727023570567</v>
      </c>
      <c r="J16" s="248">
        <f t="shared" si="3"/>
        <v>36.821920658688413</v>
      </c>
      <c r="K16" s="248">
        <f t="shared" si="3"/>
        <v>37.006030261981856</v>
      </c>
      <c r="L16" s="248">
        <f t="shared" si="3"/>
        <v>37.191060413291758</v>
      </c>
      <c r="M16" s="248">
        <f t="shared" si="3"/>
        <v>37.377015715358212</v>
      </c>
      <c r="N16" s="248">
        <f t="shared" si="3"/>
        <v>37.563900793935005</v>
      </c>
      <c r="O16" s="248">
        <f t="shared" si="3"/>
        <v>37.751720297904676</v>
      </c>
      <c r="P16" s="248">
        <f t="shared" si="3"/>
        <v>37.940478899394193</v>
      </c>
      <c r="Q16" s="248">
        <f t="shared" si="3"/>
        <v>38.130181293891162</v>
      </c>
      <c r="R16" s="248">
        <f t="shared" si="3"/>
        <v>38.320832200360613</v>
      </c>
      <c r="S16" s="248">
        <f t="shared" si="3"/>
        <v>38.512436361362411</v>
      </c>
      <c r="T16" s="248">
        <f t="shared" si="3"/>
        <v>38.704998543169218</v>
      </c>
      <c r="U16" s="248">
        <f t="shared" si="3"/>
        <v>38.898523535885062</v>
      </c>
      <c r="V16" s="248">
        <f t="shared" si="3"/>
        <v>39.093016153564477</v>
      </c>
      <c r="W16" s="248">
        <f t="shared" si="3"/>
        <v>39.288481234332295</v>
      </c>
      <c r="X16" s="248">
        <f t="shared" si="3"/>
        <v>39.484923640503958</v>
      </c>
      <c r="Y16" s="248">
        <f t="shared" si="3"/>
        <v>39.682348258706476</v>
      </c>
      <c r="Z16" s="248">
        <f t="shared" si="3"/>
        <v>39.880760000000002</v>
      </c>
      <c r="AA16" s="248">
        <f t="shared" si="3"/>
        <v>40.080163799999994</v>
      </c>
      <c r="AB16" s="248">
        <f t="shared" si="3"/>
        <v>40.280564618999996</v>
      </c>
      <c r="AC16" s="248">
        <f t="shared" si="3"/>
        <v>40.481967442094991</v>
      </c>
      <c r="AD16" s="248">
        <f t="shared" si="3"/>
        <v>40.684377279305458</v>
      </c>
      <c r="AE16" s="248">
        <f t="shared" si="3"/>
        <v>40.887799165701985</v>
      </c>
      <c r="AF16" s="248">
        <f t="shared" si="3"/>
        <v>41.092238161530496</v>
      </c>
      <c r="AG16" s="248">
        <f t="shared" si="3"/>
        <v>41.297699352338142</v>
      </c>
      <c r="AH16" s="248">
        <f t="shared" si="3"/>
        <v>41.504187849099829</v>
      </c>
      <c r="AI16" s="248">
        <f t="shared" si="3"/>
        <v>41.711708788345319</v>
      </c>
      <c r="AJ16" s="248">
        <f t="shared" si="3"/>
        <v>41.92026733228704</v>
      </c>
      <c r="AK16" s="248">
        <f t="shared" si="3"/>
        <v>42.129868668948468</v>
      </c>
      <c r="AL16" s="248">
        <f t="shared" ref="AL16:AP16" si="4">AL7*AL12</f>
        <v>42.340518012293209</v>
      </c>
      <c r="AM16" s="248">
        <f t="shared" si="4"/>
        <v>42.552220602354673</v>
      </c>
      <c r="AN16" s="248">
        <f t="shared" si="4"/>
        <v>42.764981705366445</v>
      </c>
      <c r="AO16" s="248">
        <f t="shared" si="4"/>
        <v>42.978806613893269</v>
      </c>
      <c r="AP16" s="248">
        <f t="shared" si="4"/>
        <v>43.193700646962732</v>
      </c>
    </row>
    <row r="17" spans="2:69" ht="15" customHeight="1">
      <c r="B17" s="247" t="s">
        <v>25</v>
      </c>
      <c r="C17" s="248">
        <f t="shared" ref="C17:R18" si="5">C8*C13</f>
        <v>48.516835414175823</v>
      </c>
      <c r="D17" s="248">
        <f t="shared" si="5"/>
        <v>48.613869085004175</v>
      </c>
      <c r="E17" s="248">
        <f t="shared" si="5"/>
        <v>48.711096823174188</v>
      </c>
      <c r="F17" s="248">
        <f t="shared" si="5"/>
        <v>48.808519016820533</v>
      </c>
      <c r="G17" s="248">
        <f t="shared" si="5"/>
        <v>48.906136054854173</v>
      </c>
      <c r="H17" s="248">
        <f t="shared" si="5"/>
        <v>49.003948326963879</v>
      </c>
      <c r="I17" s="248">
        <f t="shared" si="5"/>
        <v>49.101956223617805</v>
      </c>
      <c r="J17" s="248">
        <f t="shared" si="5"/>
        <v>49.200160136065037</v>
      </c>
      <c r="K17" s="248">
        <f t="shared" si="5"/>
        <v>49.298560456337171</v>
      </c>
      <c r="L17" s="248">
        <f t="shared" si="5"/>
        <v>49.397157577249843</v>
      </c>
      <c r="M17" s="248">
        <f t="shared" si="5"/>
        <v>49.495951892404335</v>
      </c>
      <c r="N17" s="248">
        <f t="shared" si="5"/>
        <v>49.594943796189142</v>
      </c>
      <c r="O17" s="248">
        <f t="shared" si="5"/>
        <v>49.694133683781523</v>
      </c>
      <c r="P17" s="248">
        <f t="shared" si="5"/>
        <v>49.793521951149089</v>
      </c>
      <c r="Q17" s="248">
        <f t="shared" si="5"/>
        <v>49.893108995051385</v>
      </c>
      <c r="R17" s="248">
        <f t="shared" si="5"/>
        <v>49.992895213041486</v>
      </c>
      <c r="S17" s="248">
        <f t="shared" si="3"/>
        <v>50.092881003467568</v>
      </c>
      <c r="T17" s="248">
        <f t="shared" si="3"/>
        <v>50.193066765474505</v>
      </c>
      <c r="U17" s="248">
        <f t="shared" si="3"/>
        <v>50.293452899005452</v>
      </c>
      <c r="V17" s="248">
        <f t="shared" si="3"/>
        <v>50.394039804803462</v>
      </c>
      <c r="W17" s="248">
        <f t="shared" si="3"/>
        <v>50.49482788441307</v>
      </c>
      <c r="X17" s="248">
        <f t="shared" si="3"/>
        <v>50.595817540181898</v>
      </c>
      <c r="Y17" s="248">
        <f t="shared" si="3"/>
        <v>50.697009175262259</v>
      </c>
      <c r="Z17" s="248">
        <f t="shared" si="3"/>
        <v>50.798403193612785</v>
      </c>
      <c r="AA17" s="248">
        <f t="shared" si="3"/>
        <v>50.900000000000006</v>
      </c>
      <c r="AB17" s="248">
        <f t="shared" si="3"/>
        <v>51.001800000000003</v>
      </c>
      <c r="AC17" s="248">
        <f t="shared" si="3"/>
        <v>51.103803600000006</v>
      </c>
      <c r="AD17" s="248">
        <f t="shared" si="3"/>
        <v>51.206011207200007</v>
      </c>
      <c r="AE17" s="248">
        <f t="shared" si="3"/>
        <v>51.308423229614405</v>
      </c>
      <c r="AF17" s="248">
        <f t="shared" si="3"/>
        <v>51.411040076073633</v>
      </c>
      <c r="AG17" s="248">
        <f t="shared" si="3"/>
        <v>51.513862156225784</v>
      </c>
      <c r="AH17" s="248">
        <f t="shared" si="3"/>
        <v>51.616889880538231</v>
      </c>
      <c r="AI17" s="248">
        <f t="shared" si="3"/>
        <v>51.720123660299308</v>
      </c>
      <c r="AJ17" s="248">
        <f t="shared" si="3"/>
        <v>51.823563907619906</v>
      </c>
      <c r="AK17" s="248">
        <f t="shared" si="3"/>
        <v>51.92721103543515</v>
      </c>
      <c r="AL17" s="248">
        <f t="shared" ref="AL17:AP17" si="6">AL8*AL13</f>
        <v>52.031065457506017</v>
      </c>
      <c r="AM17" s="248">
        <f t="shared" si="6"/>
        <v>52.135127588421028</v>
      </c>
      <c r="AN17" s="248">
        <f t="shared" si="6"/>
        <v>52.239397843597871</v>
      </c>
      <c r="AO17" s="248">
        <f t="shared" si="6"/>
        <v>52.343876639285064</v>
      </c>
      <c r="AP17" s="248">
        <f t="shared" si="6"/>
        <v>52.448564392563632</v>
      </c>
    </row>
    <row r="18" spans="2:69" ht="15" customHeight="1">
      <c r="B18" s="247" t="s">
        <v>68</v>
      </c>
      <c r="C18" s="248">
        <f t="shared" si="5"/>
        <v>11.939865317251011</v>
      </c>
      <c r="D18" s="248">
        <f t="shared" si="3"/>
        <v>11.845104481399812</v>
      </c>
      <c r="E18" s="248">
        <f t="shared" si="3"/>
        <v>11.751095715674417</v>
      </c>
      <c r="F18" s="248">
        <f t="shared" si="3"/>
        <v>11.657833051264303</v>
      </c>
      <c r="G18" s="248">
        <f t="shared" si="3"/>
        <v>11.56531056673046</v>
      </c>
      <c r="H18" s="248">
        <f t="shared" si="3"/>
        <v>11.473522387629425</v>
      </c>
      <c r="I18" s="248">
        <f t="shared" si="3"/>
        <v>11.382462686140302</v>
      </c>
      <c r="J18" s="248">
        <f t="shared" si="3"/>
        <v>11.292125680694744</v>
      </c>
      <c r="K18" s="248">
        <f t="shared" si="3"/>
        <v>11.202505635609866</v>
      </c>
      <c r="L18" s="248">
        <f t="shared" si="3"/>
        <v>11.113596860724071</v>
      </c>
      <c r="M18" s="248">
        <f t="shared" si="3"/>
        <v>11.025393711035786</v>
      </c>
      <c r="N18" s="248">
        <f t="shared" si="3"/>
        <v>10.937890586345024</v>
      </c>
      <c r="O18" s="248">
        <f t="shared" si="3"/>
        <v>10.851081930897841</v>
      </c>
      <c r="P18" s="248">
        <f t="shared" si="3"/>
        <v>10.764962233033575</v>
      </c>
      <c r="Q18" s="248">
        <f t="shared" si="3"/>
        <v>10.679526024834896</v>
      </c>
      <c r="R18" s="248">
        <f t="shared" si="3"/>
        <v>10.594767881780651</v>
      </c>
      <c r="S18" s="248">
        <f t="shared" si="3"/>
        <v>10.510682422401441</v>
      </c>
      <c r="T18" s="248">
        <f t="shared" si="3"/>
        <v>10.427264307937937</v>
      </c>
      <c r="U18" s="248">
        <f t="shared" si="3"/>
        <v>10.344508242001922</v>
      </c>
      <c r="V18" s="248">
        <f t="shared" si="3"/>
        <v>10.262408970240001</v>
      </c>
      <c r="W18" s="248">
        <f t="shared" si="3"/>
        <v>10.180961280000002</v>
      </c>
      <c r="X18" s="248">
        <f t="shared" si="3"/>
        <v>10.100160000000001</v>
      </c>
      <c r="Y18" s="248">
        <f t="shared" si="3"/>
        <v>10.020000000000001</v>
      </c>
      <c r="Z18" s="248">
        <f t="shared" si="3"/>
        <v>10</v>
      </c>
      <c r="AA18" s="248">
        <f t="shared" si="3"/>
        <v>9.9990000000000006</v>
      </c>
      <c r="AB18" s="248">
        <f t="shared" si="3"/>
        <v>9.9980001000000005</v>
      </c>
      <c r="AC18" s="248">
        <f t="shared" si="3"/>
        <v>9.9970002999900007</v>
      </c>
      <c r="AD18" s="248">
        <f t="shared" si="3"/>
        <v>9.9960005999600021</v>
      </c>
      <c r="AE18" s="248">
        <f t="shared" si="3"/>
        <v>9.9950009999000073</v>
      </c>
      <c r="AF18" s="248">
        <f t="shared" si="3"/>
        <v>9.9940014998000173</v>
      </c>
      <c r="AG18" s="248">
        <f t="shared" si="3"/>
        <v>9.9930020996500382</v>
      </c>
      <c r="AH18" s="248">
        <f t="shared" si="3"/>
        <v>9.9920027994400726</v>
      </c>
      <c r="AI18" s="248">
        <f t="shared" si="3"/>
        <v>9.9910035991601287</v>
      </c>
      <c r="AJ18" s="248">
        <f t="shared" si="3"/>
        <v>9.9900044988002126</v>
      </c>
      <c r="AK18" s="248">
        <f t="shared" si="3"/>
        <v>9.9890054983503322</v>
      </c>
      <c r="AL18" s="248">
        <f t="shared" ref="AL18:AP18" si="7">AL9*AL14</f>
        <v>9.9880065978004975</v>
      </c>
      <c r="AM18" s="248">
        <f t="shared" si="7"/>
        <v>9.9870077971407181</v>
      </c>
      <c r="AN18" s="248">
        <f t="shared" si="7"/>
        <v>9.9860090963610038</v>
      </c>
      <c r="AO18" s="248">
        <f t="shared" si="7"/>
        <v>9.9850104954513679</v>
      </c>
      <c r="AP18" s="248">
        <f t="shared" si="7"/>
        <v>9.984011994401822</v>
      </c>
    </row>
    <row r="19" spans="2:69" ht="15" customHeight="1"/>
    <row r="20" spans="2:69" ht="15" customHeight="1">
      <c r="B20" s="245" t="s">
        <v>70</v>
      </c>
      <c r="C20" s="229"/>
      <c r="D20" s="229"/>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29"/>
      <c r="AC20" s="229"/>
      <c r="AD20" s="229"/>
      <c r="AE20" s="229"/>
      <c r="AF20" s="229"/>
      <c r="AG20" s="229"/>
      <c r="AH20" s="229"/>
      <c r="AI20" s="229"/>
      <c r="AJ20" s="229"/>
      <c r="AK20" s="229"/>
      <c r="AL20" s="229"/>
      <c r="AM20" s="229"/>
      <c r="AN20" s="229"/>
      <c r="AO20" s="229"/>
      <c r="AP20" s="229"/>
    </row>
    <row r="21" spans="2:69" ht="15" customHeight="1">
      <c r="B21" s="247" t="s">
        <v>24</v>
      </c>
      <c r="C21" s="248"/>
      <c r="D21" s="248"/>
      <c r="E21" s="248"/>
      <c r="F21" s="248"/>
      <c r="G21" s="248"/>
      <c r="H21" s="248"/>
      <c r="I21" s="248"/>
      <c r="J21" s="248"/>
      <c r="K21" s="248"/>
      <c r="L21" s="248"/>
      <c r="M21" s="248"/>
      <c r="N21" s="248"/>
      <c r="O21" s="248"/>
      <c r="P21" s="248"/>
      <c r="Q21" s="248"/>
      <c r="R21" s="248"/>
      <c r="S21" s="248"/>
      <c r="T21" s="248"/>
      <c r="U21" s="248"/>
      <c r="V21" s="248">
        <f>SUM(C16:V16)</f>
        <v>745.98686083234077</v>
      </c>
      <c r="W21" s="248">
        <f>SUM(D16:W16)</f>
        <v>749.71679513650236</v>
      </c>
      <c r="X21" s="248">
        <f>SUM(E16:X16)</f>
        <v>753.46537911218479</v>
      </c>
      <c r="Y21" s="248">
        <f t="shared" ref="Y21:AJ21" si="8">SUM(F16:Y16)</f>
        <v>757.23270600774561</v>
      </c>
      <c r="Z21" s="248">
        <f t="shared" si="8"/>
        <v>761.01886953778421</v>
      </c>
      <c r="AA21" s="248">
        <f t="shared" si="8"/>
        <v>764.82396388547306</v>
      </c>
      <c r="AB21" s="248">
        <f t="shared" si="8"/>
        <v>768.64808370490027</v>
      </c>
      <c r="AC21" s="248">
        <f t="shared" si="8"/>
        <v>772.49132412342476</v>
      </c>
      <c r="AD21" s="248">
        <f t="shared" si="8"/>
        <v>776.35378074404173</v>
      </c>
      <c r="AE21" s="248">
        <f t="shared" si="8"/>
        <v>780.23554964776179</v>
      </c>
      <c r="AF21" s="248">
        <f t="shared" si="8"/>
        <v>784.13672739600054</v>
      </c>
      <c r="AG21" s="248">
        <f t="shared" si="8"/>
        <v>788.05741103298044</v>
      </c>
      <c r="AH21" s="248">
        <f t="shared" si="8"/>
        <v>791.99769808814517</v>
      </c>
      <c r="AI21" s="248">
        <f t="shared" si="8"/>
        <v>795.95768657858605</v>
      </c>
      <c r="AJ21" s="248">
        <f t="shared" si="8"/>
        <v>799.9374750114788</v>
      </c>
      <c r="AK21" s="248">
        <f>SUM(R16:AK16)</f>
        <v>803.9371623865361</v>
      </c>
      <c r="AL21" s="248">
        <f t="shared" ref="AL21:AM23" si="9">SUM(S16:AL16)</f>
        <v>807.95684819846872</v>
      </c>
      <c r="AM21" s="248">
        <f t="shared" si="9"/>
        <v>811.99663243946088</v>
      </c>
      <c r="AN21" s="248">
        <f t="shared" ref="AN21:AO23" si="10">SUM(U16:AN16)</f>
        <v>816.05661560165822</v>
      </c>
      <c r="AO21" s="248">
        <f t="shared" si="10"/>
        <v>820.1368986796665</v>
      </c>
      <c r="AP21" s="248">
        <f t="shared" ref="AP21:AP23" si="11">SUM(W16:AP16)</f>
        <v>824.23758317306476</v>
      </c>
      <c r="AQ21" s="253"/>
      <c r="AR21" s="253"/>
      <c r="AS21" s="253"/>
      <c r="AT21" s="253"/>
      <c r="AU21" s="253"/>
      <c r="AV21" s="253"/>
      <c r="AW21" s="253"/>
      <c r="AX21" s="253"/>
      <c r="AY21" s="253"/>
      <c r="AZ21" s="253"/>
      <c r="BA21" s="253"/>
      <c r="BB21" s="253"/>
      <c r="BC21" s="253"/>
      <c r="BD21" s="253"/>
      <c r="BE21" s="253"/>
      <c r="BF21" s="253"/>
      <c r="BG21" s="253"/>
      <c r="BH21" s="253"/>
      <c r="BI21" s="253"/>
      <c r="BJ21" s="253"/>
      <c r="BK21" s="253"/>
      <c r="BL21" s="253"/>
      <c r="BM21" s="253"/>
      <c r="BN21" s="253"/>
      <c r="BO21" s="253"/>
      <c r="BP21" s="253"/>
      <c r="BQ21" s="253"/>
    </row>
    <row r="22" spans="2:69" ht="15" customHeight="1">
      <c r="B22" s="247" t="s">
        <v>25</v>
      </c>
      <c r="C22" s="248"/>
      <c r="D22" s="248"/>
      <c r="E22" s="248"/>
      <c r="F22" s="248"/>
      <c r="G22" s="248"/>
      <c r="H22" s="248"/>
      <c r="I22" s="248"/>
      <c r="J22" s="248"/>
      <c r="K22" s="248"/>
      <c r="L22" s="248"/>
      <c r="M22" s="248"/>
      <c r="N22" s="248"/>
      <c r="O22" s="248"/>
      <c r="P22" s="248"/>
      <c r="Q22" s="248"/>
      <c r="R22" s="248"/>
      <c r="S22" s="248"/>
      <c r="T22" s="248"/>
      <c r="U22" s="248"/>
      <c r="V22" s="248">
        <f>SUM(C17:V17)</f>
        <v>988.99623511863069</v>
      </c>
      <c r="W22" s="248">
        <f>SUM(D17:W17)</f>
        <v>990.97422758886796</v>
      </c>
      <c r="X22" s="248">
        <f t="shared" ref="X22:AJ22" si="12">SUM(E17:X17)</f>
        <v>992.95617604404561</v>
      </c>
      <c r="Y22" s="248">
        <f t="shared" si="12"/>
        <v>994.94208839613373</v>
      </c>
      <c r="Z22" s="248">
        <f t="shared" si="12"/>
        <v>996.93197257292593</v>
      </c>
      <c r="AA22" s="248">
        <f t="shared" si="12"/>
        <v>998.92583651807172</v>
      </c>
      <c r="AB22" s="248">
        <f t="shared" si="12"/>
        <v>1000.9236881911079</v>
      </c>
      <c r="AC22" s="248">
        <f t="shared" si="12"/>
        <v>1002.9255355674901</v>
      </c>
      <c r="AD22" s="248">
        <f t="shared" si="12"/>
        <v>1004.931386638625</v>
      </c>
      <c r="AE22" s="248">
        <f t="shared" si="12"/>
        <v>1006.9412494119022</v>
      </c>
      <c r="AF22" s="248">
        <f t="shared" si="12"/>
        <v>1008.955131910726</v>
      </c>
      <c r="AG22" s="248">
        <f t="shared" si="12"/>
        <v>1010.9730421745473</v>
      </c>
      <c r="AH22" s="248">
        <f t="shared" si="12"/>
        <v>1012.9949882588965</v>
      </c>
      <c r="AI22" s="248">
        <f t="shared" si="12"/>
        <v>1015.0209782354143</v>
      </c>
      <c r="AJ22" s="248">
        <f t="shared" si="12"/>
        <v>1017.0510201918852</v>
      </c>
      <c r="AK22" s="248">
        <f>SUM(R17:AK17)</f>
        <v>1019.0851222322689</v>
      </c>
      <c r="AL22" s="248">
        <f t="shared" si="9"/>
        <v>1021.1232924767334</v>
      </c>
      <c r="AM22" s="248">
        <f t="shared" ref="AM22:AM23" si="13">SUM(T17:AM17)</f>
        <v>1023.1655390616869</v>
      </c>
      <c r="AN22" s="248">
        <f t="shared" si="10"/>
        <v>1025.2118701398101</v>
      </c>
      <c r="AO22" s="248">
        <f t="shared" ref="AO22:AO23" si="14">SUM(V17:AO17)</f>
        <v>1027.2622938800898</v>
      </c>
      <c r="AP22" s="248">
        <f t="shared" si="11"/>
        <v>1029.31681846785</v>
      </c>
      <c r="AQ22" s="253"/>
      <c r="AR22" s="253"/>
      <c r="AS22" s="253"/>
      <c r="AT22" s="253"/>
      <c r="AU22" s="253"/>
      <c r="AV22" s="253"/>
      <c r="AW22" s="253"/>
      <c r="AX22" s="253"/>
      <c r="AY22" s="253"/>
      <c r="AZ22" s="253"/>
      <c r="BA22" s="253"/>
      <c r="BB22" s="253"/>
      <c r="BC22" s="253"/>
      <c r="BD22" s="253"/>
      <c r="BE22" s="253"/>
      <c r="BF22" s="253"/>
      <c r="BG22" s="253"/>
      <c r="BH22" s="253"/>
      <c r="BI22" s="253"/>
      <c r="BJ22" s="253"/>
      <c r="BK22" s="253"/>
      <c r="BL22" s="253"/>
      <c r="BM22" s="253"/>
      <c r="BN22" s="253"/>
      <c r="BO22" s="253"/>
      <c r="BP22" s="253"/>
      <c r="BQ22" s="253"/>
    </row>
    <row r="23" spans="2:69" ht="15" customHeight="1">
      <c r="B23" s="247" t="s">
        <v>68</v>
      </c>
      <c r="C23" s="248"/>
      <c r="D23" s="248"/>
      <c r="E23" s="248"/>
      <c r="F23" s="248"/>
      <c r="G23" s="248"/>
      <c r="H23" s="248"/>
      <c r="I23" s="248"/>
      <c r="J23" s="248"/>
      <c r="K23" s="248"/>
      <c r="L23" s="248"/>
      <c r="M23" s="248"/>
      <c r="N23" s="248"/>
      <c r="O23" s="248"/>
      <c r="P23" s="248"/>
      <c r="Q23" s="248"/>
      <c r="R23" s="248"/>
      <c r="S23" s="248"/>
      <c r="T23" s="248"/>
      <c r="U23" s="248"/>
      <c r="V23" s="248">
        <f>SUM(C18:V18)</f>
        <v>221.62190869362746</v>
      </c>
      <c r="W23" s="248">
        <f>SUM(D18:W18)</f>
        <v>219.86300465637646</v>
      </c>
      <c r="X23" s="248">
        <f t="shared" ref="X23:AJ23" si="15">SUM(E18:X18)</f>
        <v>218.11806017497662</v>
      </c>
      <c r="Y23" s="248">
        <f t="shared" si="15"/>
        <v>216.38696445930222</v>
      </c>
      <c r="Z23" s="248">
        <f t="shared" si="15"/>
        <v>214.72913140803792</v>
      </c>
      <c r="AA23" s="248">
        <f t="shared" si="15"/>
        <v>213.16282084130745</v>
      </c>
      <c r="AB23" s="248">
        <f t="shared" si="15"/>
        <v>211.68729855367803</v>
      </c>
      <c r="AC23" s="248">
        <f t="shared" si="15"/>
        <v>210.30183616752774</v>
      </c>
      <c r="AD23" s="248">
        <f t="shared" si="15"/>
        <v>209.00571108679301</v>
      </c>
      <c r="AE23" s="248">
        <f t="shared" si="15"/>
        <v>207.79820645108319</v>
      </c>
      <c r="AF23" s="248">
        <f t="shared" si="15"/>
        <v>206.67861109015914</v>
      </c>
      <c r="AG23" s="248">
        <f t="shared" si="15"/>
        <v>205.64621947877339</v>
      </c>
      <c r="AH23" s="248">
        <f t="shared" si="15"/>
        <v>204.70033169186843</v>
      </c>
      <c r="AI23" s="248">
        <f t="shared" si="15"/>
        <v>203.8402533601307</v>
      </c>
      <c r="AJ23" s="248">
        <f t="shared" si="15"/>
        <v>203.06529562589731</v>
      </c>
      <c r="AK23" s="248">
        <f>SUM(R18:AK18)</f>
        <v>202.3747750994128</v>
      </c>
      <c r="AL23" s="248">
        <f t="shared" si="9"/>
        <v>201.76801381543262</v>
      </c>
      <c r="AM23" s="248">
        <f t="shared" si="13"/>
        <v>201.2443391901719</v>
      </c>
      <c r="AN23" s="248">
        <f t="shared" si="10"/>
        <v>200.80308397859497</v>
      </c>
      <c r="AO23" s="248">
        <f t="shared" si="14"/>
        <v>200.44358623204445</v>
      </c>
      <c r="AP23" s="248">
        <f t="shared" si="11"/>
        <v>200.16518925620625</v>
      </c>
      <c r="AQ23" s="253"/>
      <c r="AR23" s="253"/>
      <c r="AS23" s="253"/>
      <c r="AT23" s="253"/>
      <c r="AU23" s="253"/>
      <c r="AV23" s="253"/>
      <c r="AW23" s="253"/>
      <c r="AX23" s="253"/>
      <c r="AY23" s="253"/>
      <c r="AZ23" s="253"/>
      <c r="BA23" s="253"/>
      <c r="BB23" s="253"/>
      <c r="BC23" s="253"/>
      <c r="BD23" s="253"/>
      <c r="BE23" s="253"/>
      <c r="BF23" s="253"/>
      <c r="BG23" s="253"/>
      <c r="BH23" s="253"/>
      <c r="BI23" s="253"/>
      <c r="BJ23" s="253"/>
      <c r="BK23" s="253"/>
      <c r="BL23" s="253"/>
      <c r="BM23" s="253"/>
      <c r="BN23" s="253"/>
      <c r="BO23" s="253"/>
      <c r="BP23" s="253"/>
      <c r="BQ23" s="253"/>
    </row>
    <row r="24" spans="2:69" ht="15" customHeight="1">
      <c r="B24" s="247" t="s">
        <v>26</v>
      </c>
      <c r="C24" s="248"/>
      <c r="D24" s="248"/>
      <c r="E24" s="248"/>
      <c r="F24" s="248"/>
      <c r="G24" s="248"/>
      <c r="H24" s="248"/>
      <c r="I24" s="248"/>
      <c r="J24" s="248"/>
      <c r="K24" s="248"/>
      <c r="L24" s="248"/>
      <c r="M24" s="248"/>
      <c r="N24" s="248"/>
      <c r="O24" s="248"/>
      <c r="P24" s="248"/>
      <c r="Q24" s="248"/>
      <c r="R24" s="248"/>
      <c r="S24" s="248"/>
      <c r="T24" s="248"/>
      <c r="U24" s="248"/>
      <c r="V24" s="248">
        <f t="shared" ref="V24:AK24" si="16">(V21+V22+V23)/((318.9+743+127)/7400)</f>
        <v>12178.380885162782</v>
      </c>
      <c r="W24" s="248">
        <f t="shared" si="16"/>
        <v>12202.960553978404</v>
      </c>
      <c r="X24" s="248">
        <f t="shared" si="16"/>
        <v>12227.767813483835</v>
      </c>
      <c r="Y24" s="248">
        <f t="shared" si="16"/>
        <v>12252.802603740889</v>
      </c>
      <c r="Z24" s="248">
        <f t="shared" si="16"/>
        <v>12278.435363814229</v>
      </c>
      <c r="AA24" s="248">
        <f t="shared" si="16"/>
        <v>12304.780382884939</v>
      </c>
      <c r="AB24" s="248">
        <f t="shared" si="16"/>
        <v>12331.833729773469</v>
      </c>
      <c r="AC24" s="248">
        <f t="shared" si="16"/>
        <v>12359.591512618785</v>
      </c>
      <c r="AD24" s="248">
        <f t="shared" si="16"/>
        <v>12388.049878605436</v>
      </c>
      <c r="AE24" s="248">
        <f t="shared" si="16"/>
        <v>12417.205013692934</v>
      </c>
      <c r="AF24" s="248">
        <f t="shared" si="16"/>
        <v>12447.053142347509</v>
      </c>
      <c r="AG24" s="248">
        <f t="shared" si="16"/>
        <v>12477.590527276163</v>
      </c>
      <c r="AH24" s="248">
        <f t="shared" si="16"/>
        <v>12508.813469163035</v>
      </c>
      <c r="AI24" s="248">
        <f t="shared" si="16"/>
        <v>12540.718306408082</v>
      </c>
      <c r="AJ24" s="248">
        <f t="shared" si="16"/>
        <v>12573.301414867972</v>
      </c>
      <c r="AK24" s="248">
        <f t="shared" si="16"/>
        <v>12606.559207599301</v>
      </c>
      <c r="AL24" s="248">
        <f t="shared" ref="AL24:AP24" si="17">(AL21+AL22+AL23)/((318.9+743+127)/7400)</f>
        <v>12640.488134604</v>
      </c>
      <c r="AM24" s="248">
        <f t="shared" si="17"/>
        <v>12675.084682576977</v>
      </c>
      <c r="AN24" s="248">
        <f t="shared" si="17"/>
        <v>12710.345374655957</v>
      </c>
      <c r="AO24" s="248">
        <f t="shared" si="17"/>
        <v>12746.266770173543</v>
      </c>
      <c r="AP24" s="248">
        <f t="shared" si="17"/>
        <v>12782.845464411384</v>
      </c>
      <c r="AQ24" s="253"/>
      <c r="AR24" s="253"/>
      <c r="AS24" s="253"/>
      <c r="AT24" s="253"/>
      <c r="AU24" s="253"/>
      <c r="AV24" s="253"/>
      <c r="AW24" s="253"/>
      <c r="AX24" s="253"/>
      <c r="AY24" s="253"/>
      <c r="AZ24" s="253"/>
      <c r="BA24" s="253"/>
      <c r="BB24" s="253"/>
      <c r="BC24" s="253"/>
      <c r="BD24" s="253"/>
      <c r="BE24" s="253"/>
      <c r="BF24" s="253"/>
      <c r="BG24" s="253"/>
      <c r="BH24" s="253"/>
      <c r="BI24" s="253"/>
      <c r="BJ24" s="253"/>
      <c r="BK24" s="253"/>
      <c r="BL24" s="253"/>
      <c r="BM24" s="253"/>
      <c r="BN24" s="253"/>
      <c r="BO24" s="253"/>
      <c r="BP24" s="253"/>
      <c r="BQ24" s="253"/>
    </row>
    <row r="25" spans="2:69" s="245" customFormat="1" ht="15" customHeight="1">
      <c r="B25" s="278" t="s">
        <v>72</v>
      </c>
      <c r="C25" s="269"/>
      <c r="D25" s="269"/>
      <c r="E25" s="269"/>
      <c r="F25" s="269"/>
      <c r="G25" s="269"/>
      <c r="H25" s="269"/>
      <c r="I25" s="269"/>
      <c r="J25" s="269"/>
      <c r="K25" s="269"/>
      <c r="L25" s="269"/>
      <c r="M25" s="269"/>
      <c r="N25" s="269"/>
      <c r="O25" s="269"/>
      <c r="P25" s="269"/>
      <c r="Q25" s="269"/>
      <c r="R25" s="269"/>
      <c r="S25" s="269"/>
      <c r="T25" s="269"/>
      <c r="U25" s="269"/>
      <c r="V25" s="269"/>
      <c r="W25" s="269"/>
      <c r="X25" s="269"/>
      <c r="Y25" s="279">
        <f>SUM(Y21:Y24)</f>
        <v>14221.36436260407</v>
      </c>
      <c r="Z25" s="279">
        <f t="shared" ref="Z25:AK25" si="18">SUM(Z21:Z24)</f>
        <v>14251.115337332978</v>
      </c>
      <c r="AA25" s="279">
        <f t="shared" si="18"/>
        <v>14281.693004129791</v>
      </c>
      <c r="AB25" s="279">
        <f t="shared" si="18"/>
        <v>14313.092800223156</v>
      </c>
      <c r="AC25" s="279">
        <f t="shared" si="18"/>
        <v>14345.310208477227</v>
      </c>
      <c r="AD25" s="279">
        <f t="shared" si="18"/>
        <v>14378.340757074895</v>
      </c>
      <c r="AE25" s="279">
        <f t="shared" si="18"/>
        <v>14412.180019203681</v>
      </c>
      <c r="AF25" s="279">
        <f t="shared" si="18"/>
        <v>14446.823612744396</v>
      </c>
      <c r="AG25" s="279">
        <f t="shared" si="18"/>
        <v>14482.267199962464</v>
      </c>
      <c r="AH25" s="279">
        <f t="shared" si="18"/>
        <v>14518.506487201945</v>
      </c>
      <c r="AI25" s="279">
        <f t="shared" si="18"/>
        <v>14555.537224582213</v>
      </c>
      <c r="AJ25" s="279">
        <f t="shared" si="18"/>
        <v>14593.355205697233</v>
      </c>
      <c r="AK25" s="279">
        <f t="shared" si="18"/>
        <v>14631.956267317519</v>
      </c>
      <c r="AL25" s="279">
        <f t="shared" ref="AL25:AP25" si="19">SUM(AL21:AL24)</f>
        <v>14671.336289094636</v>
      </c>
      <c r="AM25" s="279">
        <f t="shared" si="19"/>
        <v>14711.491193268297</v>
      </c>
      <c r="AN25" s="279">
        <f t="shared" si="19"/>
        <v>14752.41694437602</v>
      </c>
      <c r="AO25" s="279">
        <f t="shared" si="19"/>
        <v>14794.109548965343</v>
      </c>
      <c r="AP25" s="279">
        <f t="shared" si="19"/>
        <v>14836.565055308505</v>
      </c>
    </row>
    <row r="26" spans="2:69" ht="15" customHeight="1">
      <c r="B26" s="254"/>
      <c r="C26" s="253"/>
      <c r="D26" s="253"/>
      <c r="E26" s="253"/>
      <c r="F26" s="253"/>
      <c r="G26" s="253"/>
      <c r="H26" s="253"/>
      <c r="I26" s="253"/>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row>
    <row r="27" spans="2:69" ht="15" customHeight="1">
      <c r="B27" s="245" t="s">
        <v>223</v>
      </c>
      <c r="C27" s="229"/>
      <c r="D27" s="229"/>
      <c r="E27" s="229"/>
      <c r="F27" s="229"/>
      <c r="G27" s="229"/>
      <c r="H27" s="229"/>
      <c r="I27" s="229"/>
      <c r="J27" s="229"/>
      <c r="K27" s="229"/>
      <c r="L27" s="229"/>
      <c r="M27" s="229"/>
      <c r="N27" s="229"/>
      <c r="O27" s="229"/>
      <c r="P27" s="229"/>
      <c r="Q27" s="229"/>
      <c r="R27" s="229"/>
      <c r="S27" s="229"/>
      <c r="T27" s="229"/>
      <c r="U27" s="229"/>
      <c r="V27" s="229"/>
      <c r="W27" s="229"/>
      <c r="X27" s="229"/>
      <c r="Y27" s="229"/>
      <c r="Z27" s="229"/>
      <c r="AA27" s="229"/>
      <c r="AB27" s="229"/>
      <c r="AC27" s="229"/>
      <c r="AD27" s="229"/>
      <c r="AE27" s="229"/>
      <c r="AF27" s="229"/>
      <c r="AG27" s="229"/>
      <c r="AH27" s="229"/>
      <c r="AI27" s="229"/>
      <c r="AJ27" s="229"/>
      <c r="AK27" s="229"/>
      <c r="AL27" s="229"/>
      <c r="AM27" s="229"/>
      <c r="AN27" s="229"/>
      <c r="AO27" s="229"/>
      <c r="AP27" s="229"/>
    </row>
    <row r="28" spans="2:69" ht="15" customHeight="1">
      <c r="B28" s="247" t="s">
        <v>24</v>
      </c>
      <c r="C28" s="248"/>
      <c r="D28" s="248"/>
      <c r="E28" s="248"/>
      <c r="F28" s="248"/>
      <c r="G28" s="248"/>
      <c r="H28" s="248"/>
      <c r="I28" s="248"/>
      <c r="J28" s="248"/>
      <c r="K28" s="248"/>
      <c r="L28" s="248"/>
      <c r="M28" s="248"/>
      <c r="N28" s="248"/>
      <c r="O28" s="248"/>
      <c r="P28" s="248"/>
      <c r="Q28" s="248"/>
      <c r="R28" s="248"/>
      <c r="S28" s="248"/>
      <c r="T28" s="248"/>
      <c r="U28" s="248"/>
      <c r="V28" s="248"/>
      <c r="W28" s="248">
        <f t="shared" ref="W28:AK28" si="20">W21*0.55</f>
        <v>412.34423732507634</v>
      </c>
      <c r="X28" s="248">
        <f t="shared" si="20"/>
        <v>414.40595851170167</v>
      </c>
      <c r="Y28" s="248">
        <f t="shared" si="20"/>
        <v>416.47798830426012</v>
      </c>
      <c r="Z28" s="248">
        <f t="shared" si="20"/>
        <v>418.56037824578135</v>
      </c>
      <c r="AA28" s="248">
        <f t="shared" si="20"/>
        <v>420.65318013701022</v>
      </c>
      <c r="AB28" s="248">
        <f t="shared" si="20"/>
        <v>422.75644603769518</v>
      </c>
      <c r="AC28" s="248">
        <f t="shared" si="20"/>
        <v>424.87022826788365</v>
      </c>
      <c r="AD28" s="248">
        <f t="shared" si="20"/>
        <v>426.99457940922298</v>
      </c>
      <c r="AE28" s="248">
        <f t="shared" si="20"/>
        <v>429.12955230626903</v>
      </c>
      <c r="AF28" s="248">
        <f t="shared" si="20"/>
        <v>431.27520006780031</v>
      </c>
      <c r="AG28" s="248">
        <f t="shared" si="20"/>
        <v>433.43157606813929</v>
      </c>
      <c r="AH28" s="248">
        <f t="shared" si="20"/>
        <v>435.59873394847989</v>
      </c>
      <c r="AI28" s="248">
        <f t="shared" si="20"/>
        <v>437.77672761822237</v>
      </c>
      <c r="AJ28" s="248">
        <f t="shared" si="20"/>
        <v>439.96561125631337</v>
      </c>
      <c r="AK28" s="248">
        <f t="shared" si="20"/>
        <v>442.16543931259491</v>
      </c>
      <c r="AL28" s="248">
        <f t="shared" ref="AL28:AP28" si="21">AL21*0.55</f>
        <v>444.37626650915786</v>
      </c>
      <c r="AM28" s="248">
        <f t="shared" si="21"/>
        <v>446.59814784170351</v>
      </c>
      <c r="AN28" s="248">
        <f t="shared" si="21"/>
        <v>448.83113858091207</v>
      </c>
      <c r="AO28" s="248">
        <f t="shared" si="21"/>
        <v>451.07529427381661</v>
      </c>
      <c r="AP28" s="248">
        <f t="shared" si="21"/>
        <v>453.33067074518567</v>
      </c>
      <c r="AQ28" s="253"/>
      <c r="AR28" s="253"/>
      <c r="AS28" s="253"/>
      <c r="AT28" s="253"/>
      <c r="AU28" s="253"/>
      <c r="AV28" s="253"/>
      <c r="AW28" s="253"/>
      <c r="AX28" s="253"/>
      <c r="AY28" s="253"/>
      <c r="AZ28" s="253"/>
      <c r="BA28" s="253"/>
      <c r="BB28" s="253"/>
      <c r="BC28" s="253"/>
      <c r="BD28" s="253"/>
      <c r="BE28" s="253"/>
      <c r="BF28" s="253"/>
      <c r="BG28" s="253"/>
      <c r="BH28" s="253"/>
      <c r="BI28" s="253"/>
      <c r="BJ28" s="253"/>
      <c r="BK28" s="253"/>
      <c r="BL28" s="253"/>
      <c r="BM28" s="253"/>
      <c r="BN28" s="253"/>
      <c r="BO28" s="253"/>
      <c r="BP28" s="253"/>
      <c r="BQ28" s="253"/>
    </row>
    <row r="29" spans="2:69" ht="15" customHeight="1">
      <c r="B29" s="247" t="s">
        <v>25</v>
      </c>
      <c r="C29" s="248"/>
      <c r="D29" s="248"/>
      <c r="E29" s="248"/>
      <c r="F29" s="248"/>
      <c r="G29" s="248"/>
      <c r="H29" s="248"/>
      <c r="I29" s="248"/>
      <c r="J29" s="248"/>
      <c r="K29" s="248"/>
      <c r="L29" s="248"/>
      <c r="M29" s="248"/>
      <c r="N29" s="248"/>
      <c r="O29" s="248"/>
      <c r="P29" s="248"/>
      <c r="Q29" s="248"/>
      <c r="R29" s="248"/>
      <c r="S29" s="248"/>
      <c r="T29" s="248"/>
      <c r="U29" s="248"/>
      <c r="V29" s="248"/>
      <c r="W29" s="248">
        <f t="shared" ref="W29:AK29" si="22">W22*0.55</f>
        <v>545.03582517387747</v>
      </c>
      <c r="X29" s="248">
        <f t="shared" si="22"/>
        <v>546.12589682422515</v>
      </c>
      <c r="Y29" s="248">
        <f t="shared" si="22"/>
        <v>547.21814861787357</v>
      </c>
      <c r="Z29" s="248">
        <f t="shared" si="22"/>
        <v>548.31258491510926</v>
      </c>
      <c r="AA29" s="248">
        <f t="shared" si="22"/>
        <v>549.40921008493945</v>
      </c>
      <c r="AB29" s="248">
        <f t="shared" si="22"/>
        <v>550.50802850510934</v>
      </c>
      <c r="AC29" s="248">
        <f t="shared" si="22"/>
        <v>551.60904456211961</v>
      </c>
      <c r="AD29" s="248">
        <f t="shared" si="22"/>
        <v>552.7122626512438</v>
      </c>
      <c r="AE29" s="248">
        <f t="shared" si="22"/>
        <v>553.8176871765462</v>
      </c>
      <c r="AF29" s="248">
        <f t="shared" si="22"/>
        <v>554.9253225508993</v>
      </c>
      <c r="AG29" s="248">
        <f t="shared" si="22"/>
        <v>556.0351731960011</v>
      </c>
      <c r="AH29" s="248">
        <f t="shared" si="22"/>
        <v>557.14724354239308</v>
      </c>
      <c r="AI29" s="248">
        <f t="shared" si="22"/>
        <v>558.26153802947795</v>
      </c>
      <c r="AJ29" s="248">
        <f t="shared" si="22"/>
        <v>559.37806110553686</v>
      </c>
      <c r="AK29" s="248">
        <f t="shared" si="22"/>
        <v>560.4968172277479</v>
      </c>
      <c r="AL29" s="248">
        <f t="shared" ref="AL29:AP29" si="23">AL22*0.55</f>
        <v>561.61781086220344</v>
      </c>
      <c r="AM29" s="248">
        <f t="shared" si="23"/>
        <v>562.74104648392779</v>
      </c>
      <c r="AN29" s="248">
        <f t="shared" si="23"/>
        <v>563.86652857689558</v>
      </c>
      <c r="AO29" s="248">
        <f t="shared" si="23"/>
        <v>564.99426163404951</v>
      </c>
      <c r="AP29" s="248">
        <f t="shared" si="23"/>
        <v>566.12425015731753</v>
      </c>
      <c r="AQ29" s="253"/>
      <c r="AR29" s="253"/>
      <c r="AS29" s="253"/>
      <c r="AT29" s="253"/>
      <c r="AU29" s="253"/>
      <c r="AV29" s="253"/>
      <c r="AW29" s="253"/>
      <c r="AX29" s="253"/>
      <c r="AY29" s="253"/>
      <c r="AZ29" s="253"/>
      <c r="BA29" s="253"/>
      <c r="BB29" s="253"/>
      <c r="BC29" s="253"/>
      <c r="BD29" s="253"/>
      <c r="BE29" s="253"/>
      <c r="BF29" s="253"/>
      <c r="BG29" s="253"/>
      <c r="BH29" s="253"/>
      <c r="BI29" s="253"/>
      <c r="BJ29" s="253"/>
      <c r="BK29" s="253"/>
      <c r="BL29" s="253"/>
      <c r="BM29" s="253"/>
      <c r="BN29" s="253"/>
      <c r="BO29" s="253"/>
      <c r="BP29" s="253"/>
      <c r="BQ29" s="253"/>
    </row>
    <row r="30" spans="2:69" ht="15" customHeight="1">
      <c r="B30" s="247" t="s">
        <v>68</v>
      </c>
      <c r="C30" s="248"/>
      <c r="D30" s="248"/>
      <c r="E30" s="248"/>
      <c r="F30" s="248"/>
      <c r="G30" s="248"/>
      <c r="H30" s="248"/>
      <c r="I30" s="248"/>
      <c r="J30" s="248"/>
      <c r="K30" s="248"/>
      <c r="L30" s="248"/>
      <c r="M30" s="248"/>
      <c r="N30" s="248"/>
      <c r="O30" s="248"/>
      <c r="P30" s="248"/>
      <c r="Q30" s="248"/>
      <c r="R30" s="248"/>
      <c r="S30" s="248"/>
      <c r="T30" s="248"/>
      <c r="U30" s="248"/>
      <c r="V30" s="248"/>
      <c r="W30" s="248">
        <f t="shared" ref="W30:AK30" si="24">W23*0.55</f>
        <v>120.92465256100706</v>
      </c>
      <c r="X30" s="248">
        <f t="shared" si="24"/>
        <v>119.96493309623715</v>
      </c>
      <c r="Y30" s="248">
        <f t="shared" si="24"/>
        <v>119.01283045261623</v>
      </c>
      <c r="Z30" s="248">
        <f t="shared" si="24"/>
        <v>118.10102227442086</v>
      </c>
      <c r="AA30" s="248">
        <f t="shared" si="24"/>
        <v>117.23955146271911</v>
      </c>
      <c r="AB30" s="248">
        <f t="shared" si="24"/>
        <v>116.42801420452292</v>
      </c>
      <c r="AC30" s="248">
        <f t="shared" si="24"/>
        <v>115.66600989214027</v>
      </c>
      <c r="AD30" s="248">
        <f t="shared" si="24"/>
        <v>114.95314109773616</v>
      </c>
      <c r="AE30" s="248">
        <f t="shared" si="24"/>
        <v>114.28901354809577</v>
      </c>
      <c r="AF30" s="248">
        <f t="shared" si="24"/>
        <v>113.67323609958754</v>
      </c>
      <c r="AG30" s="248">
        <f t="shared" si="24"/>
        <v>113.10542071332537</v>
      </c>
      <c r="AH30" s="248">
        <f t="shared" si="24"/>
        <v>112.58518243052764</v>
      </c>
      <c r="AI30" s="248">
        <f t="shared" si="24"/>
        <v>112.11213934807189</v>
      </c>
      <c r="AJ30" s="248">
        <f t="shared" si="24"/>
        <v>111.68591259424353</v>
      </c>
      <c r="AK30" s="248">
        <f t="shared" si="24"/>
        <v>111.30612630467705</v>
      </c>
      <c r="AL30" s="248">
        <f t="shared" ref="AL30:AP30" si="25">AL23*0.55</f>
        <v>110.97240759848795</v>
      </c>
      <c r="AM30" s="248">
        <f t="shared" si="25"/>
        <v>110.68438655459455</v>
      </c>
      <c r="AN30" s="248">
        <f t="shared" si="25"/>
        <v>110.44169618822724</v>
      </c>
      <c r="AO30" s="248">
        <f t="shared" si="25"/>
        <v>110.24397242762446</v>
      </c>
      <c r="AP30" s="248">
        <f t="shared" si="25"/>
        <v>110.09085409091344</v>
      </c>
      <c r="AQ30" s="253"/>
      <c r="AR30" s="253"/>
      <c r="AS30" s="253"/>
      <c r="AT30" s="253"/>
      <c r="AU30" s="253"/>
      <c r="AV30" s="253"/>
      <c r="AW30" s="253"/>
      <c r="AX30" s="253"/>
      <c r="AY30" s="253"/>
      <c r="AZ30" s="253"/>
      <c r="BA30" s="253"/>
      <c r="BB30" s="253"/>
      <c r="BC30" s="253"/>
      <c r="BD30" s="253"/>
      <c r="BE30" s="253"/>
      <c r="BF30" s="253"/>
      <c r="BG30" s="253"/>
      <c r="BH30" s="253"/>
      <c r="BI30" s="253"/>
      <c r="BJ30" s="253"/>
      <c r="BK30" s="253"/>
      <c r="BL30" s="253"/>
      <c r="BM30" s="253"/>
      <c r="BN30" s="253"/>
      <c r="BO30" s="253"/>
      <c r="BP30" s="253"/>
      <c r="BQ30" s="253"/>
    </row>
    <row r="31" spans="2:69" ht="15" customHeight="1">
      <c r="B31" s="247" t="s">
        <v>26</v>
      </c>
      <c r="C31" s="248"/>
      <c r="D31" s="248"/>
      <c r="E31" s="248"/>
      <c r="F31" s="248"/>
      <c r="G31" s="248"/>
      <c r="H31" s="248"/>
      <c r="I31" s="248"/>
      <c r="J31" s="248"/>
      <c r="K31" s="248"/>
      <c r="L31" s="248"/>
      <c r="M31" s="248"/>
      <c r="N31" s="248"/>
      <c r="O31" s="248"/>
      <c r="P31" s="248"/>
      <c r="Q31" s="248"/>
      <c r="R31" s="248"/>
      <c r="S31" s="248"/>
      <c r="T31" s="248"/>
      <c r="U31" s="248"/>
      <c r="V31" s="248"/>
      <c r="W31" s="248">
        <f t="shared" ref="W31:AK31" si="26">W24*0.55</f>
        <v>6711.6283046881226</v>
      </c>
      <c r="X31" s="248">
        <f t="shared" si="26"/>
        <v>6725.2722974161097</v>
      </c>
      <c r="Y31" s="248">
        <f t="shared" si="26"/>
        <v>6739.0414320574891</v>
      </c>
      <c r="Z31" s="248">
        <f t="shared" si="26"/>
        <v>6753.1394500978267</v>
      </c>
      <c r="AA31" s="248">
        <f t="shared" si="26"/>
        <v>6767.6292105867169</v>
      </c>
      <c r="AB31" s="248">
        <f t="shared" si="26"/>
        <v>6782.5085513754084</v>
      </c>
      <c r="AC31" s="248">
        <f t="shared" si="26"/>
        <v>6797.7753319403319</v>
      </c>
      <c r="AD31" s="248">
        <f t="shared" si="26"/>
        <v>6813.4274332329906</v>
      </c>
      <c r="AE31" s="248">
        <f t="shared" si="26"/>
        <v>6829.4627575311142</v>
      </c>
      <c r="AF31" s="248">
        <f t="shared" si="26"/>
        <v>6845.8792282911309</v>
      </c>
      <c r="AG31" s="248">
        <f t="shared" si="26"/>
        <v>6862.67479000189</v>
      </c>
      <c r="AH31" s="248">
        <f t="shared" si="26"/>
        <v>6879.84740803967</v>
      </c>
      <c r="AI31" s="248">
        <f t="shared" si="26"/>
        <v>6897.3950685244454</v>
      </c>
      <c r="AJ31" s="248">
        <f t="shared" si="26"/>
        <v>6915.3157781773853</v>
      </c>
      <c r="AK31" s="248">
        <f t="shared" si="26"/>
        <v>6933.607564179616</v>
      </c>
      <c r="AL31" s="248">
        <f t="shared" ref="AL31:AP31" si="27">AL24*0.55</f>
        <v>6952.2684740322011</v>
      </c>
      <c r="AM31" s="248">
        <f t="shared" si="27"/>
        <v>6971.2965754173374</v>
      </c>
      <c r="AN31" s="248">
        <f t="shared" si="27"/>
        <v>6990.6899560607771</v>
      </c>
      <c r="AO31" s="248">
        <f t="shared" si="27"/>
        <v>7010.4467235954489</v>
      </c>
      <c r="AP31" s="248">
        <f t="shared" si="27"/>
        <v>7030.5650054262624</v>
      </c>
      <c r="AQ31" s="253"/>
      <c r="AR31" s="253"/>
      <c r="AS31" s="253"/>
      <c r="AT31" s="253"/>
      <c r="AU31" s="253"/>
      <c r="AV31" s="253"/>
      <c r="AW31" s="253"/>
      <c r="AX31" s="253"/>
      <c r="AY31" s="253"/>
      <c r="AZ31" s="253"/>
      <c r="BA31" s="253"/>
      <c r="BB31" s="253"/>
      <c r="BC31" s="253"/>
      <c r="BD31" s="253"/>
      <c r="BE31" s="253"/>
      <c r="BF31" s="253"/>
      <c r="BG31" s="253"/>
      <c r="BH31" s="253"/>
      <c r="BI31" s="253"/>
      <c r="BJ31" s="253"/>
      <c r="BK31" s="253"/>
      <c r="BL31" s="253"/>
      <c r="BM31" s="253"/>
      <c r="BN31" s="253"/>
      <c r="BO31" s="253"/>
      <c r="BP31" s="253"/>
      <c r="BQ31" s="253"/>
    </row>
    <row r="32" spans="2:69" s="245" customFormat="1" ht="15" customHeight="1">
      <c r="B32" s="278" t="s">
        <v>253</v>
      </c>
      <c r="C32" s="269"/>
      <c r="D32" s="269"/>
      <c r="E32" s="269"/>
      <c r="F32" s="269"/>
      <c r="G32" s="269"/>
      <c r="H32" s="269"/>
      <c r="I32" s="269"/>
      <c r="J32" s="269"/>
      <c r="K32" s="269"/>
      <c r="L32" s="269"/>
      <c r="M32" s="269"/>
      <c r="N32" s="269"/>
      <c r="O32" s="269"/>
      <c r="P32" s="269"/>
      <c r="Q32" s="269"/>
      <c r="R32" s="269"/>
      <c r="S32" s="269"/>
      <c r="T32" s="269"/>
      <c r="U32" s="269"/>
      <c r="V32" s="269"/>
      <c r="W32" s="279">
        <f t="shared" ref="W32:AK32" si="28">SUM(W28:W31)</f>
        <v>7789.9330197480831</v>
      </c>
      <c r="X32" s="279">
        <f t="shared" si="28"/>
        <v>7805.7690858482738</v>
      </c>
      <c r="Y32" s="279">
        <f t="shared" si="28"/>
        <v>7821.7503994322396</v>
      </c>
      <c r="Z32" s="279">
        <f t="shared" si="28"/>
        <v>7838.1134355331378</v>
      </c>
      <c r="AA32" s="279">
        <f t="shared" si="28"/>
        <v>7854.9311522713861</v>
      </c>
      <c r="AB32" s="279">
        <f t="shared" si="28"/>
        <v>7872.2010401227362</v>
      </c>
      <c r="AC32" s="279">
        <f t="shared" si="28"/>
        <v>7889.9206146624756</v>
      </c>
      <c r="AD32" s="279">
        <f t="shared" si="28"/>
        <v>7908.087416391194</v>
      </c>
      <c r="AE32" s="279">
        <f t="shared" si="28"/>
        <v>7926.6990105620253</v>
      </c>
      <c r="AF32" s="279">
        <f t="shared" si="28"/>
        <v>7945.7529870094177</v>
      </c>
      <c r="AG32" s="279">
        <f t="shared" si="28"/>
        <v>7965.2469599793558</v>
      </c>
      <c r="AH32" s="279">
        <f t="shared" si="28"/>
        <v>7985.1785679610703</v>
      </c>
      <c r="AI32" s="279">
        <f t="shared" si="28"/>
        <v>8005.5454735202175</v>
      </c>
      <c r="AJ32" s="279">
        <f t="shared" si="28"/>
        <v>8026.3453631334787</v>
      </c>
      <c r="AK32" s="279">
        <f t="shared" si="28"/>
        <v>8047.5759470246358</v>
      </c>
      <c r="AL32" s="279">
        <f t="shared" ref="AL32:AP32" si="29">SUM(AL28:AL31)</f>
        <v>8069.2349590020503</v>
      </c>
      <c r="AM32" s="279">
        <f t="shared" si="29"/>
        <v>8091.3201562975628</v>
      </c>
      <c r="AN32" s="279">
        <f t="shared" si="29"/>
        <v>8113.8293194068119</v>
      </c>
      <c r="AO32" s="279">
        <f t="shared" si="29"/>
        <v>8136.7602519309394</v>
      </c>
      <c r="AP32" s="279">
        <f t="shared" si="29"/>
        <v>8160.110780419679</v>
      </c>
    </row>
    <row r="33" spans="2:42" ht="15" customHeight="1">
      <c r="B33" s="280"/>
      <c r="C33" s="253"/>
      <c r="D33" s="253"/>
      <c r="E33" s="253"/>
      <c r="F33" s="253"/>
      <c r="G33" s="253"/>
      <c r="H33" s="253"/>
      <c r="I33" s="253"/>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row>
    <row r="34" spans="2:42" ht="15" customHeight="1">
      <c r="B34" s="245" t="s">
        <v>163</v>
      </c>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29"/>
      <c r="AC34" s="229"/>
      <c r="AD34" s="229"/>
      <c r="AE34" s="229"/>
      <c r="AF34" s="229"/>
      <c r="AG34" s="229"/>
      <c r="AH34" s="229"/>
      <c r="AI34" s="229"/>
      <c r="AJ34" s="229"/>
      <c r="AK34" s="229"/>
      <c r="AL34" s="229"/>
      <c r="AM34" s="229"/>
      <c r="AN34" s="229"/>
      <c r="AO34" s="229"/>
      <c r="AP34" s="229"/>
    </row>
    <row r="35" spans="2:42" ht="15" hidden="1" customHeight="1" outlineLevel="1">
      <c r="B35" s="255" t="s">
        <v>108</v>
      </c>
      <c r="C35" s="257"/>
      <c r="D35" s="257"/>
      <c r="E35" s="257"/>
      <c r="F35" s="257"/>
      <c r="G35" s="257"/>
      <c r="H35" s="257"/>
      <c r="I35" s="257"/>
      <c r="J35" s="257"/>
      <c r="K35" s="257"/>
      <c r="L35" s="257"/>
      <c r="M35" s="257"/>
      <c r="N35" s="257"/>
      <c r="O35" s="257"/>
      <c r="P35" s="257"/>
      <c r="Q35" s="257"/>
      <c r="R35" s="257"/>
      <c r="S35" s="257"/>
      <c r="T35" s="257"/>
      <c r="U35" s="257"/>
      <c r="V35" s="257"/>
      <c r="W35" s="275">
        <f t="shared" ref="W35:AB35" si="30">W36</f>
        <v>0.1047</v>
      </c>
      <c r="X35" s="275">
        <f t="shared" si="30"/>
        <v>0.10730000000000001</v>
      </c>
      <c r="Y35" s="275">
        <f t="shared" si="30"/>
        <v>0.1229</v>
      </c>
      <c r="Z35" s="275">
        <f t="shared" si="30"/>
        <v>0.1229</v>
      </c>
      <c r="AA35" s="275">
        <f t="shared" si="30"/>
        <v>0.11675000000000001</v>
      </c>
      <c r="AB35" s="275">
        <f t="shared" si="30"/>
        <v>0.12</v>
      </c>
      <c r="AC35" s="275">
        <v>0.1205</v>
      </c>
      <c r="AD35" s="275">
        <f t="shared" ref="AD35:AK35" si="31">AC35+0.003</f>
        <v>0.1235</v>
      </c>
      <c r="AE35" s="275">
        <f t="shared" si="31"/>
        <v>0.1265</v>
      </c>
      <c r="AF35" s="275">
        <f t="shared" si="31"/>
        <v>0.1295</v>
      </c>
      <c r="AG35" s="275">
        <f t="shared" si="31"/>
        <v>0.13250000000000001</v>
      </c>
      <c r="AH35" s="275">
        <f t="shared" si="31"/>
        <v>0.13550000000000001</v>
      </c>
      <c r="AI35" s="275">
        <f t="shared" si="31"/>
        <v>0.13850000000000001</v>
      </c>
      <c r="AJ35" s="275">
        <f t="shared" si="31"/>
        <v>0.14150000000000001</v>
      </c>
      <c r="AK35" s="275">
        <f t="shared" si="31"/>
        <v>0.14450000000000002</v>
      </c>
      <c r="AL35" s="275">
        <f t="shared" ref="AL35" si="32">AK35+0.003</f>
        <v>0.14750000000000002</v>
      </c>
      <c r="AM35" s="275">
        <f t="shared" ref="AM35" si="33">AL35+0.003</f>
        <v>0.15050000000000002</v>
      </c>
      <c r="AN35" s="275">
        <f t="shared" ref="AN35" si="34">AM35+0.003</f>
        <v>0.15350000000000003</v>
      </c>
      <c r="AO35" s="275">
        <f t="shared" ref="AO35" si="35">AN35+0.003</f>
        <v>0.15650000000000003</v>
      </c>
      <c r="AP35" s="275">
        <f t="shared" ref="AP35" si="36">AO35+0.003</f>
        <v>0.15950000000000003</v>
      </c>
    </row>
    <row r="36" spans="2:42" ht="15" hidden="1" customHeight="1" outlineLevel="1">
      <c r="B36" s="255" t="s">
        <v>109</v>
      </c>
      <c r="C36" s="257"/>
      <c r="D36" s="257"/>
      <c r="E36" s="257"/>
      <c r="F36" s="257"/>
      <c r="G36" s="257"/>
      <c r="H36" s="257"/>
      <c r="I36" s="257"/>
      <c r="J36" s="257"/>
      <c r="K36" s="257"/>
      <c r="L36" s="257"/>
      <c r="M36" s="257"/>
      <c r="N36" s="257"/>
      <c r="O36" s="257"/>
      <c r="P36" s="257"/>
      <c r="Q36" s="257"/>
      <c r="R36" s="257"/>
      <c r="S36" s="257"/>
      <c r="T36" s="257"/>
      <c r="U36" s="257"/>
      <c r="V36" s="257"/>
      <c r="W36" s="275">
        <v>0.1047</v>
      </c>
      <c r="X36" s="275">
        <v>0.10730000000000001</v>
      </c>
      <c r="Y36" s="275">
        <v>0.1229</v>
      </c>
      <c r="Z36" s="275">
        <v>0.1229</v>
      </c>
      <c r="AA36" s="275">
        <v>0.11675000000000001</v>
      </c>
      <c r="AB36" s="275">
        <v>0.12</v>
      </c>
      <c r="AC36" s="275">
        <v>0.12</v>
      </c>
      <c r="AD36" s="275">
        <f>AC36+0.001</f>
        <v>0.121</v>
      </c>
      <c r="AE36" s="275">
        <f>AD36+0.001</f>
        <v>0.122</v>
      </c>
      <c r="AF36" s="275">
        <f t="shared" ref="AF36:AK36" si="37">AE36+0.001</f>
        <v>0.123</v>
      </c>
      <c r="AG36" s="275">
        <f t="shared" si="37"/>
        <v>0.124</v>
      </c>
      <c r="AH36" s="275">
        <f t="shared" si="37"/>
        <v>0.125</v>
      </c>
      <c r="AI36" s="275">
        <f t="shared" si="37"/>
        <v>0.126</v>
      </c>
      <c r="AJ36" s="275">
        <f t="shared" si="37"/>
        <v>0.127</v>
      </c>
      <c r="AK36" s="275">
        <f t="shared" si="37"/>
        <v>0.128</v>
      </c>
      <c r="AL36" s="275">
        <f t="shared" ref="AL36" si="38">AK36+0.001</f>
        <v>0.129</v>
      </c>
      <c r="AM36" s="275">
        <f t="shared" ref="AM36" si="39">AL36+0.001</f>
        <v>0.13</v>
      </c>
      <c r="AN36" s="275">
        <f t="shared" ref="AN36" si="40">AM36+0.001</f>
        <v>0.13100000000000001</v>
      </c>
      <c r="AO36" s="275">
        <f t="shared" ref="AO36" si="41">AN36+0.001</f>
        <v>0.13200000000000001</v>
      </c>
      <c r="AP36" s="275">
        <f t="shared" ref="AP36" si="42">AO36+0.001</f>
        <v>0.13300000000000001</v>
      </c>
    </row>
    <row r="37" spans="2:42" ht="15" hidden="1" customHeight="1" outlineLevel="1">
      <c r="B37" s="255" t="s">
        <v>110</v>
      </c>
      <c r="C37" s="257"/>
      <c r="D37" s="257"/>
      <c r="E37" s="257"/>
      <c r="F37" s="257"/>
      <c r="G37" s="257"/>
      <c r="H37" s="257"/>
      <c r="I37" s="257"/>
      <c r="J37" s="257"/>
      <c r="K37" s="257"/>
      <c r="L37" s="257"/>
      <c r="M37" s="257"/>
      <c r="N37" s="257"/>
      <c r="O37" s="257"/>
      <c r="P37" s="257"/>
      <c r="Q37" s="257"/>
      <c r="R37" s="257"/>
      <c r="S37" s="257"/>
      <c r="T37" s="257"/>
      <c r="U37" s="257"/>
      <c r="V37" s="257"/>
      <c r="W37" s="275">
        <f t="shared" ref="W37:AB37" si="43">W36</f>
        <v>0.1047</v>
      </c>
      <c r="X37" s="275">
        <f t="shared" si="43"/>
        <v>0.10730000000000001</v>
      </c>
      <c r="Y37" s="275">
        <f t="shared" si="43"/>
        <v>0.1229</v>
      </c>
      <c r="Z37" s="275">
        <f t="shared" si="43"/>
        <v>0.1229</v>
      </c>
      <c r="AA37" s="275">
        <f t="shared" si="43"/>
        <v>0.11675000000000001</v>
      </c>
      <c r="AB37" s="275">
        <f t="shared" si="43"/>
        <v>0.12</v>
      </c>
      <c r="AC37" s="275">
        <v>0.12</v>
      </c>
      <c r="AD37" s="275">
        <f t="shared" ref="AD37:AK37" si="44">AC37-0.001</f>
        <v>0.11899999999999999</v>
      </c>
      <c r="AE37" s="275">
        <f t="shared" si="44"/>
        <v>0.11799999999999999</v>
      </c>
      <c r="AF37" s="275">
        <f>AE37*(1-0.95)</f>
        <v>5.9000000000000051E-3</v>
      </c>
      <c r="AG37" s="275">
        <f t="shared" si="44"/>
        <v>4.900000000000005E-3</v>
      </c>
      <c r="AH37" s="275">
        <f t="shared" si="44"/>
        <v>3.900000000000005E-3</v>
      </c>
      <c r="AI37" s="275">
        <f t="shared" si="44"/>
        <v>2.900000000000005E-3</v>
      </c>
      <c r="AJ37" s="275">
        <f t="shared" si="44"/>
        <v>1.900000000000005E-3</v>
      </c>
      <c r="AK37" s="275">
        <f t="shared" si="44"/>
        <v>9.0000000000000496E-4</v>
      </c>
      <c r="AL37" s="275">
        <f t="shared" ref="AL37" si="45">AK37-0.001</f>
        <v>-9.9999999999995058E-5</v>
      </c>
      <c r="AM37" s="275">
        <f t="shared" ref="AM37" si="46">AL37-0.001</f>
        <v>-1.0999999999999951E-3</v>
      </c>
      <c r="AN37" s="275">
        <f t="shared" ref="AN37" si="47">AM37-0.001</f>
        <v>-2.0999999999999951E-3</v>
      </c>
      <c r="AO37" s="275">
        <f t="shared" ref="AO37" si="48">AN37-0.001</f>
        <v>-3.0999999999999951E-3</v>
      </c>
      <c r="AP37" s="275">
        <f t="shared" ref="AP37" si="49">AO37-0.001</f>
        <v>-4.0999999999999951E-3</v>
      </c>
    </row>
    <row r="38" spans="2:42" s="245" customFormat="1" ht="15" customHeight="1" collapsed="1">
      <c r="B38" s="245" t="s">
        <v>253</v>
      </c>
      <c r="C38" s="259"/>
      <c r="D38" s="259"/>
      <c r="E38" s="259"/>
      <c r="F38" s="259"/>
      <c r="G38" s="259"/>
      <c r="H38" s="259"/>
      <c r="I38" s="259"/>
      <c r="J38" s="259"/>
      <c r="K38" s="259"/>
      <c r="L38" s="259"/>
      <c r="M38" s="259"/>
      <c r="N38" s="259"/>
      <c r="O38" s="259"/>
      <c r="P38" s="259"/>
      <c r="Q38" s="259"/>
      <c r="R38" s="259"/>
      <c r="S38" s="259"/>
      <c r="T38" s="259"/>
      <c r="U38" s="259"/>
      <c r="V38" s="259"/>
      <c r="W38" s="260">
        <f>CHOOSE($Z$3,W35,W36,W37)</f>
        <v>0.1047</v>
      </c>
      <c r="X38" s="260">
        <f>CHOOSE($Z$3,X35,X36,X37)</f>
        <v>0.10730000000000001</v>
      </c>
      <c r="Y38" s="260">
        <f>CHOOSE($Z$3,Y35,Y36,Y37)</f>
        <v>0.1229</v>
      </c>
      <c r="Z38" s="260">
        <f t="shared" ref="Z38:AK38" si="50">CHOOSE($Z$3,Z35,Z36,Z37)</f>
        <v>0.1229</v>
      </c>
      <c r="AA38" s="260">
        <f t="shared" si="50"/>
        <v>0.11675000000000001</v>
      </c>
      <c r="AB38" s="260">
        <f t="shared" si="50"/>
        <v>0.12</v>
      </c>
      <c r="AC38" s="260">
        <f t="shared" si="50"/>
        <v>0.12</v>
      </c>
      <c r="AD38" s="260">
        <f t="shared" si="50"/>
        <v>0.121</v>
      </c>
      <c r="AE38" s="260">
        <f t="shared" si="50"/>
        <v>0.122</v>
      </c>
      <c r="AF38" s="260">
        <f t="shared" si="50"/>
        <v>0.123</v>
      </c>
      <c r="AG38" s="260">
        <f t="shared" si="50"/>
        <v>0.124</v>
      </c>
      <c r="AH38" s="260">
        <f t="shared" si="50"/>
        <v>0.125</v>
      </c>
      <c r="AI38" s="260">
        <f t="shared" si="50"/>
        <v>0.126</v>
      </c>
      <c r="AJ38" s="260">
        <f t="shared" si="50"/>
        <v>0.127</v>
      </c>
      <c r="AK38" s="260">
        <f t="shared" si="50"/>
        <v>0.128</v>
      </c>
      <c r="AL38" s="260">
        <f t="shared" ref="AL38:AP38" si="51">CHOOSE($Z$3,AL35,AL36,AL37)</f>
        <v>0.129</v>
      </c>
      <c r="AM38" s="260">
        <f t="shared" si="51"/>
        <v>0.13</v>
      </c>
      <c r="AN38" s="260">
        <f t="shared" si="51"/>
        <v>0.13100000000000001</v>
      </c>
      <c r="AO38" s="260">
        <f t="shared" si="51"/>
        <v>0.13200000000000001</v>
      </c>
      <c r="AP38" s="260">
        <f t="shared" si="51"/>
        <v>0.13300000000000001</v>
      </c>
    </row>
    <row r="39" spans="2:42" ht="15" customHeight="1">
      <c r="B39" s="254"/>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0"/>
      <c r="AI39" s="260"/>
      <c r="AJ39" s="260"/>
      <c r="AK39" s="260"/>
      <c r="AL39" s="260"/>
      <c r="AM39" s="260"/>
      <c r="AN39" s="260"/>
      <c r="AO39" s="260"/>
      <c r="AP39" s="260"/>
    </row>
    <row r="40" spans="2:42" ht="15" customHeight="1">
      <c r="B40" s="264" t="s">
        <v>71</v>
      </c>
      <c r="C40" s="262"/>
      <c r="D40" s="262"/>
      <c r="E40" s="262"/>
      <c r="F40" s="262"/>
      <c r="G40" s="262"/>
      <c r="H40" s="262"/>
      <c r="I40" s="262"/>
      <c r="J40" s="262"/>
      <c r="K40" s="262"/>
      <c r="L40" s="262"/>
      <c r="M40" s="262"/>
      <c r="N40" s="262"/>
      <c r="O40" s="262"/>
      <c r="P40" s="262"/>
      <c r="Q40" s="262"/>
      <c r="R40" s="262"/>
      <c r="S40" s="262"/>
      <c r="T40" s="262"/>
      <c r="U40" s="262"/>
      <c r="V40" s="262"/>
      <c r="W40" s="262">
        <v>0.95</v>
      </c>
      <c r="X40" s="250">
        <f>W40</f>
        <v>0.95</v>
      </c>
      <c r="Y40" s="250">
        <f t="shared" ref="Y40:AK40" si="52">X40</f>
        <v>0.95</v>
      </c>
      <c r="Z40" s="250">
        <f t="shared" si="52"/>
        <v>0.95</v>
      </c>
      <c r="AA40" s="250">
        <f t="shared" si="52"/>
        <v>0.95</v>
      </c>
      <c r="AB40" s="250">
        <f t="shared" si="52"/>
        <v>0.95</v>
      </c>
      <c r="AC40" s="250">
        <f t="shared" si="52"/>
        <v>0.95</v>
      </c>
      <c r="AD40" s="250">
        <f t="shared" si="52"/>
        <v>0.95</v>
      </c>
      <c r="AE40" s="250">
        <f t="shared" si="52"/>
        <v>0.95</v>
      </c>
      <c r="AF40" s="250">
        <f t="shared" si="52"/>
        <v>0.95</v>
      </c>
      <c r="AG40" s="250">
        <f t="shared" si="52"/>
        <v>0.95</v>
      </c>
      <c r="AH40" s="250">
        <f t="shared" si="52"/>
        <v>0.95</v>
      </c>
      <c r="AI40" s="250">
        <f t="shared" si="52"/>
        <v>0.95</v>
      </c>
      <c r="AJ40" s="250">
        <f t="shared" si="52"/>
        <v>0.95</v>
      </c>
      <c r="AK40" s="250">
        <f t="shared" si="52"/>
        <v>0.95</v>
      </c>
      <c r="AL40" s="250">
        <f t="shared" ref="AL40" si="53">AK40</f>
        <v>0.95</v>
      </c>
      <c r="AM40" s="250">
        <f t="shared" ref="AM40" si="54">AL40</f>
        <v>0.95</v>
      </c>
      <c r="AN40" s="250">
        <f t="shared" ref="AN40" si="55">AM40</f>
        <v>0.95</v>
      </c>
      <c r="AO40" s="250">
        <f t="shared" ref="AO40" si="56">AN40</f>
        <v>0.95</v>
      </c>
      <c r="AP40" s="250">
        <f t="shared" ref="AP40" si="57">AO40</f>
        <v>0.95</v>
      </c>
    </row>
    <row r="41" spans="2:42" ht="15" customHeight="1">
      <c r="B41" s="254"/>
      <c r="C41" s="263"/>
      <c r="D41" s="263"/>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3"/>
      <c r="AI41" s="263"/>
      <c r="AJ41" s="263"/>
      <c r="AK41" s="263"/>
      <c r="AL41" s="263"/>
      <c r="AM41" s="263"/>
      <c r="AN41" s="263"/>
      <c r="AO41" s="263"/>
      <c r="AP41" s="263"/>
    </row>
    <row r="42" spans="2:42" ht="15" customHeight="1">
      <c r="B42" s="264" t="s">
        <v>170</v>
      </c>
      <c r="C42" s="263"/>
      <c r="D42" s="263"/>
      <c r="E42" s="263"/>
      <c r="F42" s="263"/>
      <c r="G42" s="263"/>
      <c r="H42" s="263"/>
      <c r="I42" s="263"/>
      <c r="J42" s="263"/>
      <c r="K42" s="263"/>
      <c r="L42" s="263"/>
      <c r="M42" s="263"/>
      <c r="N42" s="263"/>
      <c r="O42" s="263"/>
      <c r="P42" s="263"/>
      <c r="Q42" s="263"/>
      <c r="R42" s="263"/>
      <c r="S42" s="263"/>
      <c r="T42" s="263"/>
      <c r="U42" s="263"/>
      <c r="V42" s="263"/>
      <c r="W42" s="263">
        <f t="shared" ref="W42:AK42" si="58">W38*W28</f>
        <v>43.172441647935493</v>
      </c>
      <c r="X42" s="263">
        <f t="shared" si="58"/>
        <v>44.465759348305589</v>
      </c>
      <c r="Y42" s="263">
        <f t="shared" si="58"/>
        <v>51.185144762593566</v>
      </c>
      <c r="Z42" s="263">
        <f t="shared" si="58"/>
        <v>51.441070486406524</v>
      </c>
      <c r="AA42" s="263">
        <f t="shared" si="58"/>
        <v>49.111258780995946</v>
      </c>
      <c r="AB42" s="263">
        <f t="shared" si="58"/>
        <v>50.730773524523421</v>
      </c>
      <c r="AC42" s="263">
        <f t="shared" si="58"/>
        <v>50.984427392146038</v>
      </c>
      <c r="AD42" s="263">
        <f t="shared" si="58"/>
        <v>51.666344108515979</v>
      </c>
      <c r="AE42" s="263">
        <f t="shared" si="58"/>
        <v>52.353805381364822</v>
      </c>
      <c r="AF42" s="263">
        <f t="shared" si="58"/>
        <v>53.046849608339436</v>
      </c>
      <c r="AG42" s="263">
        <f t="shared" si="58"/>
        <v>53.745515432449274</v>
      </c>
      <c r="AH42" s="263">
        <f t="shared" si="58"/>
        <v>54.449841743559986</v>
      </c>
      <c r="AI42" s="263">
        <f t="shared" si="58"/>
        <v>55.159867679896017</v>
      </c>
      <c r="AJ42" s="263">
        <f t="shared" si="58"/>
        <v>55.875632629551795</v>
      </c>
      <c r="AK42" s="263">
        <f t="shared" si="58"/>
        <v>56.597176232012153</v>
      </c>
      <c r="AL42" s="263">
        <f t="shared" ref="AL42:AP42" si="59">AL38*AL28</f>
        <v>57.324538379681364</v>
      </c>
      <c r="AM42" s="263">
        <f t="shared" si="59"/>
        <v>58.057759219421456</v>
      </c>
      <c r="AN42" s="263">
        <f t="shared" si="59"/>
        <v>58.796879154099486</v>
      </c>
      <c r="AO42" s="263">
        <f t="shared" si="59"/>
        <v>59.541938844143793</v>
      </c>
      <c r="AP42" s="263">
        <f t="shared" si="59"/>
        <v>60.292979209109696</v>
      </c>
    </row>
    <row r="43" spans="2:42" ht="15" customHeight="1">
      <c r="B43" s="254"/>
      <c r="C43" s="263"/>
      <c r="D43" s="263"/>
      <c r="E43" s="263"/>
      <c r="F43" s="263"/>
      <c r="G43" s="263"/>
      <c r="H43" s="263"/>
      <c r="I43" s="263"/>
      <c r="J43" s="263"/>
      <c r="K43" s="263"/>
      <c r="L43" s="263"/>
      <c r="M43" s="263"/>
      <c r="N43" s="263"/>
      <c r="O43" s="263"/>
      <c r="P43" s="263"/>
      <c r="Q43" s="263"/>
      <c r="R43" s="263"/>
      <c r="S43" s="263"/>
      <c r="T43" s="263"/>
      <c r="U43" s="263"/>
      <c r="V43" s="263"/>
      <c r="W43" s="263"/>
      <c r="X43" s="263"/>
      <c r="Y43" s="263"/>
      <c r="Z43" s="263"/>
      <c r="AA43" s="263"/>
      <c r="AB43" s="263"/>
      <c r="AC43" s="263"/>
      <c r="AD43" s="263"/>
      <c r="AE43" s="263"/>
      <c r="AF43" s="263"/>
      <c r="AG43" s="263"/>
      <c r="AH43" s="263"/>
      <c r="AI43" s="263"/>
      <c r="AJ43" s="263"/>
      <c r="AK43" s="263"/>
      <c r="AL43" s="263"/>
      <c r="AM43" s="263"/>
      <c r="AN43" s="263"/>
      <c r="AO43" s="263"/>
      <c r="AP43" s="263"/>
    </row>
    <row r="44" spans="2:42" ht="15" customHeight="1">
      <c r="B44" s="245" t="s">
        <v>73</v>
      </c>
      <c r="C44" s="229"/>
      <c r="D44" s="229"/>
      <c r="E44" s="229"/>
      <c r="F44" s="229"/>
      <c r="G44" s="229"/>
      <c r="H44" s="229"/>
      <c r="I44" s="229"/>
      <c r="J44" s="229"/>
      <c r="K44" s="229"/>
      <c r="L44" s="229"/>
      <c r="M44" s="229"/>
      <c r="N44" s="229"/>
      <c r="O44" s="229"/>
      <c r="P44" s="229"/>
      <c r="Q44" s="229"/>
      <c r="R44" s="229"/>
      <c r="S44" s="229"/>
      <c r="T44" s="229"/>
      <c r="U44" s="229"/>
      <c r="V44" s="229"/>
      <c r="W44" s="266">
        <f>X44/1.015</f>
        <v>239.07924843525626</v>
      </c>
      <c r="X44" s="266">
        <f>Y44/1.015</f>
        <v>242.66543716178509</v>
      </c>
      <c r="Y44" s="266">
        <f>Z44/1.015</f>
        <v>246.30541871921184</v>
      </c>
      <c r="Z44" s="265">
        <v>250</v>
      </c>
      <c r="AA44" s="265">
        <v>250</v>
      </c>
      <c r="AB44" s="265">
        <f t="shared" ref="AB44:AK44" si="60">AA44*1.015</f>
        <v>253.74999999999997</v>
      </c>
      <c r="AC44" s="266">
        <f t="shared" si="60"/>
        <v>257.55624999999992</v>
      </c>
      <c r="AD44" s="266">
        <f t="shared" si="60"/>
        <v>261.41959374999988</v>
      </c>
      <c r="AE44" s="266">
        <f t="shared" si="60"/>
        <v>265.34088765624983</v>
      </c>
      <c r="AF44" s="266">
        <f t="shared" si="60"/>
        <v>269.32100097109355</v>
      </c>
      <c r="AG44" s="266">
        <f t="shared" si="60"/>
        <v>273.36081598565994</v>
      </c>
      <c r="AH44" s="266">
        <f t="shared" si="60"/>
        <v>277.46122822544481</v>
      </c>
      <c r="AI44" s="266">
        <f t="shared" si="60"/>
        <v>281.62314664882643</v>
      </c>
      <c r="AJ44" s="266">
        <f t="shared" si="60"/>
        <v>285.84749384855883</v>
      </c>
      <c r="AK44" s="266">
        <f t="shared" si="60"/>
        <v>290.13520625628718</v>
      </c>
      <c r="AL44" s="266">
        <f t="shared" ref="AL44" si="61">AK44*1.015</f>
        <v>294.48723435013147</v>
      </c>
      <c r="AM44" s="266">
        <f t="shared" ref="AM44" si="62">AL44*1.015</f>
        <v>298.90454286538341</v>
      </c>
      <c r="AN44" s="266">
        <f t="shared" ref="AN44" si="63">AM44*1.015</f>
        <v>303.38811100836415</v>
      </c>
      <c r="AO44" s="266">
        <f t="shared" ref="AO44" si="64">AN44*1.015</f>
        <v>307.9389326734896</v>
      </c>
      <c r="AP44" s="266">
        <f t="shared" ref="AP44" si="65">AO44*1.015</f>
        <v>312.5580166635919</v>
      </c>
    </row>
    <row r="45" spans="2:42" ht="15" customHeight="1">
      <c r="B45" s="254"/>
      <c r="C45" s="266"/>
      <c r="D45" s="266"/>
      <c r="E45" s="266"/>
      <c r="F45" s="266"/>
      <c r="G45" s="266"/>
      <c r="H45" s="266"/>
      <c r="I45" s="266"/>
      <c r="J45" s="266"/>
      <c r="K45" s="266"/>
      <c r="L45" s="266"/>
      <c r="M45" s="266"/>
      <c r="N45" s="266"/>
      <c r="O45" s="266"/>
      <c r="P45" s="266"/>
      <c r="Q45" s="266"/>
      <c r="R45" s="266"/>
      <c r="S45" s="266"/>
      <c r="T45" s="266"/>
      <c r="U45" s="266"/>
      <c r="V45" s="266"/>
      <c r="W45" s="266"/>
      <c r="X45" s="266"/>
      <c r="Y45" s="266"/>
      <c r="Z45" s="266"/>
      <c r="AA45" s="266"/>
      <c r="AB45" s="266"/>
      <c r="AC45" s="266"/>
      <c r="AD45" s="266"/>
      <c r="AE45" s="266"/>
      <c r="AF45" s="266"/>
      <c r="AG45" s="266"/>
      <c r="AH45" s="266"/>
      <c r="AI45" s="266"/>
      <c r="AJ45" s="266"/>
      <c r="AK45" s="266"/>
      <c r="AL45" s="266"/>
      <c r="AM45" s="266"/>
      <c r="AN45" s="266"/>
      <c r="AO45" s="266"/>
      <c r="AP45" s="266"/>
    </row>
    <row r="46" spans="2:42" s="245" customFormat="1" ht="15" customHeight="1">
      <c r="B46" s="278" t="s">
        <v>248</v>
      </c>
      <c r="C46" s="269"/>
      <c r="D46" s="269"/>
      <c r="E46" s="269"/>
      <c r="F46" s="269"/>
      <c r="G46" s="269"/>
      <c r="H46" s="269"/>
      <c r="I46" s="269"/>
      <c r="J46" s="269"/>
      <c r="K46" s="269"/>
      <c r="L46" s="269"/>
      <c r="M46" s="269"/>
      <c r="N46" s="269"/>
      <c r="O46" s="269"/>
      <c r="P46" s="269"/>
      <c r="Q46" s="269"/>
      <c r="R46" s="269"/>
      <c r="S46" s="269"/>
      <c r="T46" s="269"/>
      <c r="U46" s="269"/>
      <c r="V46" s="269"/>
      <c r="W46" s="269">
        <f>W38*W40*W44*W32/1000</f>
        <v>185.24474310976433</v>
      </c>
      <c r="X46" s="269">
        <f>X38*X40*X44*X32/1000</f>
        <v>193.08429512144042</v>
      </c>
      <c r="Y46" s="269">
        <f>Y38*Y40*Y44*Y32/1000</f>
        <v>224.93312016889439</v>
      </c>
      <c r="Z46" s="269">
        <f>Z38*Z40*Z44*Z32/1000</f>
        <v>228.78473354141784</v>
      </c>
      <c r="AA46" s="269">
        <f t="shared" ref="AA46:AK46" si="66">AA38*AA40*AA44*AA32/1000</f>
        <v>217.80251285657502</v>
      </c>
      <c r="AB46" s="269">
        <f t="shared" si="66"/>
        <v>227.72309558815041</v>
      </c>
      <c r="AC46" s="269">
        <f t="shared" si="66"/>
        <v>231.65921375935841</v>
      </c>
      <c r="AD46" s="269">
        <f t="shared" si="66"/>
        <v>237.63946851924766</v>
      </c>
      <c r="AE46" s="269">
        <f t="shared" si="66"/>
        <v>243.76984505582294</v>
      </c>
      <c r="AF46" s="269">
        <f t="shared" si="66"/>
        <v>250.05410958567109</v>
      </c>
      <c r="AG46" s="269">
        <f t="shared" si="66"/>
        <v>256.49611892215449</v>
      </c>
      <c r="AH46" s="269">
        <f t="shared" si="66"/>
        <v>263.09982255158474</v>
      </c>
      <c r="AI46" s="269">
        <f t="shared" si="66"/>
        <v>269.86926475509603</v>
      </c>
      <c r="AJ46" s="269">
        <f t="shared" si="66"/>
        <v>276.80858677719425</v>
      </c>
      <c r="AK46" s="269">
        <f t="shared" si="66"/>
        <v>283.92202904198041</v>
      </c>
      <c r="AL46" s="269">
        <f t="shared" ref="AL46:AP46" si="67">AL38*AL40*AL44*AL32/1000</f>
        <v>291.2139334180639</v>
      </c>
      <c r="AM46" s="269">
        <f t="shared" si="67"/>
        <v>298.68874553320484</v>
      </c>
      <c r="AN46" s="269">
        <f t="shared" si="67"/>
        <v>306.35101713974672</v>
      </c>
      <c r="AO46" s="269">
        <f t="shared" si="67"/>
        <v>314.20540853192085</v>
      </c>
      <c r="AP46" s="269">
        <f t="shared" si="67"/>
        <v>322.25669101612851</v>
      </c>
    </row>
    <row r="47" spans="2:42" s="272" customFormat="1" ht="15" customHeight="1">
      <c r="B47" s="270" t="s">
        <v>74</v>
      </c>
      <c r="C47" s="271"/>
      <c r="D47" s="271"/>
      <c r="E47" s="271"/>
      <c r="F47" s="271"/>
      <c r="G47" s="271"/>
      <c r="H47" s="271"/>
      <c r="I47" s="271"/>
      <c r="J47" s="271"/>
      <c r="K47" s="271"/>
      <c r="L47" s="271"/>
      <c r="M47" s="271"/>
      <c r="N47" s="271"/>
      <c r="O47" s="271"/>
      <c r="P47" s="271"/>
      <c r="Q47" s="271"/>
      <c r="R47" s="271"/>
      <c r="S47" s="271"/>
      <c r="T47" s="271"/>
      <c r="U47" s="271"/>
      <c r="V47" s="271"/>
      <c r="W47" s="271"/>
      <c r="X47" s="271"/>
      <c r="Y47" s="271"/>
      <c r="Z47" s="271"/>
      <c r="AA47" s="271">
        <f t="shared" ref="AA47:AK47" si="68">AA46/Z46-1</f>
        <v>-4.8002419194874579E-2</v>
      </c>
      <c r="AB47" s="271">
        <f t="shared" si="68"/>
        <v>4.5548522840543226E-2</v>
      </c>
      <c r="AC47" s="271">
        <f t="shared" si="68"/>
        <v>1.7284668298759964E-2</v>
      </c>
      <c r="AD47" s="271">
        <f t="shared" si="68"/>
        <v>2.5814879809189728E-2</v>
      </c>
      <c r="AE47" s="271">
        <f t="shared" si="68"/>
        <v>2.5796962831023729E-2</v>
      </c>
      <c r="AF47" s="271">
        <f t="shared" si="68"/>
        <v>2.577949921742384E-2</v>
      </c>
      <c r="AG47" s="271">
        <f t="shared" si="68"/>
        <v>2.5762461361493072E-2</v>
      </c>
      <c r="AH47" s="271">
        <f t="shared" si="68"/>
        <v>2.574582281081006E-2</v>
      </c>
      <c r="AI47" s="271">
        <f t="shared" si="68"/>
        <v>2.5729558225696003E-2</v>
      </c>
      <c r="AJ47" s="271">
        <f t="shared" si="68"/>
        <v>2.5713643339102088E-2</v>
      </c>
      <c r="AK47" s="271">
        <f t="shared" si="68"/>
        <v>2.5698054918042779E-2</v>
      </c>
      <c r="AL47" s="271">
        <f t="shared" ref="AL47" si="69">AL46/AK46-1</f>
        <v>2.5682770726484616E-2</v>
      </c>
      <c r="AM47" s="271">
        <f t="shared" ref="AM47" si="70">AM46/AL46-1</f>
        <v>2.5667769489621906E-2</v>
      </c>
      <c r="AN47" s="271">
        <f t="shared" ref="AN47" si="71">AN46/AM46-1</f>
        <v>2.5653030859477344E-2</v>
      </c>
      <c r="AO47" s="271">
        <f t="shared" ref="AO47" si="72">AO46/AN46-1</f>
        <v>2.5638535381755423E-2</v>
      </c>
      <c r="AP47" s="271">
        <f t="shared" ref="AP47" si="73">AP46/AO46-1</f>
        <v>2.5624264463893542E-2</v>
      </c>
    </row>
    <row r="48" spans="2:42" ht="15" customHeight="1"/>
    <row r="49" spans="2:42" s="272" customFormat="1" ht="15" customHeight="1">
      <c r="B49" s="270" t="s">
        <v>241</v>
      </c>
      <c r="W49" s="281">
        <f>W64</f>
        <v>0.40064794816414689</v>
      </c>
      <c r="X49" s="281">
        <f>X64</f>
        <v>0.41636457793889181</v>
      </c>
      <c r="Y49" s="281">
        <f>Y64</f>
        <v>0.41666666666666663</v>
      </c>
      <c r="Z49" s="282">
        <f>Z64</f>
        <v>0.4239510489510489</v>
      </c>
      <c r="AA49" s="283">
        <f>AA64</f>
        <v>0.43985307621671255</v>
      </c>
      <c r="AB49" s="283">
        <f t="shared" ref="AB49:AK49" si="74">AA49</f>
        <v>0.43985307621671255</v>
      </c>
      <c r="AC49" s="283">
        <f t="shared" si="74"/>
        <v>0.43985307621671255</v>
      </c>
      <c r="AD49" s="283">
        <f t="shared" si="74"/>
        <v>0.43985307621671255</v>
      </c>
      <c r="AE49" s="283">
        <f t="shared" si="74"/>
        <v>0.43985307621671255</v>
      </c>
      <c r="AF49" s="283">
        <f t="shared" si="74"/>
        <v>0.43985307621671255</v>
      </c>
      <c r="AG49" s="283">
        <f t="shared" si="74"/>
        <v>0.43985307621671255</v>
      </c>
      <c r="AH49" s="283">
        <f t="shared" si="74"/>
        <v>0.43985307621671255</v>
      </c>
      <c r="AI49" s="283">
        <f t="shared" si="74"/>
        <v>0.43985307621671255</v>
      </c>
      <c r="AJ49" s="283">
        <f t="shared" si="74"/>
        <v>0.43985307621671255</v>
      </c>
      <c r="AK49" s="283">
        <f t="shared" si="74"/>
        <v>0.43985307621671255</v>
      </c>
      <c r="AL49" s="283">
        <f t="shared" ref="AL49" si="75">AK49</f>
        <v>0.43985307621671255</v>
      </c>
      <c r="AM49" s="283">
        <f t="shared" ref="AM49" si="76">AL49</f>
        <v>0.43985307621671255</v>
      </c>
      <c r="AN49" s="283">
        <f t="shared" ref="AN49" si="77">AM49</f>
        <v>0.43985307621671255</v>
      </c>
      <c r="AO49" s="283">
        <f t="shared" ref="AO49" si="78">AN49</f>
        <v>0.43985307621671255</v>
      </c>
      <c r="AP49" s="283">
        <f t="shared" ref="AP49" si="79">AO49</f>
        <v>0.43985307621671255</v>
      </c>
    </row>
    <row r="50" spans="2:42" ht="15" customHeight="1"/>
    <row r="51" spans="2:42" s="245" customFormat="1" ht="15" customHeight="1">
      <c r="B51" s="278" t="s">
        <v>243</v>
      </c>
      <c r="C51" s="269"/>
      <c r="D51" s="269"/>
      <c r="E51" s="269"/>
      <c r="F51" s="269"/>
      <c r="G51" s="269"/>
      <c r="H51" s="269"/>
      <c r="I51" s="269"/>
      <c r="J51" s="269"/>
      <c r="K51" s="269"/>
      <c r="L51" s="269"/>
      <c r="M51" s="269"/>
      <c r="N51" s="269"/>
      <c r="O51" s="269"/>
      <c r="P51" s="269"/>
      <c r="Q51" s="269"/>
      <c r="R51" s="269"/>
      <c r="S51" s="269"/>
      <c r="T51" s="269"/>
      <c r="U51" s="269"/>
      <c r="V51" s="269"/>
      <c r="W51" s="269">
        <f>W46*W49</f>
        <v>74.217926235121567</v>
      </c>
      <c r="X51" s="269">
        <f>X46*X49</f>
        <v>80.393461044866967</v>
      </c>
      <c r="Y51" s="269">
        <f>Y46*Y49</f>
        <v>93.722133403705982</v>
      </c>
      <c r="Z51" s="269">
        <f>Z46*Z49</f>
        <v>96.993527768870308</v>
      </c>
      <c r="AA51" s="269">
        <f t="shared" ref="AA51:AK51" si="80">AA46*AA49</f>
        <v>95.801105287694611</v>
      </c>
      <c r="AB51" s="269">
        <f t="shared" si="80"/>
        <v>100.16470412004044</v>
      </c>
      <c r="AC51" s="269">
        <f t="shared" si="80"/>
        <v>101.89601780599878</v>
      </c>
      <c r="AD51" s="269">
        <f t="shared" si="80"/>
        <v>104.5264512586957</v>
      </c>
      <c r="AE51" s="269">
        <f t="shared" si="80"/>
        <v>107.22291623667509</v>
      </c>
      <c r="AF51" s="269">
        <f t="shared" si="80"/>
        <v>109.98706932188837</v>
      </c>
      <c r="AG51" s="269">
        <f t="shared" si="80"/>
        <v>112.82060694555739</v>
      </c>
      <c r="AH51" s="269">
        <f t="shared" si="80"/>
        <v>115.72526630138574</v>
      </c>
      <c r="AI51" s="269">
        <f t="shared" si="80"/>
        <v>118.70282627887143</v>
      </c>
      <c r="AJ51" s="269">
        <f t="shared" si="80"/>
        <v>121.75510841714971</v>
      </c>
      <c r="AK51" s="269">
        <f t="shared" si="80"/>
        <v>124.88397787980588</v>
      </c>
      <c r="AL51" s="269">
        <f t="shared" ref="AL51:AP51" si="81">AL46*AL49</f>
        <v>128.09134445110431</v>
      </c>
      <c r="AM51" s="269">
        <f t="shared" si="81"/>
        <v>131.37916355409101</v>
      </c>
      <c r="AN51" s="269">
        <f t="shared" si="81"/>
        <v>134.74943729103643</v>
      </c>
      <c r="AO51" s="269">
        <f t="shared" si="81"/>
        <v>138.20421550669428</v>
      </c>
      <c r="AP51" s="269">
        <f t="shared" si="81"/>
        <v>141.74559687486277</v>
      </c>
    </row>
    <row r="52" spans="2:42" s="272" customFormat="1" ht="15" customHeight="1">
      <c r="B52" s="270" t="s">
        <v>74</v>
      </c>
      <c r="C52" s="271"/>
      <c r="D52" s="271"/>
      <c r="E52" s="271"/>
      <c r="F52" s="271"/>
      <c r="G52" s="271"/>
      <c r="H52" s="271"/>
      <c r="I52" s="271"/>
      <c r="J52" s="271"/>
      <c r="K52" s="271"/>
      <c r="L52" s="271"/>
      <c r="M52" s="271"/>
      <c r="N52" s="271"/>
      <c r="O52" s="271"/>
      <c r="P52" s="271"/>
      <c r="Q52" s="271"/>
      <c r="R52" s="271"/>
      <c r="S52" s="271"/>
      <c r="T52" s="271"/>
      <c r="U52" s="271"/>
      <c r="V52" s="271"/>
      <c r="W52" s="271"/>
      <c r="X52" s="271">
        <f t="shared" ref="X52:AK52" si="82">X51/W51-1</f>
        <v>8.3208129396951547E-2</v>
      </c>
      <c r="Y52" s="271">
        <f t="shared" si="82"/>
        <v>0.16579299094239008</v>
      </c>
      <c r="Z52" s="271">
        <f t="shared" si="82"/>
        <v>3.490524859344446E-2</v>
      </c>
      <c r="AA52" s="271">
        <f t="shared" si="82"/>
        <v>-1.2293835564133437E-2</v>
      </c>
      <c r="AB52" s="271">
        <f t="shared" si="82"/>
        <v>4.5548522840543004E-2</v>
      </c>
      <c r="AC52" s="271">
        <f t="shared" si="82"/>
        <v>1.7284668298759964E-2</v>
      </c>
      <c r="AD52" s="271">
        <f t="shared" si="82"/>
        <v>2.5814879809189728E-2</v>
      </c>
      <c r="AE52" s="271">
        <f t="shared" si="82"/>
        <v>2.5796962831023729E-2</v>
      </c>
      <c r="AF52" s="271">
        <f t="shared" si="82"/>
        <v>2.5779499217424062E-2</v>
      </c>
      <c r="AG52" s="271">
        <f t="shared" si="82"/>
        <v>2.5762461361493072E-2</v>
      </c>
      <c r="AH52" s="271">
        <f t="shared" si="82"/>
        <v>2.574582281081006E-2</v>
      </c>
      <c r="AI52" s="271">
        <f t="shared" si="82"/>
        <v>2.5729558225696003E-2</v>
      </c>
      <c r="AJ52" s="271">
        <f t="shared" si="82"/>
        <v>2.5713643339102088E-2</v>
      </c>
      <c r="AK52" s="271">
        <f t="shared" si="82"/>
        <v>2.5698054918042779E-2</v>
      </c>
      <c r="AL52" s="271">
        <f t="shared" ref="AL52" si="83">AL51/AK51-1</f>
        <v>2.5682770726484616E-2</v>
      </c>
      <c r="AM52" s="271">
        <f t="shared" ref="AM52" si="84">AM51/AL51-1</f>
        <v>2.5667769489621906E-2</v>
      </c>
      <c r="AN52" s="271">
        <f t="shared" ref="AN52" si="85">AN51/AM51-1</f>
        <v>2.5653030859477344E-2</v>
      </c>
      <c r="AO52" s="271">
        <f t="shared" ref="AO52" si="86">AO51/AN51-1</f>
        <v>2.5638535381755201E-2</v>
      </c>
      <c r="AP52" s="271">
        <f t="shared" ref="AP52" si="87">AP51/AO51-1</f>
        <v>2.5624264463893764E-2</v>
      </c>
    </row>
    <row r="53" spans="2:42" s="272" customFormat="1" ht="15" customHeight="1">
      <c r="B53" s="270"/>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1"/>
      <c r="AJ53" s="271"/>
      <c r="AK53" s="271"/>
      <c r="AL53" s="271"/>
      <c r="AM53" s="271"/>
      <c r="AN53" s="271"/>
      <c r="AO53" s="271"/>
      <c r="AP53" s="271"/>
    </row>
    <row r="54" spans="2:42" ht="15" customHeight="1">
      <c r="B54" s="247" t="s">
        <v>249</v>
      </c>
      <c r="C54" s="267"/>
      <c r="D54" s="267"/>
      <c r="E54" s="267"/>
      <c r="F54" s="267"/>
      <c r="G54" s="267"/>
      <c r="H54" s="267"/>
      <c r="I54" s="267"/>
      <c r="J54" s="267"/>
      <c r="K54" s="267"/>
      <c r="L54" s="267"/>
      <c r="M54" s="267"/>
      <c r="N54" s="267"/>
      <c r="O54" s="267"/>
      <c r="P54" s="267"/>
      <c r="Q54" s="267"/>
      <c r="R54" s="267"/>
      <c r="S54" s="267"/>
      <c r="T54" s="267"/>
      <c r="U54" s="267"/>
      <c r="V54" s="267"/>
      <c r="W54" s="273">
        <f>W63</f>
        <v>8.6</v>
      </c>
      <c r="X54" s="273">
        <f>X63</f>
        <v>1.8</v>
      </c>
      <c r="Y54" s="273">
        <v>-4.9000000000000004</v>
      </c>
      <c r="Z54" s="273">
        <v>8.6</v>
      </c>
      <c r="AA54" s="273">
        <v>2.2000000000000002</v>
      </c>
      <c r="AB54" s="273">
        <v>-10</v>
      </c>
      <c r="AC54" s="273">
        <v>-5</v>
      </c>
      <c r="AD54" s="273">
        <v>2</v>
      </c>
      <c r="AE54" s="273">
        <f t="shared" ref="AE54:AK54" si="88">AD54</f>
        <v>2</v>
      </c>
      <c r="AF54" s="273">
        <f t="shared" si="88"/>
        <v>2</v>
      </c>
      <c r="AG54" s="273">
        <f t="shared" si="88"/>
        <v>2</v>
      </c>
      <c r="AH54" s="273">
        <f t="shared" si="88"/>
        <v>2</v>
      </c>
      <c r="AI54" s="273">
        <f t="shared" si="88"/>
        <v>2</v>
      </c>
      <c r="AJ54" s="273">
        <f t="shared" si="88"/>
        <v>2</v>
      </c>
      <c r="AK54" s="273">
        <f t="shared" si="88"/>
        <v>2</v>
      </c>
      <c r="AL54" s="273">
        <f t="shared" ref="AL54" si="89">AK54</f>
        <v>2</v>
      </c>
      <c r="AM54" s="273">
        <f t="shared" ref="AM54" si="90">AL54</f>
        <v>2</v>
      </c>
      <c r="AN54" s="273">
        <f t="shared" ref="AN54" si="91">AM54</f>
        <v>2</v>
      </c>
      <c r="AO54" s="273">
        <f t="shared" ref="AO54" si="92">AN54</f>
        <v>2</v>
      </c>
      <c r="AP54" s="273">
        <f t="shared" ref="AP54" si="93">AO54</f>
        <v>2</v>
      </c>
    </row>
    <row r="55" spans="2:42" ht="15" customHeight="1">
      <c r="B55" s="247"/>
      <c r="C55" s="267"/>
      <c r="D55" s="267"/>
      <c r="E55" s="267"/>
      <c r="F55" s="267"/>
      <c r="G55" s="267"/>
      <c r="H55" s="267"/>
      <c r="I55" s="267"/>
      <c r="J55" s="267"/>
      <c r="K55" s="267"/>
      <c r="L55" s="267"/>
      <c r="M55" s="267"/>
      <c r="N55" s="267"/>
      <c r="O55" s="267"/>
      <c r="P55" s="267"/>
      <c r="Q55" s="267"/>
      <c r="R55" s="267"/>
      <c r="S55" s="267"/>
      <c r="T55" s="267"/>
      <c r="U55" s="267"/>
      <c r="V55" s="267"/>
      <c r="W55" s="267"/>
      <c r="X55" s="267"/>
      <c r="AB55" s="267"/>
      <c r="AC55" s="267"/>
      <c r="AD55" s="267"/>
      <c r="AE55" s="267"/>
      <c r="AF55" s="267"/>
      <c r="AG55" s="267"/>
      <c r="AH55" s="267"/>
      <c r="AI55" s="267"/>
      <c r="AJ55" s="267"/>
      <c r="AK55" s="267"/>
      <c r="AL55" s="267"/>
      <c r="AM55" s="267"/>
      <c r="AN55" s="267"/>
      <c r="AO55" s="267"/>
      <c r="AP55" s="267"/>
    </row>
    <row r="56" spans="2:42" s="245" customFormat="1" ht="15" customHeight="1">
      <c r="B56" s="278" t="s">
        <v>250</v>
      </c>
      <c r="C56" s="269"/>
      <c r="D56" s="269"/>
      <c r="E56" s="269"/>
      <c r="F56" s="269"/>
      <c r="G56" s="269"/>
      <c r="H56" s="269"/>
      <c r="I56" s="269"/>
      <c r="J56" s="269"/>
      <c r="K56" s="269"/>
      <c r="L56" s="269"/>
      <c r="M56" s="269"/>
      <c r="N56" s="269"/>
      <c r="O56" s="269"/>
      <c r="P56" s="269"/>
      <c r="Q56" s="269"/>
      <c r="R56" s="269"/>
      <c r="S56" s="269"/>
      <c r="T56" s="269"/>
      <c r="U56" s="269"/>
      <c r="V56" s="269"/>
      <c r="W56" s="269">
        <f>W51+W54</f>
        <v>82.817926235121561</v>
      </c>
      <c r="X56" s="269">
        <f>X51+X54</f>
        <v>82.193461044866964</v>
      </c>
      <c r="Y56" s="269">
        <f>Y51+Y54</f>
        <v>88.822133403705976</v>
      </c>
      <c r="Z56" s="269">
        <f>Z51+Z54</f>
        <v>105.5935277688703</v>
      </c>
      <c r="AA56" s="269">
        <f>AA51+AA54</f>
        <v>98.001105287694614</v>
      </c>
      <c r="AB56" s="269">
        <f t="shared" ref="AB56:AK56" si="94">AB51+AB54</f>
        <v>90.16470412004044</v>
      </c>
      <c r="AC56" s="269">
        <f t="shared" si="94"/>
        <v>96.896017805998781</v>
      </c>
      <c r="AD56" s="269">
        <f t="shared" si="94"/>
        <v>106.5264512586957</v>
      </c>
      <c r="AE56" s="269">
        <f t="shared" si="94"/>
        <v>109.22291623667509</v>
      </c>
      <c r="AF56" s="269">
        <f t="shared" si="94"/>
        <v>111.98706932188837</v>
      </c>
      <c r="AG56" s="269">
        <f t="shared" si="94"/>
        <v>114.82060694555739</v>
      </c>
      <c r="AH56" s="269">
        <f t="shared" si="94"/>
        <v>117.72526630138574</v>
      </c>
      <c r="AI56" s="269">
        <f t="shared" si="94"/>
        <v>120.70282627887143</v>
      </c>
      <c r="AJ56" s="269">
        <f t="shared" si="94"/>
        <v>123.75510841714971</v>
      </c>
      <c r="AK56" s="269">
        <f t="shared" si="94"/>
        <v>126.88397787980588</v>
      </c>
      <c r="AL56" s="269">
        <f t="shared" ref="AL56:AP56" si="95">AL51+AL54</f>
        <v>130.09134445110431</v>
      </c>
      <c r="AM56" s="269">
        <f t="shared" si="95"/>
        <v>133.37916355409101</v>
      </c>
      <c r="AN56" s="269">
        <f t="shared" si="95"/>
        <v>136.74943729103643</v>
      </c>
      <c r="AO56" s="269">
        <f t="shared" si="95"/>
        <v>140.20421550669428</v>
      </c>
      <c r="AP56" s="269">
        <f t="shared" si="95"/>
        <v>143.74559687486277</v>
      </c>
    </row>
    <row r="57" spans="2:42" s="272" customFormat="1" ht="15" customHeight="1">
      <c r="B57" s="270"/>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1"/>
      <c r="AJ57" s="271"/>
      <c r="AK57" s="271"/>
    </row>
    <row r="58" spans="2:42" s="272" customFormat="1" ht="15" customHeight="1">
      <c r="B58" s="270"/>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1"/>
      <c r="AJ58" s="271"/>
      <c r="AK58" s="271"/>
    </row>
    <row r="59" spans="2:42" ht="15" customHeight="1">
      <c r="B59" s="284" t="s">
        <v>242</v>
      </c>
      <c r="C59" s="285"/>
      <c r="D59" s="285"/>
      <c r="E59" s="285"/>
      <c r="F59" s="285"/>
      <c r="G59" s="285"/>
      <c r="H59" s="285"/>
      <c r="I59" s="285"/>
      <c r="J59" s="285"/>
      <c r="K59" s="285"/>
      <c r="L59" s="285"/>
      <c r="M59" s="285"/>
      <c r="N59" s="285"/>
      <c r="O59" s="285"/>
      <c r="P59" s="285"/>
      <c r="Q59" s="285"/>
      <c r="R59" s="285"/>
      <c r="S59" s="285"/>
      <c r="T59" s="285"/>
      <c r="U59" s="285"/>
      <c r="V59" s="285"/>
      <c r="W59" s="285"/>
      <c r="X59" s="285"/>
      <c r="Y59" s="285"/>
      <c r="Z59" s="285"/>
      <c r="AA59" s="285"/>
      <c r="AB59" s="285"/>
      <c r="AC59" s="285"/>
      <c r="AD59" s="285"/>
      <c r="AE59" s="285"/>
      <c r="AF59" s="285"/>
      <c r="AG59" s="285"/>
      <c r="AH59" s="285"/>
      <c r="AI59" s="285"/>
      <c r="AJ59" s="285"/>
      <c r="AK59" s="285"/>
    </row>
    <row r="60" spans="2:42" ht="15" customHeight="1">
      <c r="B60" s="240" t="s">
        <v>244</v>
      </c>
      <c r="W60" s="273">
        <v>82.8</v>
      </c>
      <c r="X60" s="273">
        <v>82.2</v>
      </c>
      <c r="Y60" s="273">
        <v>83.6</v>
      </c>
      <c r="Z60" s="273">
        <v>105.6</v>
      </c>
      <c r="AA60" s="273">
        <v>98</v>
      </c>
    </row>
    <row r="61" spans="2:42">
      <c r="B61" s="240" t="s">
        <v>245</v>
      </c>
      <c r="W61" s="273">
        <v>74.2</v>
      </c>
      <c r="X61" s="273">
        <v>80.400000000000006</v>
      </c>
      <c r="Y61" s="273">
        <v>88.5</v>
      </c>
      <c r="Z61" s="273">
        <v>97</v>
      </c>
      <c r="AA61" s="273">
        <v>95.8</v>
      </c>
    </row>
    <row r="62" spans="2:42">
      <c r="B62" s="240" t="s">
        <v>246</v>
      </c>
      <c r="W62" s="273">
        <v>185.2</v>
      </c>
      <c r="X62" s="273">
        <v>193.1</v>
      </c>
      <c r="Y62" s="273">
        <v>212.4</v>
      </c>
      <c r="Z62" s="273">
        <v>228.8</v>
      </c>
      <c r="AA62" s="273">
        <v>217.8</v>
      </c>
    </row>
    <row r="63" spans="2:42">
      <c r="B63" s="240" t="s">
        <v>247</v>
      </c>
      <c r="W63" s="273">
        <v>8.6</v>
      </c>
      <c r="X63" s="273">
        <v>1.8</v>
      </c>
      <c r="Y63" s="273">
        <v>-4.9000000000000004</v>
      </c>
      <c r="Z63" s="273">
        <v>8.6</v>
      </c>
      <c r="AA63" s="273">
        <v>2.2000000000000002</v>
      </c>
    </row>
    <row r="64" spans="2:42">
      <c r="B64" s="240" t="s">
        <v>251</v>
      </c>
      <c r="W64" s="286">
        <f>W61/W62</f>
        <v>0.40064794816414689</v>
      </c>
      <c r="X64" s="286">
        <f>X61/X62</f>
        <v>0.41636457793889181</v>
      </c>
      <c r="Y64" s="286">
        <f>Y61/Y62</f>
        <v>0.41666666666666663</v>
      </c>
      <c r="Z64" s="286">
        <f>Z61/Z62</f>
        <v>0.4239510489510489</v>
      </c>
      <c r="AA64" s="286">
        <f>AA61/AA62</f>
        <v>0.43985307621671255</v>
      </c>
    </row>
    <row r="66" spans="2:43">
      <c r="B66" s="240" t="s">
        <v>252</v>
      </c>
      <c r="W66" s="286"/>
      <c r="X66" s="286">
        <v>0.68</v>
      </c>
      <c r="Y66" s="286">
        <v>0.68</v>
      </c>
      <c r="Z66" s="286">
        <v>0.65</v>
      </c>
      <c r="AA66" s="286">
        <v>0.68</v>
      </c>
    </row>
    <row r="71" spans="2:43" s="205" customFormat="1">
      <c r="B71" s="240" t="s">
        <v>33</v>
      </c>
      <c r="Z71" s="627">
        <f>'Rev-Exp'!L144</f>
        <v>36.9577347191046</v>
      </c>
      <c r="AA71" s="627">
        <f>'Rev-Exp'!Q144</f>
        <v>31.360353692062272</v>
      </c>
      <c r="AB71" s="627">
        <f>'Rev-Exp'!V144</f>
        <v>23.31587011241092</v>
      </c>
      <c r="AC71" s="627">
        <f>'Rev-Exp'!AA144</f>
        <v>33.913606232099575</v>
      </c>
      <c r="AD71" s="627">
        <f>'Rev-Exp'!AF144</f>
        <v>37.284257940543505</v>
      </c>
      <c r="AE71" s="627">
        <f>'Rev-Exp'!AG144</f>
        <v>38.228020682836288</v>
      </c>
      <c r="AF71" s="627">
        <f>'Rev-Exp'!AH144</f>
        <v>39.195474262660937</v>
      </c>
      <c r="AG71" s="627">
        <f>'Rev-Exp'!AI144</f>
        <v>40.187212430945095</v>
      </c>
      <c r="AH71" s="627">
        <f>'Rev-Exp'!AJ144</f>
        <v>41.203843205485022</v>
      </c>
      <c r="AI71" s="627">
        <f>'Rev-Exp'!AK144</f>
        <v>42.245989197605013</v>
      </c>
      <c r="AJ71" s="627">
        <f>'Rev-Exp'!AL144</f>
        <v>43.314287946002409</v>
      </c>
      <c r="AK71" s="627">
        <f>'Rev-Exp'!AM144</f>
        <v>44.409392257932069</v>
      </c>
      <c r="AL71" s="627">
        <f>'Rev-Exp'!AN144</f>
        <v>45.531970557886517</v>
      </c>
      <c r="AM71" s="627">
        <f>'Rev-Exp'!AO144</f>
        <v>46.682707243931866</v>
      </c>
      <c r="AN71" s="627">
        <f>'Rev-Exp'!AP144</f>
        <v>47.86230305186276</v>
      </c>
      <c r="AO71" s="627">
        <f>'Rev-Exp'!AQ144</f>
        <v>49.07147542734301</v>
      </c>
      <c r="AP71" s="627">
        <f>'Rev-Exp'!AR144</f>
        <v>50.310958906201982</v>
      </c>
      <c r="AQ71" s="240"/>
    </row>
    <row r="72" spans="2:43" s="205" customFormat="1">
      <c r="B72" s="240"/>
      <c r="Z72" s="240"/>
      <c r="AA72" s="240"/>
      <c r="AB72" s="240"/>
      <c r="AC72" s="240"/>
      <c r="AD72" s="240"/>
      <c r="AE72" s="240"/>
      <c r="AF72" s="240"/>
      <c r="AG72" s="240"/>
      <c r="AH72" s="240"/>
      <c r="AI72" s="240"/>
      <c r="AJ72" s="240"/>
      <c r="AK72" s="240"/>
      <c r="AL72" s="240"/>
      <c r="AM72" s="240"/>
      <c r="AN72" s="240"/>
      <c r="AO72" s="240"/>
      <c r="AP72" s="240"/>
      <c r="AQ72" s="240"/>
    </row>
    <row r="73" spans="2:43" s="205" customFormat="1">
      <c r="B73" s="240" t="s">
        <v>536</v>
      </c>
      <c r="Z73" s="240">
        <v>3</v>
      </c>
      <c r="AA73" s="240">
        <v>4</v>
      </c>
      <c r="AB73" s="240">
        <f>AA73</f>
        <v>4</v>
      </c>
      <c r="AC73" s="627">
        <f>AB73</f>
        <v>4</v>
      </c>
      <c r="AD73" s="627">
        <f t="shared" ref="AD73:AP73" si="96">AC73</f>
        <v>4</v>
      </c>
      <c r="AE73" s="627">
        <f t="shared" si="96"/>
        <v>4</v>
      </c>
      <c r="AF73" s="627">
        <f t="shared" si="96"/>
        <v>4</v>
      </c>
      <c r="AG73" s="627">
        <f t="shared" si="96"/>
        <v>4</v>
      </c>
      <c r="AH73" s="627">
        <f t="shared" si="96"/>
        <v>4</v>
      </c>
      <c r="AI73" s="627">
        <f t="shared" si="96"/>
        <v>4</v>
      </c>
      <c r="AJ73" s="627">
        <f t="shared" si="96"/>
        <v>4</v>
      </c>
      <c r="AK73" s="627">
        <f t="shared" si="96"/>
        <v>4</v>
      </c>
      <c r="AL73" s="627">
        <f t="shared" si="96"/>
        <v>4</v>
      </c>
      <c r="AM73" s="627">
        <f t="shared" si="96"/>
        <v>4</v>
      </c>
      <c r="AN73" s="627">
        <f t="shared" si="96"/>
        <v>4</v>
      </c>
      <c r="AO73" s="627">
        <f t="shared" si="96"/>
        <v>4</v>
      </c>
      <c r="AP73" s="627">
        <f t="shared" si="96"/>
        <v>4</v>
      </c>
      <c r="AQ73" s="240"/>
    </row>
    <row r="74" spans="2:43" s="205" customFormat="1">
      <c r="B74" s="240"/>
      <c r="Z74" s="240"/>
      <c r="AA74" s="240"/>
      <c r="AB74" s="240"/>
      <c r="AC74" s="240"/>
      <c r="AD74" s="240"/>
      <c r="AE74" s="240"/>
      <c r="AF74" s="240"/>
      <c r="AG74" s="240"/>
      <c r="AH74" s="240"/>
      <c r="AI74" s="240"/>
      <c r="AJ74" s="240"/>
      <c r="AK74" s="240"/>
      <c r="AL74" s="240"/>
      <c r="AM74" s="240"/>
      <c r="AN74" s="240"/>
      <c r="AO74" s="240"/>
      <c r="AP74" s="240"/>
      <c r="AQ74" s="240"/>
    </row>
    <row r="75" spans="2:43" s="205" customFormat="1">
      <c r="B75" s="240" t="s">
        <v>37</v>
      </c>
      <c r="Z75" s="627">
        <f>Z56-Z71-Z73</f>
        <v>65.635793049765709</v>
      </c>
      <c r="AA75" s="627">
        <f t="shared" ref="AA75:AP75" si="97">AA56-AA71-AA73</f>
        <v>62.640751595632338</v>
      </c>
      <c r="AB75" s="627">
        <f t="shared" si="97"/>
        <v>62.84883400762952</v>
      </c>
      <c r="AC75" s="627">
        <f t="shared" si="97"/>
        <v>58.982411573899206</v>
      </c>
      <c r="AD75" s="627">
        <f t="shared" si="97"/>
        <v>65.242193318152204</v>
      </c>
      <c r="AE75" s="627">
        <f t="shared" si="97"/>
        <v>66.994895553838802</v>
      </c>
      <c r="AF75" s="627">
        <f t="shared" si="97"/>
        <v>68.791595059227433</v>
      </c>
      <c r="AG75" s="627">
        <f t="shared" si="97"/>
        <v>70.633394514612291</v>
      </c>
      <c r="AH75" s="627">
        <f t="shared" si="97"/>
        <v>72.52142309590073</v>
      </c>
      <c r="AI75" s="627">
        <f t="shared" si="97"/>
        <v>74.456837081266414</v>
      </c>
      <c r="AJ75" s="627">
        <f t="shared" si="97"/>
        <v>76.440820471147305</v>
      </c>
      <c r="AK75" s="627">
        <f t="shared" si="97"/>
        <v>78.474585621873814</v>
      </c>
      <c r="AL75" s="627">
        <f t="shared" si="97"/>
        <v>80.559373893217781</v>
      </c>
      <c r="AM75" s="627">
        <f t="shared" si="97"/>
        <v>82.696456310159135</v>
      </c>
      <c r="AN75" s="627">
        <f t="shared" si="97"/>
        <v>84.887134239173662</v>
      </c>
      <c r="AO75" s="627">
        <f t="shared" si="97"/>
        <v>87.132740079351265</v>
      </c>
      <c r="AP75" s="627">
        <f t="shared" si="97"/>
        <v>89.43463796866078</v>
      </c>
      <c r="AQ75" s="240"/>
    </row>
    <row r="76" spans="2:43" s="205" customFormat="1">
      <c r="B76" s="626" t="s">
        <v>537</v>
      </c>
      <c r="Z76" s="566">
        <f>Z75/Z56</f>
        <v>0.6215891677890848</v>
      </c>
      <c r="AA76" s="566">
        <f t="shared" ref="AA76:AP76" si="98">AA75/AA56</f>
        <v>0.63918413380892491</v>
      </c>
      <c r="AB76" s="566">
        <f t="shared" si="98"/>
        <v>0.69704475405315991</v>
      </c>
      <c r="AC76" s="566">
        <f t="shared" si="98"/>
        <v>0.60871863374190838</v>
      </c>
      <c r="AD76" s="566">
        <f t="shared" si="98"/>
        <v>0.61245064063679222</v>
      </c>
      <c r="AE76" s="566">
        <f t="shared" si="98"/>
        <v>0.61337764877718148</v>
      </c>
      <c r="AF76" s="566">
        <f t="shared" si="98"/>
        <v>0.61428159050664444</v>
      </c>
      <c r="AG76" s="566">
        <f t="shared" si="98"/>
        <v>0.61516304776287567</v>
      </c>
      <c r="AH76" s="566">
        <f t="shared" si="98"/>
        <v>0.61602258694612166</v>
      </c>
      <c r="AI76" s="566">
        <f t="shared" si="98"/>
        <v>0.61686075940957319</v>
      </c>
      <c r="AJ76" s="566">
        <f t="shared" si="98"/>
        <v>0.61767810192919925</v>
      </c>
      <c r="AK76" s="566">
        <f t="shared" si="98"/>
        <v>0.61847513715412428</v>
      </c>
      <c r="AL76" s="566">
        <f t="shared" si="98"/>
        <v>0.61925237403858602</v>
      </c>
      <c r="AM76" s="566">
        <f t="shared" si="98"/>
        <v>0.62001030825644776</v>
      </c>
      <c r="AN76" s="566">
        <f t="shared" si="98"/>
        <v>0.6207494225991802</v>
      </c>
      <c r="AO76" s="566">
        <f t="shared" si="98"/>
        <v>0.62147018735817516</v>
      </c>
      <c r="AP76" s="566">
        <f t="shared" si="98"/>
        <v>0.62217306069220191</v>
      </c>
      <c r="AQ76" s="240"/>
    </row>
    <row r="77" spans="2:43" s="205" customFormat="1">
      <c r="B77" s="240"/>
      <c r="Z77" s="240"/>
      <c r="AA77" s="240"/>
      <c r="AB77" s="240"/>
      <c r="AC77" s="240"/>
      <c r="AD77" s="240"/>
      <c r="AE77" s="240"/>
      <c r="AF77" s="240"/>
      <c r="AG77" s="240"/>
      <c r="AH77" s="240"/>
      <c r="AI77" s="240"/>
      <c r="AJ77" s="240"/>
      <c r="AK77" s="240"/>
      <c r="AL77" s="240"/>
      <c r="AM77" s="240"/>
      <c r="AN77" s="240"/>
      <c r="AO77" s="240"/>
      <c r="AP77" s="240"/>
      <c r="AQ77" s="240"/>
    </row>
    <row r="78" spans="2:43" s="205" customFormat="1">
      <c r="B78" s="240" t="s">
        <v>40</v>
      </c>
      <c r="Z78" s="250">
        <f>Vimizim!BE83</f>
        <v>0</v>
      </c>
      <c r="AA78" s="250">
        <f>Vimizim!BF83</f>
        <v>0</v>
      </c>
      <c r="AB78" s="250">
        <f>Vimizim!BG83</f>
        <v>0</v>
      </c>
      <c r="AC78" s="250">
        <f>Vimizim!BH83</f>
        <v>-1.7531556802243933E-4</v>
      </c>
      <c r="AD78" s="250">
        <f>Vimizim!BI83</f>
        <v>0.20000000000000004</v>
      </c>
      <c r="AE78" s="250">
        <f>Vimizim!BJ83</f>
        <v>0.2</v>
      </c>
      <c r="AF78" s="250">
        <f>Vimizim!BK83</f>
        <v>0.19999999999999998</v>
      </c>
      <c r="AG78" s="250">
        <f>Vimizim!BL83</f>
        <v>0.2</v>
      </c>
      <c r="AH78" s="250">
        <f>Vimizim!BM83</f>
        <v>0.2</v>
      </c>
      <c r="AI78" s="250">
        <f>Vimizim!BN83</f>
        <v>0.2</v>
      </c>
      <c r="AJ78" s="250">
        <f>Vimizim!BO83</f>
        <v>0.2</v>
      </c>
      <c r="AK78" s="250">
        <f>Vimizim!BP83</f>
        <v>0.2</v>
      </c>
      <c r="AL78" s="250">
        <f>Vimizim!BQ83</f>
        <v>0.2</v>
      </c>
      <c r="AM78" s="250">
        <f>Vimizim!BR83</f>
        <v>0.2</v>
      </c>
      <c r="AN78" s="250">
        <f>Vimizim!BS83</f>
        <v>0.2</v>
      </c>
      <c r="AO78" s="250">
        <f>Vimizim!BT83</f>
        <v>0.20000000000000004</v>
      </c>
      <c r="AP78" s="250">
        <f>Vimizim!BU83</f>
        <v>0.2</v>
      </c>
      <c r="AQ78" s="240"/>
    </row>
    <row r="79" spans="2:43" s="205" customFormat="1">
      <c r="B79" s="240" t="s">
        <v>301</v>
      </c>
      <c r="Z79" s="628">
        <f>Z78*Z75</f>
        <v>0</v>
      </c>
      <c r="AA79" s="628">
        <f t="shared" ref="AA79:AP79" si="99">AA78*AA75</f>
        <v>0</v>
      </c>
      <c r="AB79" s="628">
        <f t="shared" si="99"/>
        <v>0</v>
      </c>
      <c r="AC79" s="628">
        <f t="shared" si="99"/>
        <v>-1.034053498841144E-2</v>
      </c>
      <c r="AD79" s="628">
        <f t="shared" si="99"/>
        <v>13.048438663630444</v>
      </c>
      <c r="AE79" s="628">
        <f t="shared" si="99"/>
        <v>13.398979110767762</v>
      </c>
      <c r="AF79" s="628">
        <f t="shared" si="99"/>
        <v>13.758319011845485</v>
      </c>
      <c r="AG79" s="628">
        <f t="shared" si="99"/>
        <v>14.126678902922459</v>
      </c>
      <c r="AH79" s="628">
        <f t="shared" si="99"/>
        <v>14.504284619180147</v>
      </c>
      <c r="AI79" s="628">
        <f t="shared" si="99"/>
        <v>14.891367416253283</v>
      </c>
      <c r="AJ79" s="628">
        <f t="shared" si="99"/>
        <v>15.288164094229462</v>
      </c>
      <c r="AK79" s="628">
        <f t="shared" si="99"/>
        <v>15.694917124374763</v>
      </c>
      <c r="AL79" s="628">
        <f t="shared" si="99"/>
        <v>16.111874778643557</v>
      </c>
      <c r="AM79" s="628">
        <f t="shared" si="99"/>
        <v>16.539291262031828</v>
      </c>
      <c r="AN79" s="628">
        <f t="shared" si="99"/>
        <v>16.977426847834732</v>
      </c>
      <c r="AO79" s="628">
        <f t="shared" si="99"/>
        <v>17.426548015870257</v>
      </c>
      <c r="AP79" s="628">
        <f t="shared" si="99"/>
        <v>17.886927593732157</v>
      </c>
      <c r="AQ79" s="240"/>
    </row>
    <row r="80" spans="2:43" s="205" customFormat="1">
      <c r="B80" s="240"/>
      <c r="Z80" s="240"/>
      <c r="AA80" s="240"/>
      <c r="AB80" s="240"/>
      <c r="AC80" s="240"/>
      <c r="AD80" s="240"/>
      <c r="AE80" s="240"/>
      <c r="AF80" s="240"/>
      <c r="AG80" s="240"/>
      <c r="AH80" s="240"/>
      <c r="AI80" s="240"/>
      <c r="AJ80" s="240"/>
      <c r="AK80" s="240"/>
      <c r="AL80" s="240"/>
      <c r="AM80" s="240"/>
      <c r="AN80" s="240"/>
      <c r="AO80" s="240"/>
      <c r="AP80" s="240"/>
      <c r="AQ80" s="240"/>
    </row>
    <row r="81" spans="2:43" s="205" customFormat="1">
      <c r="B81" s="240" t="s">
        <v>302</v>
      </c>
      <c r="Z81" s="627">
        <f>Z75-Z79</f>
        <v>65.635793049765709</v>
      </c>
      <c r="AA81" s="627">
        <f t="shared" ref="AA81:AP81" si="100">AA75-AA79</f>
        <v>62.640751595632338</v>
      </c>
      <c r="AB81" s="627">
        <f t="shared" si="100"/>
        <v>62.84883400762952</v>
      </c>
      <c r="AC81" s="627">
        <f t="shared" si="100"/>
        <v>58.992752108887615</v>
      </c>
      <c r="AD81" s="627">
        <f t="shared" si="100"/>
        <v>52.193754654521761</v>
      </c>
      <c r="AE81" s="627">
        <f t="shared" si="100"/>
        <v>53.59591644307104</v>
      </c>
      <c r="AF81" s="627">
        <f t="shared" si="100"/>
        <v>55.033276047381946</v>
      </c>
      <c r="AG81" s="627">
        <f t="shared" si="100"/>
        <v>56.506715611689835</v>
      </c>
      <c r="AH81" s="627">
        <f t="shared" si="100"/>
        <v>58.017138476720582</v>
      </c>
      <c r="AI81" s="627">
        <f t="shared" si="100"/>
        <v>59.565469665013133</v>
      </c>
      <c r="AJ81" s="627">
        <f t="shared" si="100"/>
        <v>61.152656376917847</v>
      </c>
      <c r="AK81" s="627">
        <f t="shared" si="100"/>
        <v>62.779668497499053</v>
      </c>
      <c r="AL81" s="627">
        <f t="shared" si="100"/>
        <v>64.447499114574228</v>
      </c>
      <c r="AM81" s="627">
        <f t="shared" si="100"/>
        <v>66.157165048127311</v>
      </c>
      <c r="AN81" s="627">
        <f t="shared" si="100"/>
        <v>67.909707391338927</v>
      </c>
      <c r="AO81" s="627">
        <f t="shared" si="100"/>
        <v>69.706192063481012</v>
      </c>
      <c r="AP81" s="627">
        <f t="shared" si="100"/>
        <v>71.547710374928627</v>
      </c>
      <c r="AQ81" s="627">
        <f>AP81*(1+Vimizim!BE92)/(DCF!C24-Vimizim!BE92)</f>
        <v>1187.6919922238153</v>
      </c>
    </row>
    <row r="82" spans="2:43" s="205" customFormat="1">
      <c r="B82" s="240"/>
      <c r="Z82" s="627"/>
      <c r="AA82" s="627"/>
      <c r="AB82" s="627"/>
      <c r="AC82" s="627">
        <f>DCF!D41</f>
        <v>1.1265250579928898</v>
      </c>
      <c r="AD82" s="627">
        <f>DCF!E41</f>
        <v>1.0241136890844451</v>
      </c>
      <c r="AE82" s="627">
        <f>DCF!F41</f>
        <v>0.93101244462222288</v>
      </c>
      <c r="AF82" s="627">
        <f>DCF!G41</f>
        <v>0.84637494965656612</v>
      </c>
      <c r="AG82" s="627">
        <f>DCF!H41</f>
        <v>0.76943177241506011</v>
      </c>
      <c r="AH82" s="627">
        <f>DCF!I41</f>
        <v>0.69948342946823638</v>
      </c>
      <c r="AI82" s="627">
        <f>DCF!J41</f>
        <v>0.63589402678930573</v>
      </c>
      <c r="AJ82" s="627">
        <f>DCF!K41</f>
        <v>0.57808547889936879</v>
      </c>
      <c r="AK82" s="627">
        <f>DCF!L41</f>
        <v>0.52553225354488076</v>
      </c>
      <c r="AL82" s="627">
        <f>DCF!M41</f>
        <v>0.47775659413170962</v>
      </c>
      <c r="AM82" s="627">
        <f>DCF!N41</f>
        <v>0.4343241764833724</v>
      </c>
      <c r="AN82" s="627">
        <f>DCF!O41</f>
        <v>0.39484016043942943</v>
      </c>
      <c r="AO82" s="627">
        <f>DCF!P41</f>
        <v>0.35894560039948126</v>
      </c>
      <c r="AP82" s="627">
        <f>DCF!Q41</f>
        <v>0.32631418218134656</v>
      </c>
      <c r="AQ82" s="627">
        <f>DCF!R41</f>
        <v>0.29664925652849683</v>
      </c>
    </row>
    <row r="83" spans="2:43" s="205" customFormat="1" ht="13.5" thickBot="1">
      <c r="B83" s="240"/>
      <c r="Z83" s="240"/>
      <c r="AA83" s="240"/>
      <c r="AB83" s="240"/>
      <c r="AC83" s="627">
        <f>AC82*AC81*0.75</f>
        <v>49.842610117968597</v>
      </c>
      <c r="AD83" s="627">
        <f t="shared" ref="AD83:AQ83" si="101">AD82*AD81</f>
        <v>53.452338626410707</v>
      </c>
      <c r="AE83" s="627">
        <f t="shared" si="101"/>
        <v>49.89846518943196</v>
      </c>
      <c r="AF83" s="627">
        <f t="shared" si="101"/>
        <v>46.578786244038803</v>
      </c>
      <c r="AG83" s="627">
        <f t="shared" si="101"/>
        <v>43.478062346456255</v>
      </c>
      <c r="AH83" s="627">
        <f t="shared" si="101"/>
        <v>40.582026989630087</v>
      </c>
      <c r="AI83" s="627">
        <f t="shared" si="101"/>
        <v>37.877326362881441</v>
      </c>
      <c r="AJ83" s="627">
        <f t="shared" si="101"/>
        <v>35.351462647619094</v>
      </c>
      <c r="AK83" s="627">
        <f t="shared" si="101"/>
        <v>32.992740662291233</v>
      </c>
      <c r="AL83" s="627">
        <f t="shared" si="101"/>
        <v>30.790217677285355</v>
      </c>
      <c r="AM83" s="627">
        <f t="shared" si="101"/>
        <v>28.733656228002442</v>
      </c>
      <c r="AN83" s="627">
        <f t="shared" si="101"/>
        <v>26.813479761790969</v>
      </c>
      <c r="AO83" s="627">
        <f t="shared" si="101"/>
        <v>25.020730961787748</v>
      </c>
      <c r="AP83" s="627">
        <f t="shared" si="101"/>
        <v>23.347032597942679</v>
      </c>
      <c r="AQ83" s="627">
        <f t="shared" si="101"/>
        <v>352.32794647804405</v>
      </c>
    </row>
    <row r="84" spans="2:43" s="205" customFormat="1" ht="13.5" thickBot="1">
      <c r="B84" s="629" t="s">
        <v>538</v>
      </c>
      <c r="Z84" s="631">
        <f>SUM(AC83:AQ83)/DCF!C27</f>
        <v>4.9650011736455664</v>
      </c>
      <c r="AA84" s="240"/>
      <c r="AB84" s="240"/>
      <c r="AC84" s="240"/>
      <c r="AD84" s="240"/>
      <c r="AE84" s="240"/>
      <c r="AF84" s="240"/>
      <c r="AG84" s="240"/>
      <c r="AH84" s="240"/>
      <c r="AI84" s="240"/>
      <c r="AJ84" s="240"/>
      <c r="AK84" s="240"/>
      <c r="AL84" s="240"/>
      <c r="AM84" s="240"/>
      <c r="AN84" s="240"/>
      <c r="AO84" s="240"/>
      <c r="AP84" s="240"/>
      <c r="AQ84" s="240"/>
    </row>
  </sheetData>
  <pageMargins left="0" right="0" top="0" bottom="0" header="0" footer="0"/>
  <pageSetup paperSize="5" scale="41"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AH51"/>
  <sheetViews>
    <sheetView showGridLines="0" zoomScale="85" zoomScaleNormal="85" workbookViewId="0">
      <selection activeCell="Y23" sqref="Y23"/>
    </sheetView>
  </sheetViews>
  <sheetFormatPr defaultRowHeight="12.75" outlineLevelRow="1" outlineLevelCol="1"/>
  <cols>
    <col min="1" max="1" width="9" style="386"/>
    <col min="2" max="2" width="27" style="386" bestFit="1" customWidth="1"/>
    <col min="3" max="3" width="9.5" style="386" hidden="1" customWidth="1" outlineLevel="1"/>
    <col min="4" max="18" width="9" style="386" hidden="1" customWidth="1" outlineLevel="1"/>
    <col min="19" max="19" width="9" style="386" customWidth="1" collapsed="1"/>
    <col min="20" max="16384" width="9" style="386"/>
  </cols>
  <sheetData>
    <row r="1" spans="2:33" ht="13.5" thickBot="1"/>
    <row r="2" spans="2:33" s="347" customFormat="1" ht="14.25" thickBot="1">
      <c r="B2" s="348" t="s">
        <v>171</v>
      </c>
      <c r="C2" s="345"/>
      <c r="D2" s="345"/>
      <c r="E2" s="345"/>
      <c r="F2" s="345"/>
      <c r="K2" s="345"/>
      <c r="L2" s="346"/>
      <c r="M2" s="346"/>
      <c r="N2" s="346"/>
      <c r="S2" s="3">
        <f>DCF!C30</f>
        <v>2</v>
      </c>
      <c r="U2" s="345"/>
      <c r="V2" s="345"/>
      <c r="W2" s="345"/>
    </row>
    <row r="3" spans="2:33" s="347" customFormat="1" ht="14.25" thickBot="1">
      <c r="B3" s="349"/>
      <c r="C3" s="345"/>
      <c r="D3" s="345"/>
      <c r="E3" s="345"/>
      <c r="F3" s="345"/>
      <c r="K3" s="345"/>
      <c r="L3" s="346"/>
      <c r="M3" s="346"/>
      <c r="N3" s="346"/>
      <c r="S3" s="345"/>
      <c r="U3" s="345"/>
      <c r="V3" s="387" t="s">
        <v>172</v>
      </c>
      <c r="W3" s="555">
        <f>DCF!C22</f>
        <v>112.13516010348316</v>
      </c>
    </row>
    <row r="4" spans="2:33" s="347" customFormat="1" ht="14.25" hidden="1" outlineLevel="1" thickBot="1">
      <c r="B4" s="348" t="s">
        <v>190</v>
      </c>
      <c r="C4" s="345"/>
      <c r="D4" s="345"/>
      <c r="E4" s="345"/>
      <c r="F4" s="345"/>
      <c r="K4" s="345"/>
      <c r="L4" s="346"/>
      <c r="M4" s="346"/>
      <c r="N4" s="346"/>
      <c r="S4" s="708">
        <f>DCF!C36</f>
        <v>2</v>
      </c>
      <c r="U4" s="345"/>
      <c r="V4" s="345"/>
      <c r="W4" s="345"/>
    </row>
    <row r="5" spans="2:33" collapsed="1"/>
    <row r="6" spans="2:33" s="388" customFormat="1">
      <c r="B6" s="352"/>
      <c r="C6" s="352">
        <v>2000</v>
      </c>
      <c r="D6" s="352">
        <f>C6+1</f>
        <v>2001</v>
      </c>
      <c r="E6" s="352">
        <f t="shared" ref="E6:K6" si="0">D6+1</f>
        <v>2002</v>
      </c>
      <c r="F6" s="352">
        <f t="shared" si="0"/>
        <v>2003</v>
      </c>
      <c r="G6" s="352">
        <f t="shared" si="0"/>
        <v>2004</v>
      </c>
      <c r="H6" s="352">
        <f t="shared" si="0"/>
        <v>2005</v>
      </c>
      <c r="I6" s="352">
        <f t="shared" si="0"/>
        <v>2006</v>
      </c>
      <c r="J6" s="352">
        <f t="shared" si="0"/>
        <v>2007</v>
      </c>
      <c r="K6" s="352">
        <f t="shared" si="0"/>
        <v>2008</v>
      </c>
      <c r="L6" s="352">
        <f t="shared" ref="L6:AA6" si="1">K6+1</f>
        <v>2009</v>
      </c>
      <c r="M6" s="352">
        <f t="shared" si="1"/>
        <v>2010</v>
      </c>
      <c r="N6" s="352">
        <f t="shared" si="1"/>
        <v>2011</v>
      </c>
      <c r="O6" s="352">
        <f t="shared" si="1"/>
        <v>2012</v>
      </c>
      <c r="P6" s="352">
        <f t="shared" si="1"/>
        <v>2013</v>
      </c>
      <c r="Q6" s="352">
        <f>P6+1</f>
        <v>2014</v>
      </c>
      <c r="R6" s="352">
        <f t="shared" si="1"/>
        <v>2015</v>
      </c>
      <c r="S6" s="220">
        <f t="shared" si="1"/>
        <v>2016</v>
      </c>
      <c r="T6" s="220">
        <f t="shared" si="1"/>
        <v>2017</v>
      </c>
      <c r="U6" s="220">
        <f t="shared" si="1"/>
        <v>2018</v>
      </c>
      <c r="V6" s="220">
        <f t="shared" si="1"/>
        <v>2019</v>
      </c>
      <c r="W6" s="220">
        <f t="shared" si="1"/>
        <v>2020</v>
      </c>
      <c r="X6" s="220">
        <f t="shared" si="1"/>
        <v>2021</v>
      </c>
      <c r="Y6" s="220">
        <f t="shared" si="1"/>
        <v>2022</v>
      </c>
      <c r="Z6" s="220">
        <f t="shared" si="1"/>
        <v>2023</v>
      </c>
      <c r="AA6" s="220">
        <f t="shared" si="1"/>
        <v>2024</v>
      </c>
      <c r="AB6" s="220">
        <f>AA6+1</f>
        <v>2025</v>
      </c>
      <c r="AC6" s="220">
        <f t="shared" ref="AC6:AD6" si="2">AB6+1</f>
        <v>2026</v>
      </c>
      <c r="AD6" s="220">
        <f t="shared" si="2"/>
        <v>2027</v>
      </c>
      <c r="AE6" s="220">
        <f t="shared" ref="AE6:AF6" si="3">AD6+1</f>
        <v>2028</v>
      </c>
      <c r="AF6" s="220">
        <f t="shared" si="3"/>
        <v>2029</v>
      </c>
      <c r="AG6" s="220">
        <f t="shared" ref="AG6" si="4">AF6+1</f>
        <v>2030</v>
      </c>
    </row>
    <row r="7" spans="2:33">
      <c r="B7" s="389" t="s">
        <v>192</v>
      </c>
      <c r="C7" s="390">
        <f t="shared" ref="C7:O7" si="5">D7/1.005</f>
        <v>3719106.0413291757</v>
      </c>
      <c r="D7" s="390">
        <f t="shared" si="5"/>
        <v>3737701.5715358211</v>
      </c>
      <c r="E7" s="390">
        <f t="shared" si="5"/>
        <v>3756390.0793935</v>
      </c>
      <c r="F7" s="390">
        <f t="shared" si="5"/>
        <v>3775172.0297904671</v>
      </c>
      <c r="G7" s="390">
        <f t="shared" si="5"/>
        <v>3794047.889939419</v>
      </c>
      <c r="H7" s="390">
        <f t="shared" si="5"/>
        <v>3813018.1293891156</v>
      </c>
      <c r="I7" s="390">
        <f t="shared" si="5"/>
        <v>3832083.220036061</v>
      </c>
      <c r="J7" s="390">
        <f t="shared" si="5"/>
        <v>3851243.6361362408</v>
      </c>
      <c r="K7" s="390">
        <f t="shared" si="5"/>
        <v>3870499.8543169214</v>
      </c>
      <c r="L7" s="390">
        <f t="shared" si="5"/>
        <v>3889852.3535885056</v>
      </c>
      <c r="M7" s="390">
        <f t="shared" si="5"/>
        <v>3909301.6153564476</v>
      </c>
      <c r="N7" s="390">
        <f t="shared" si="5"/>
        <v>3928848.1234332295</v>
      </c>
      <c r="O7" s="390">
        <f t="shared" si="5"/>
        <v>3948492.3640503953</v>
      </c>
      <c r="P7" s="390">
        <f>Q7/1.005</f>
        <v>3968234.8258706471</v>
      </c>
      <c r="Q7" s="390">
        <v>3988076</v>
      </c>
      <c r="R7" s="390">
        <f>Q7*1.005</f>
        <v>4008016.3799999994</v>
      </c>
      <c r="S7" s="354">
        <f t="shared" ref="S7:AB7" si="6">R7*1.005</f>
        <v>4028056.4618999991</v>
      </c>
      <c r="T7" s="354">
        <f t="shared" si="6"/>
        <v>4048196.7442094986</v>
      </c>
      <c r="U7" s="354">
        <f t="shared" si="6"/>
        <v>4068437.7279305458</v>
      </c>
      <c r="V7" s="354">
        <f t="shared" si="6"/>
        <v>4088779.9165701983</v>
      </c>
      <c r="W7" s="354">
        <f t="shared" si="6"/>
        <v>4109223.816153049</v>
      </c>
      <c r="X7" s="354">
        <f t="shared" si="6"/>
        <v>4129769.9352338137</v>
      </c>
      <c r="Y7" s="354">
        <f t="shared" si="6"/>
        <v>4150418.7849099822</v>
      </c>
      <c r="Z7" s="354">
        <f t="shared" si="6"/>
        <v>4171170.8788345316</v>
      </c>
      <c r="AA7" s="354">
        <f t="shared" si="6"/>
        <v>4192026.733228704</v>
      </c>
      <c r="AB7" s="354">
        <f t="shared" si="6"/>
        <v>4212986.8668948468</v>
      </c>
      <c r="AC7" s="354">
        <f t="shared" ref="AC7" si="7">AB7*1.005</f>
        <v>4234051.8012293205</v>
      </c>
      <c r="AD7" s="354">
        <f t="shared" ref="AD7" si="8">AC7*1.005</f>
        <v>4255222.0602354668</v>
      </c>
      <c r="AE7" s="354">
        <f t="shared" ref="AE7" si="9">AD7*1.005</f>
        <v>4276498.1705366438</v>
      </c>
      <c r="AF7" s="354">
        <f t="shared" ref="AF7" si="10">AE7*1.005</f>
        <v>4297880.6613893267</v>
      </c>
      <c r="AG7" s="354">
        <f t="shared" ref="AG7" si="11">AF7*1.005</f>
        <v>4319370.0646962728</v>
      </c>
    </row>
    <row r="8" spans="2:33" hidden="1" outlineLevel="1">
      <c r="B8" s="389" t="s">
        <v>205</v>
      </c>
      <c r="C8" s="391">
        <f>(1/100000)</f>
        <v>1.0000000000000001E-5</v>
      </c>
      <c r="D8" s="392">
        <f>C8</f>
        <v>1.0000000000000001E-5</v>
      </c>
      <c r="E8" s="392">
        <f t="shared" ref="E8:AB8" si="12">D8</f>
        <v>1.0000000000000001E-5</v>
      </c>
      <c r="F8" s="392">
        <f t="shared" si="12"/>
        <v>1.0000000000000001E-5</v>
      </c>
      <c r="G8" s="392">
        <f t="shared" si="12"/>
        <v>1.0000000000000001E-5</v>
      </c>
      <c r="H8" s="392">
        <f t="shared" si="12"/>
        <v>1.0000000000000001E-5</v>
      </c>
      <c r="I8" s="392">
        <f t="shared" si="12"/>
        <v>1.0000000000000001E-5</v>
      </c>
      <c r="J8" s="392">
        <f t="shared" si="12"/>
        <v>1.0000000000000001E-5</v>
      </c>
      <c r="K8" s="392">
        <f t="shared" si="12"/>
        <v>1.0000000000000001E-5</v>
      </c>
      <c r="L8" s="392">
        <f t="shared" si="12"/>
        <v>1.0000000000000001E-5</v>
      </c>
      <c r="M8" s="392">
        <f t="shared" si="12"/>
        <v>1.0000000000000001E-5</v>
      </c>
      <c r="N8" s="392">
        <f t="shared" si="12"/>
        <v>1.0000000000000001E-5</v>
      </c>
      <c r="O8" s="392">
        <f t="shared" si="12"/>
        <v>1.0000000000000001E-5</v>
      </c>
      <c r="P8" s="392">
        <f t="shared" si="12"/>
        <v>1.0000000000000001E-5</v>
      </c>
      <c r="Q8" s="392">
        <f t="shared" si="12"/>
        <v>1.0000000000000001E-5</v>
      </c>
      <c r="R8" s="392">
        <f t="shared" si="12"/>
        <v>1.0000000000000001E-5</v>
      </c>
      <c r="S8" s="393">
        <f t="shared" si="12"/>
        <v>1.0000000000000001E-5</v>
      </c>
      <c r="T8" s="393">
        <f t="shared" si="12"/>
        <v>1.0000000000000001E-5</v>
      </c>
      <c r="U8" s="393">
        <f t="shared" si="12"/>
        <v>1.0000000000000001E-5</v>
      </c>
      <c r="V8" s="393">
        <f t="shared" si="12"/>
        <v>1.0000000000000001E-5</v>
      </c>
      <c r="W8" s="393">
        <f t="shared" si="12"/>
        <v>1.0000000000000001E-5</v>
      </c>
      <c r="X8" s="393">
        <f t="shared" si="12"/>
        <v>1.0000000000000001E-5</v>
      </c>
      <c r="Y8" s="393">
        <f t="shared" si="12"/>
        <v>1.0000000000000001E-5</v>
      </c>
      <c r="Z8" s="393">
        <f t="shared" si="12"/>
        <v>1.0000000000000001E-5</v>
      </c>
      <c r="AA8" s="393">
        <f t="shared" si="12"/>
        <v>1.0000000000000001E-5</v>
      </c>
      <c r="AB8" s="393">
        <f t="shared" si="12"/>
        <v>1.0000000000000001E-5</v>
      </c>
      <c r="AC8" s="393">
        <f t="shared" ref="AC8" si="13">AB8</f>
        <v>1.0000000000000001E-5</v>
      </c>
      <c r="AD8" s="393">
        <f t="shared" ref="AD8" si="14">AC8</f>
        <v>1.0000000000000001E-5</v>
      </c>
      <c r="AE8" s="393">
        <f t="shared" ref="AE8" si="15">AD8</f>
        <v>1.0000000000000001E-5</v>
      </c>
      <c r="AF8" s="393">
        <f t="shared" ref="AF8" si="16">AE8</f>
        <v>1.0000000000000001E-5</v>
      </c>
      <c r="AG8" s="393">
        <f t="shared" ref="AG8" si="17">AF8</f>
        <v>1.0000000000000001E-5</v>
      </c>
    </row>
    <row r="9" spans="2:33" collapsed="1">
      <c r="B9" s="389" t="s">
        <v>111</v>
      </c>
      <c r="C9" s="394">
        <f>C8*C7</f>
        <v>37.191060413291758</v>
      </c>
      <c r="D9" s="394">
        <f>D8*D7</f>
        <v>37.377015715358212</v>
      </c>
      <c r="E9" s="394">
        <f t="shared" ref="E9:P9" si="18">E8*E7</f>
        <v>37.563900793935005</v>
      </c>
      <c r="F9" s="394">
        <f t="shared" si="18"/>
        <v>37.751720297904676</v>
      </c>
      <c r="G9" s="394">
        <f t="shared" si="18"/>
        <v>37.940478899394193</v>
      </c>
      <c r="H9" s="394">
        <f t="shared" si="18"/>
        <v>38.130181293891162</v>
      </c>
      <c r="I9" s="394">
        <f t="shared" si="18"/>
        <v>38.320832200360613</v>
      </c>
      <c r="J9" s="394">
        <f t="shared" si="18"/>
        <v>38.512436361362411</v>
      </c>
      <c r="K9" s="394">
        <f t="shared" si="18"/>
        <v>38.704998543169218</v>
      </c>
      <c r="L9" s="394">
        <f t="shared" si="18"/>
        <v>38.898523535885062</v>
      </c>
      <c r="M9" s="394">
        <f t="shared" si="18"/>
        <v>39.093016153564477</v>
      </c>
      <c r="N9" s="394">
        <f t="shared" si="18"/>
        <v>39.288481234332295</v>
      </c>
      <c r="O9" s="394">
        <f t="shared" si="18"/>
        <v>39.484923640503958</v>
      </c>
      <c r="P9" s="394">
        <f t="shared" si="18"/>
        <v>39.682348258706476</v>
      </c>
      <c r="Q9" s="394">
        <f t="shared" ref="Q9:AB9" si="19">Q8*Q7</f>
        <v>39.880760000000002</v>
      </c>
      <c r="R9" s="394">
        <f t="shared" si="19"/>
        <v>40.080163799999994</v>
      </c>
      <c r="S9" s="354">
        <f t="shared" si="19"/>
        <v>40.280564618999996</v>
      </c>
      <c r="T9" s="354">
        <f t="shared" si="19"/>
        <v>40.481967442094991</v>
      </c>
      <c r="U9" s="354">
        <f t="shared" si="19"/>
        <v>40.684377279305458</v>
      </c>
      <c r="V9" s="354">
        <f t="shared" si="19"/>
        <v>40.887799165701985</v>
      </c>
      <c r="W9" s="354">
        <f t="shared" si="19"/>
        <v>41.092238161530496</v>
      </c>
      <c r="X9" s="354">
        <f t="shared" si="19"/>
        <v>41.297699352338142</v>
      </c>
      <c r="Y9" s="354">
        <f t="shared" si="19"/>
        <v>41.504187849099829</v>
      </c>
      <c r="Z9" s="354">
        <f t="shared" si="19"/>
        <v>41.711708788345319</v>
      </c>
      <c r="AA9" s="354">
        <f t="shared" si="19"/>
        <v>41.92026733228704</v>
      </c>
      <c r="AB9" s="354">
        <f t="shared" si="19"/>
        <v>42.129868668948468</v>
      </c>
      <c r="AC9" s="354">
        <f t="shared" ref="AC9:AG9" si="20">AC8*AC7</f>
        <v>42.340518012293209</v>
      </c>
      <c r="AD9" s="354">
        <f t="shared" si="20"/>
        <v>42.552220602354673</v>
      </c>
      <c r="AE9" s="354">
        <f t="shared" si="20"/>
        <v>42.764981705366445</v>
      </c>
      <c r="AF9" s="354">
        <f t="shared" si="20"/>
        <v>42.978806613893269</v>
      </c>
      <c r="AG9" s="354">
        <f t="shared" si="20"/>
        <v>43.193700646962732</v>
      </c>
    </row>
    <row r="10" spans="2:33">
      <c r="B10" s="389" t="s">
        <v>212</v>
      </c>
      <c r="P10" s="394">
        <f>SUM(C9:P9)</f>
        <v>537.93991734165945</v>
      </c>
      <c r="Q10" s="394">
        <f>P10+Q9-C9</f>
        <v>540.62961692836768</v>
      </c>
      <c r="R10" s="394">
        <f>Q10+R9-D9</f>
        <v>543.33276501300952</v>
      </c>
      <c r="S10" s="354">
        <f>R10+S9-E9</f>
        <v>546.0494288380745</v>
      </c>
      <c r="T10" s="354">
        <f>S10+T9-(F9*0.9)</f>
        <v>552.55484801205523</v>
      </c>
      <c r="U10" s="354">
        <f t="shared" ref="U10:AB10" si="21">T10+U9-(G9*0.8)</f>
        <v>562.88684217184527</v>
      </c>
      <c r="V10" s="354">
        <f t="shared" si="21"/>
        <v>573.27049630243425</v>
      </c>
      <c r="W10" s="354">
        <f t="shared" si="21"/>
        <v>583.70606870367624</v>
      </c>
      <c r="X10" s="354">
        <f t="shared" si="21"/>
        <v>594.19381896692437</v>
      </c>
      <c r="Y10" s="354">
        <f t="shared" si="21"/>
        <v>604.73400798148884</v>
      </c>
      <c r="Z10" s="354">
        <f t="shared" si="21"/>
        <v>615.32689794112605</v>
      </c>
      <c r="AA10" s="354">
        <f t="shared" si="21"/>
        <v>625.97275235056145</v>
      </c>
      <c r="AB10" s="354">
        <f t="shared" si="21"/>
        <v>636.6718360320441</v>
      </c>
      <c r="AC10" s="354">
        <f t="shared" ref="AC10" si="22">AB10+AC9-(O9*0.8)</f>
        <v>647.4244151319341</v>
      </c>
      <c r="AD10" s="354">
        <f t="shared" ref="AD10" si="23">AC10+AD9-(P9*0.8)</f>
        <v>658.2307571273235</v>
      </c>
      <c r="AE10" s="354">
        <f t="shared" ref="AE10" si="24">AD10+AE9-(Q9*0.8)</f>
        <v>669.09113083268994</v>
      </c>
      <c r="AF10" s="354">
        <f t="shared" ref="AF10" si="25">AE10+AF9-(R9*0.8)</f>
        <v>680.00580640658325</v>
      </c>
      <c r="AG10" s="354">
        <f t="shared" ref="AG10" si="26">AF10+AG9-(S9*0.8)</f>
        <v>690.97505535834603</v>
      </c>
    </row>
    <row r="11" spans="2:33" outlineLevel="1">
      <c r="B11" s="395" t="s">
        <v>108</v>
      </c>
      <c r="C11" s="396"/>
      <c r="D11" s="396"/>
      <c r="E11" s="396"/>
      <c r="F11" s="396"/>
      <c r="G11" s="396"/>
      <c r="H11" s="396"/>
      <c r="I11" s="396"/>
      <c r="J11" s="396"/>
      <c r="K11" s="396"/>
      <c r="L11" s="396"/>
      <c r="M11" s="396"/>
      <c r="N11" s="396"/>
      <c r="O11" s="396"/>
      <c r="P11" s="397"/>
      <c r="Q11" s="397"/>
      <c r="R11" s="397"/>
      <c r="S11" s="398">
        <v>0</v>
      </c>
      <c r="T11" s="398">
        <v>0.35</v>
      </c>
      <c r="U11" s="398">
        <v>0.85</v>
      </c>
      <c r="V11" s="398">
        <v>0.95</v>
      </c>
      <c r="W11" s="398">
        <f t="shared" ref="W11:AB11" si="27">V11</f>
        <v>0.95</v>
      </c>
      <c r="X11" s="398">
        <f t="shared" si="27"/>
        <v>0.95</v>
      </c>
      <c r="Y11" s="398">
        <f t="shared" si="27"/>
        <v>0.95</v>
      </c>
      <c r="Z11" s="398">
        <f t="shared" si="27"/>
        <v>0.95</v>
      </c>
      <c r="AA11" s="398">
        <f t="shared" si="27"/>
        <v>0.95</v>
      </c>
      <c r="AB11" s="398">
        <f t="shared" si="27"/>
        <v>0.95</v>
      </c>
      <c r="AC11" s="398">
        <f t="shared" ref="AC11" si="28">AB11</f>
        <v>0.95</v>
      </c>
      <c r="AD11" s="398">
        <f t="shared" ref="AD11" si="29">AC11</f>
        <v>0.95</v>
      </c>
      <c r="AE11" s="398">
        <f t="shared" ref="AE11" si="30">AD11</f>
        <v>0.95</v>
      </c>
      <c r="AF11" s="398">
        <f t="shared" ref="AF11" si="31">AE11</f>
        <v>0.95</v>
      </c>
      <c r="AG11" s="398">
        <f t="shared" ref="AG11" si="32">AF11</f>
        <v>0.95</v>
      </c>
    </row>
    <row r="12" spans="2:33" outlineLevel="1">
      <c r="B12" s="395" t="s">
        <v>109</v>
      </c>
      <c r="C12" s="396"/>
      <c r="D12" s="396"/>
      <c r="E12" s="396"/>
      <c r="F12" s="396"/>
      <c r="G12" s="396"/>
      <c r="H12" s="396"/>
      <c r="I12" s="396"/>
      <c r="J12" s="396"/>
      <c r="K12" s="396"/>
      <c r="L12" s="396"/>
      <c r="M12" s="396"/>
      <c r="N12" s="396"/>
      <c r="O12" s="396"/>
      <c r="P12" s="397"/>
      <c r="Q12" s="397"/>
      <c r="R12" s="397"/>
      <c r="S12" s="398">
        <v>0</v>
      </c>
      <c r="T12" s="398">
        <v>0.03</v>
      </c>
      <c r="U12" s="398">
        <v>0.125</v>
      </c>
      <c r="V12" s="398">
        <v>0.3</v>
      </c>
      <c r="W12" s="398">
        <v>0.5</v>
      </c>
      <c r="X12" s="398">
        <v>0.6</v>
      </c>
      <c r="Y12" s="398">
        <v>0.7</v>
      </c>
      <c r="Z12" s="398">
        <f t="shared" ref="Z12:AG12" si="33">Y12*1.025</f>
        <v>0.71749999999999992</v>
      </c>
      <c r="AA12" s="398">
        <f t="shared" si="33"/>
        <v>0.73543749999999986</v>
      </c>
      <c r="AB12" s="398">
        <f t="shared" si="33"/>
        <v>0.7538234374999998</v>
      </c>
      <c r="AC12" s="398">
        <f t="shared" si="33"/>
        <v>0.77266902343749977</v>
      </c>
      <c r="AD12" s="398">
        <f t="shared" si="33"/>
        <v>0.79198574902343721</v>
      </c>
      <c r="AE12" s="398">
        <f t="shared" si="33"/>
        <v>0.81178539274902306</v>
      </c>
      <c r="AF12" s="398">
        <f t="shared" si="33"/>
        <v>0.83208002756774857</v>
      </c>
      <c r="AG12" s="398">
        <f t="shared" si="33"/>
        <v>0.85288202825694226</v>
      </c>
    </row>
    <row r="13" spans="2:33" outlineLevel="1">
      <c r="B13" s="395" t="s">
        <v>110</v>
      </c>
      <c r="C13" s="396"/>
      <c r="D13" s="396"/>
      <c r="E13" s="396"/>
      <c r="F13" s="396"/>
      <c r="G13" s="396"/>
      <c r="H13" s="396"/>
      <c r="I13" s="396"/>
      <c r="J13" s="396"/>
      <c r="K13" s="396"/>
      <c r="L13" s="396"/>
      <c r="M13" s="396"/>
      <c r="N13" s="396"/>
      <c r="O13" s="396"/>
      <c r="P13" s="397"/>
      <c r="Q13" s="397"/>
      <c r="R13" s="397"/>
      <c r="S13" s="398">
        <v>0</v>
      </c>
      <c r="T13" s="398">
        <v>0</v>
      </c>
      <c r="U13" s="398">
        <v>0</v>
      </c>
      <c r="V13" s="398">
        <v>0</v>
      </c>
      <c r="W13" s="398">
        <v>0</v>
      </c>
      <c r="X13" s="398">
        <v>0</v>
      </c>
      <c r="Y13" s="398">
        <v>0</v>
      </c>
      <c r="Z13" s="398">
        <v>0</v>
      </c>
      <c r="AA13" s="398">
        <v>0</v>
      </c>
      <c r="AB13" s="398">
        <v>0</v>
      </c>
      <c r="AC13" s="398">
        <v>0</v>
      </c>
      <c r="AD13" s="398">
        <v>0</v>
      </c>
      <c r="AE13" s="398">
        <v>0</v>
      </c>
      <c r="AF13" s="398">
        <v>0</v>
      </c>
      <c r="AG13" s="398">
        <v>0</v>
      </c>
    </row>
    <row r="14" spans="2:33">
      <c r="B14" s="389" t="s">
        <v>81</v>
      </c>
      <c r="R14" s="399"/>
      <c r="S14" s="400">
        <f t="shared" ref="S14:AB14" si="34">CHOOSE($S$2,S11,S12,S13)</f>
        <v>0</v>
      </c>
      <c r="T14" s="400">
        <f t="shared" si="34"/>
        <v>0.03</v>
      </c>
      <c r="U14" s="400">
        <f t="shared" si="34"/>
        <v>0.125</v>
      </c>
      <c r="V14" s="400">
        <f t="shared" si="34"/>
        <v>0.3</v>
      </c>
      <c r="W14" s="400">
        <f t="shared" si="34"/>
        <v>0.5</v>
      </c>
      <c r="X14" s="400">
        <f t="shared" si="34"/>
        <v>0.6</v>
      </c>
      <c r="Y14" s="400">
        <f t="shared" si="34"/>
        <v>0.7</v>
      </c>
      <c r="Z14" s="400">
        <f t="shared" si="34"/>
        <v>0.71749999999999992</v>
      </c>
      <c r="AA14" s="400">
        <f t="shared" si="34"/>
        <v>0.73543749999999986</v>
      </c>
      <c r="AB14" s="400">
        <f t="shared" si="34"/>
        <v>0.7538234374999998</v>
      </c>
      <c r="AC14" s="400">
        <f t="shared" ref="AC14:AG14" si="35">CHOOSE($S$2,AC11,AC12,AC13)</f>
        <v>0.77266902343749977</v>
      </c>
      <c r="AD14" s="400">
        <f t="shared" si="35"/>
        <v>0.79198574902343721</v>
      </c>
      <c r="AE14" s="400">
        <f t="shared" si="35"/>
        <v>0.81178539274902306</v>
      </c>
      <c r="AF14" s="400">
        <f t="shared" si="35"/>
        <v>0.83208002756774857</v>
      </c>
      <c r="AG14" s="400">
        <f t="shared" si="35"/>
        <v>0.85288202825694226</v>
      </c>
    </row>
    <row r="15" spans="2:33">
      <c r="B15" s="389" t="s">
        <v>191</v>
      </c>
      <c r="R15" s="394">
        <f>R14*R10</f>
        <v>0</v>
      </c>
      <c r="S15" s="354">
        <f t="shared" ref="S15:AB15" si="36">S14*S10</f>
        <v>0</v>
      </c>
      <c r="T15" s="354">
        <f t="shared" si="36"/>
        <v>16.576645440361656</v>
      </c>
      <c r="U15" s="354">
        <f t="shared" si="36"/>
        <v>70.360855271480659</v>
      </c>
      <c r="V15" s="354">
        <f t="shared" si="36"/>
        <v>171.98114889073028</v>
      </c>
      <c r="W15" s="354">
        <f t="shared" si="36"/>
        <v>291.85303435183812</v>
      </c>
      <c r="X15" s="354">
        <f t="shared" si="36"/>
        <v>356.5162913801546</v>
      </c>
      <c r="Y15" s="354">
        <f t="shared" si="36"/>
        <v>423.31380558704217</v>
      </c>
      <c r="Z15" s="354">
        <f t="shared" si="36"/>
        <v>441.49704927275786</v>
      </c>
      <c r="AA15" s="354">
        <f t="shared" si="36"/>
        <v>460.36383605681596</v>
      </c>
      <c r="AB15" s="354">
        <f t="shared" si="36"/>
        <v>479.93815199711173</v>
      </c>
      <c r="AC15" s="354">
        <f t="shared" ref="AC15:AG15" si="37">AC14*AC10</f>
        <v>500.24479058958599</v>
      </c>
      <c r="AD15" s="354">
        <f t="shared" si="37"/>
        <v>521.30937921374743</v>
      </c>
      <c r="AE15" s="354">
        <f t="shared" si="37"/>
        <v>543.15840642790317</v>
      </c>
      <c r="AF15" s="354">
        <f t="shared" si="37"/>
        <v>565.81925014101887</v>
      </c>
      <c r="AG15" s="354">
        <f t="shared" si="37"/>
        <v>589.32020668897917</v>
      </c>
    </row>
    <row r="16" spans="2:33">
      <c r="B16" s="389" t="s">
        <v>193</v>
      </c>
      <c r="R16" s="401">
        <v>450000</v>
      </c>
      <c r="S16" s="402">
        <f>R16</f>
        <v>450000</v>
      </c>
      <c r="T16" s="402">
        <f>S16</f>
        <v>450000</v>
      </c>
      <c r="U16" s="402">
        <f t="shared" ref="U16:AB16" si="38">T16*1.03</f>
        <v>463500</v>
      </c>
      <c r="V16" s="402">
        <f t="shared" si="38"/>
        <v>477405</v>
      </c>
      <c r="W16" s="402">
        <f t="shared" si="38"/>
        <v>491727.15</v>
      </c>
      <c r="X16" s="402">
        <f t="shared" si="38"/>
        <v>506478.96450000006</v>
      </c>
      <c r="Y16" s="402">
        <f t="shared" si="38"/>
        <v>521673.3334350001</v>
      </c>
      <c r="Z16" s="402">
        <f t="shared" si="38"/>
        <v>537323.53343805007</v>
      </c>
      <c r="AA16" s="402">
        <f t="shared" si="38"/>
        <v>553443.23944119154</v>
      </c>
      <c r="AB16" s="402">
        <f t="shared" si="38"/>
        <v>570046.5366244273</v>
      </c>
      <c r="AC16" s="402">
        <f t="shared" ref="AC16" si="39">AB16*1.03</f>
        <v>587147.93272316013</v>
      </c>
      <c r="AD16" s="402">
        <f t="shared" ref="AD16" si="40">AC16*1.03</f>
        <v>604762.37070485495</v>
      </c>
      <c r="AE16" s="402">
        <f t="shared" ref="AE16" si="41">AD16*1.03</f>
        <v>622905.24182600062</v>
      </c>
      <c r="AF16" s="402">
        <f t="shared" ref="AF16" si="42">AE16*1.03</f>
        <v>641592.39908078068</v>
      </c>
      <c r="AG16" s="402">
        <f t="shared" ref="AG16" si="43">AF16*1.03</f>
        <v>660840.1710532041</v>
      </c>
    </row>
    <row r="17" spans="2:33">
      <c r="B17" s="403" t="s">
        <v>208</v>
      </c>
      <c r="C17" s="404"/>
      <c r="D17" s="404"/>
      <c r="E17" s="404"/>
      <c r="F17" s="404"/>
      <c r="G17" s="404"/>
      <c r="H17" s="404"/>
      <c r="I17" s="404"/>
      <c r="J17" s="404"/>
      <c r="K17" s="404"/>
      <c r="L17" s="404"/>
      <c r="M17" s="404"/>
      <c r="N17" s="404"/>
      <c r="O17" s="404"/>
      <c r="P17" s="404"/>
      <c r="Q17" s="404"/>
      <c r="R17" s="405">
        <f>R16*R15/1000000</f>
        <v>0</v>
      </c>
      <c r="S17" s="406">
        <f t="shared" ref="S17:AB17" si="44">S16*S15/1000000</f>
        <v>0</v>
      </c>
      <c r="T17" s="406">
        <f t="shared" si="44"/>
        <v>7.4594904481627449</v>
      </c>
      <c r="U17" s="406">
        <f t="shared" si="44"/>
        <v>32.612256418331285</v>
      </c>
      <c r="V17" s="406">
        <f t="shared" si="44"/>
        <v>82.104660386179091</v>
      </c>
      <c r="W17" s="406">
        <f t="shared" si="44"/>
        <v>143.51206080068147</v>
      </c>
      <c r="X17" s="406">
        <f t="shared" si="44"/>
        <v>180.56800208560099</v>
      </c>
      <c r="Y17" s="406">
        <f t="shared" si="44"/>
        <v>220.83152404964787</v>
      </c>
      <c r="Z17" s="406">
        <f t="shared" si="44"/>
        <v>237.22675451771116</v>
      </c>
      <c r="AA17" s="406">
        <f t="shared" si="44"/>
        <v>254.78525274885786</v>
      </c>
      <c r="AB17" s="406">
        <f t="shared" si="44"/>
        <v>273.58708133988154</v>
      </c>
      <c r="AC17" s="406">
        <f t="shared" ref="AC17:AG17" si="45">AC16*AC15/1000000</f>
        <v>293.71769465020554</v>
      </c>
      <c r="AD17" s="406">
        <f t="shared" si="45"/>
        <v>315.26829604398216</v>
      </c>
      <c r="AE17" s="406">
        <f t="shared" si="45"/>
        <v>338.33621850579817</v>
      </c>
      <c r="AF17" s="406">
        <f t="shared" si="45"/>
        <v>363.02533014406464</v>
      </c>
      <c r="AG17" s="406">
        <f t="shared" si="45"/>
        <v>389.44646619345457</v>
      </c>
    </row>
    <row r="18" spans="2:33" ht="3.75" customHeight="1"/>
    <row r="19" spans="2:33">
      <c r="B19" s="389" t="s">
        <v>213</v>
      </c>
      <c r="C19" s="394"/>
      <c r="D19" s="394"/>
      <c r="E19" s="394"/>
      <c r="F19" s="394"/>
      <c r="G19" s="394"/>
      <c r="H19" s="394"/>
      <c r="I19" s="394"/>
      <c r="J19" s="394"/>
      <c r="K19" s="394"/>
      <c r="L19" s="394"/>
      <c r="M19" s="394"/>
      <c r="N19" s="394"/>
      <c r="O19" s="394"/>
      <c r="P19" s="394"/>
      <c r="Q19" s="394"/>
      <c r="R19" s="394">
        <f>R10*1.5</f>
        <v>814.99914751951428</v>
      </c>
      <c r="S19" s="394">
        <f t="shared" ref="S19:AG19" si="46">S10*1.5</f>
        <v>819.0741432571117</v>
      </c>
      <c r="T19" s="394">
        <f t="shared" si="46"/>
        <v>828.8322720180829</v>
      </c>
      <c r="U19" s="394">
        <f t="shared" si="46"/>
        <v>844.33026325776791</v>
      </c>
      <c r="V19" s="394">
        <f t="shared" si="46"/>
        <v>859.90574445365132</v>
      </c>
      <c r="W19" s="394">
        <f t="shared" si="46"/>
        <v>875.55910305551436</v>
      </c>
      <c r="X19" s="394">
        <f t="shared" si="46"/>
        <v>891.2907284503865</v>
      </c>
      <c r="Y19" s="394">
        <f t="shared" si="46"/>
        <v>907.10101197223321</v>
      </c>
      <c r="Z19" s="394">
        <f t="shared" si="46"/>
        <v>922.99034691168913</v>
      </c>
      <c r="AA19" s="394">
        <f t="shared" si="46"/>
        <v>938.95912852584217</v>
      </c>
      <c r="AB19" s="394">
        <f t="shared" si="46"/>
        <v>955.00775404806609</v>
      </c>
      <c r="AC19" s="394">
        <f t="shared" si="46"/>
        <v>971.1366226979012</v>
      </c>
      <c r="AD19" s="394">
        <f t="shared" si="46"/>
        <v>987.34613569098519</v>
      </c>
      <c r="AE19" s="394">
        <f t="shared" si="46"/>
        <v>1003.6366962490349</v>
      </c>
      <c r="AF19" s="394">
        <f t="shared" si="46"/>
        <v>1020.0087096098748</v>
      </c>
      <c r="AG19" s="394">
        <f t="shared" si="46"/>
        <v>1036.4625830375189</v>
      </c>
    </row>
    <row r="20" spans="2:33" hidden="1" outlineLevel="1">
      <c r="B20" s="395" t="s">
        <v>108</v>
      </c>
      <c r="C20" s="396"/>
      <c r="D20" s="396"/>
      <c r="E20" s="396"/>
      <c r="F20" s="396"/>
      <c r="G20" s="396"/>
      <c r="H20" s="396"/>
      <c r="I20" s="396"/>
      <c r="J20" s="396"/>
      <c r="K20" s="396"/>
      <c r="L20" s="396"/>
      <c r="M20" s="396"/>
      <c r="N20" s="396"/>
      <c r="O20" s="396"/>
      <c r="P20" s="397"/>
      <c r="Q20" s="397"/>
      <c r="R20" s="397"/>
      <c r="S20" s="398">
        <f>S11*0.5</f>
        <v>0</v>
      </c>
      <c r="T20" s="398">
        <f t="shared" ref="T20:AB20" si="47">T11*0.5</f>
        <v>0.17499999999999999</v>
      </c>
      <c r="U20" s="398">
        <f t="shared" si="47"/>
        <v>0.42499999999999999</v>
      </c>
      <c r="V20" s="398">
        <f t="shared" si="47"/>
        <v>0.47499999999999998</v>
      </c>
      <c r="W20" s="398">
        <f t="shared" si="47"/>
        <v>0.47499999999999998</v>
      </c>
      <c r="X20" s="398">
        <f t="shared" si="47"/>
        <v>0.47499999999999998</v>
      </c>
      <c r="Y20" s="398">
        <f t="shared" si="47"/>
        <v>0.47499999999999998</v>
      </c>
      <c r="Z20" s="398">
        <f t="shared" si="47"/>
        <v>0.47499999999999998</v>
      </c>
      <c r="AA20" s="398">
        <f t="shared" si="47"/>
        <v>0.47499999999999998</v>
      </c>
      <c r="AB20" s="398">
        <f t="shared" si="47"/>
        <v>0.47499999999999998</v>
      </c>
      <c r="AC20" s="398">
        <f t="shared" ref="AC20:AG20" si="48">AC11*0.5</f>
        <v>0.47499999999999998</v>
      </c>
      <c r="AD20" s="398">
        <f t="shared" si="48"/>
        <v>0.47499999999999998</v>
      </c>
      <c r="AE20" s="398">
        <f t="shared" si="48"/>
        <v>0.47499999999999998</v>
      </c>
      <c r="AF20" s="398">
        <f t="shared" si="48"/>
        <v>0.47499999999999998</v>
      </c>
      <c r="AG20" s="398">
        <f t="shared" si="48"/>
        <v>0.47499999999999998</v>
      </c>
    </row>
    <row r="21" spans="2:33" hidden="1" outlineLevel="1">
      <c r="B21" s="395" t="s">
        <v>109</v>
      </c>
      <c r="C21" s="396"/>
      <c r="D21" s="396"/>
      <c r="E21" s="396"/>
      <c r="F21" s="396"/>
      <c r="G21" s="396"/>
      <c r="H21" s="396"/>
      <c r="I21" s="396"/>
      <c r="J21" s="396"/>
      <c r="K21" s="396"/>
      <c r="L21" s="396"/>
      <c r="M21" s="396"/>
      <c r="N21" s="396"/>
      <c r="O21" s="396"/>
      <c r="P21" s="397"/>
      <c r="Q21" s="397"/>
      <c r="R21" s="397"/>
      <c r="S21" s="398">
        <f t="shared" ref="S21:AB21" si="49">S12*0.5</f>
        <v>0</v>
      </c>
      <c r="T21" s="398">
        <v>5.0000000000000001E-3</v>
      </c>
      <c r="U21" s="398">
        <v>0.1</v>
      </c>
      <c r="V21" s="398">
        <v>0.17</v>
      </c>
      <c r="W21" s="398">
        <f t="shared" si="49"/>
        <v>0.25</v>
      </c>
      <c r="X21" s="398">
        <f t="shared" si="49"/>
        <v>0.3</v>
      </c>
      <c r="Y21" s="398">
        <f t="shared" si="49"/>
        <v>0.35</v>
      </c>
      <c r="Z21" s="398">
        <f t="shared" si="49"/>
        <v>0.35874999999999996</v>
      </c>
      <c r="AA21" s="398">
        <f t="shared" si="49"/>
        <v>0.36771874999999993</v>
      </c>
      <c r="AB21" s="398">
        <f t="shared" si="49"/>
        <v>0.3769117187499999</v>
      </c>
      <c r="AC21" s="398">
        <f t="shared" ref="AC21:AG21" si="50">AC12*0.5</f>
        <v>0.38633451171874988</v>
      </c>
      <c r="AD21" s="398">
        <f t="shared" si="50"/>
        <v>0.39599287451171861</v>
      </c>
      <c r="AE21" s="398">
        <f t="shared" si="50"/>
        <v>0.40589269637451153</v>
      </c>
      <c r="AF21" s="398">
        <f t="shared" si="50"/>
        <v>0.41604001378387429</v>
      </c>
      <c r="AG21" s="398">
        <f t="shared" si="50"/>
        <v>0.42644101412847113</v>
      </c>
    </row>
    <row r="22" spans="2:33" hidden="1" outlineLevel="1">
      <c r="B22" s="395" t="s">
        <v>110</v>
      </c>
      <c r="C22" s="396"/>
      <c r="D22" s="396"/>
      <c r="E22" s="396"/>
      <c r="F22" s="396"/>
      <c r="G22" s="396"/>
      <c r="H22" s="396"/>
      <c r="I22" s="396"/>
      <c r="J22" s="396"/>
      <c r="K22" s="396"/>
      <c r="L22" s="396"/>
      <c r="M22" s="396"/>
      <c r="N22" s="396"/>
      <c r="O22" s="396"/>
      <c r="P22" s="397"/>
      <c r="Q22" s="397"/>
      <c r="R22" s="397"/>
      <c r="S22" s="398">
        <f t="shared" ref="S22:AB22" si="51">S13*0.5</f>
        <v>0</v>
      </c>
      <c r="T22" s="398">
        <f t="shared" si="51"/>
        <v>0</v>
      </c>
      <c r="U22" s="398">
        <f t="shared" si="51"/>
        <v>0</v>
      </c>
      <c r="V22" s="398">
        <f t="shared" si="51"/>
        <v>0</v>
      </c>
      <c r="W22" s="398">
        <f t="shared" si="51"/>
        <v>0</v>
      </c>
      <c r="X22" s="398">
        <f t="shared" si="51"/>
        <v>0</v>
      </c>
      <c r="Y22" s="398">
        <f t="shared" si="51"/>
        <v>0</v>
      </c>
      <c r="Z22" s="398">
        <f t="shared" si="51"/>
        <v>0</v>
      </c>
      <c r="AA22" s="398">
        <f t="shared" si="51"/>
        <v>0</v>
      </c>
      <c r="AB22" s="398">
        <f t="shared" si="51"/>
        <v>0</v>
      </c>
      <c r="AC22" s="398">
        <f t="shared" ref="AC22:AG22" si="52">AC13*0.5</f>
        <v>0</v>
      </c>
      <c r="AD22" s="398">
        <f t="shared" si="52"/>
        <v>0</v>
      </c>
      <c r="AE22" s="398">
        <f t="shared" si="52"/>
        <v>0</v>
      </c>
      <c r="AF22" s="398">
        <f t="shared" si="52"/>
        <v>0</v>
      </c>
      <c r="AG22" s="398">
        <f t="shared" si="52"/>
        <v>0</v>
      </c>
    </row>
    <row r="23" spans="2:33" collapsed="1">
      <c r="B23" s="389" t="s">
        <v>81</v>
      </c>
      <c r="S23" s="400">
        <f t="shared" ref="S23:AB23" si="53">CHOOSE($S$2,S20,S21,S22)</f>
        <v>0</v>
      </c>
      <c r="T23" s="400">
        <f t="shared" si="53"/>
        <v>5.0000000000000001E-3</v>
      </c>
      <c r="U23" s="400">
        <v>0.05</v>
      </c>
      <c r="V23" s="400">
        <v>0.1</v>
      </c>
      <c r="W23" s="400">
        <v>0.17</v>
      </c>
      <c r="X23" s="400">
        <v>0.25</v>
      </c>
      <c r="Y23" s="400">
        <f t="shared" si="53"/>
        <v>0.35</v>
      </c>
      <c r="Z23" s="400">
        <f t="shared" si="53"/>
        <v>0.35874999999999996</v>
      </c>
      <c r="AA23" s="400">
        <f t="shared" si="53"/>
        <v>0.36771874999999993</v>
      </c>
      <c r="AB23" s="400">
        <f t="shared" si="53"/>
        <v>0.3769117187499999</v>
      </c>
      <c r="AC23" s="400">
        <f t="shared" ref="AC23:AG23" si="54">CHOOSE($S$2,AC20,AC21,AC22)</f>
        <v>0.38633451171874988</v>
      </c>
      <c r="AD23" s="400">
        <f t="shared" si="54"/>
        <v>0.39599287451171861</v>
      </c>
      <c r="AE23" s="400">
        <f t="shared" si="54"/>
        <v>0.40589269637451153</v>
      </c>
      <c r="AF23" s="400">
        <f t="shared" si="54"/>
        <v>0.41604001378387429</v>
      </c>
      <c r="AG23" s="400">
        <f t="shared" si="54"/>
        <v>0.42644101412847113</v>
      </c>
    </row>
    <row r="24" spans="2:33">
      <c r="B24" s="389" t="s">
        <v>214</v>
      </c>
      <c r="R24" s="394"/>
      <c r="S24" s="354">
        <f>S23*S19</f>
        <v>0</v>
      </c>
      <c r="T24" s="354">
        <f t="shared" ref="T24:AB24" si="55">T23*T19</f>
        <v>4.1441613600904148</v>
      </c>
      <c r="U24" s="354">
        <f t="shared" si="55"/>
        <v>42.216513162888397</v>
      </c>
      <c r="V24" s="354">
        <f t="shared" si="55"/>
        <v>85.990574445365141</v>
      </c>
      <c r="W24" s="354">
        <f t="shared" si="55"/>
        <v>148.84504751943746</v>
      </c>
      <c r="X24" s="354">
        <f t="shared" si="55"/>
        <v>222.82268211259662</v>
      </c>
      <c r="Y24" s="354">
        <f t="shared" si="55"/>
        <v>317.48535419028161</v>
      </c>
      <c r="Z24" s="354">
        <f t="shared" si="55"/>
        <v>331.12278695456843</v>
      </c>
      <c r="AA24" s="354">
        <f t="shared" si="55"/>
        <v>345.27287704261198</v>
      </c>
      <c r="AB24" s="354">
        <f t="shared" si="55"/>
        <v>359.95361399783377</v>
      </c>
      <c r="AC24" s="354">
        <f t="shared" ref="AC24:AG24" si="56">AC23*AC19</f>
        <v>375.18359294218948</v>
      </c>
      <c r="AD24" s="354">
        <f t="shared" si="56"/>
        <v>390.98203441031058</v>
      </c>
      <c r="AE24" s="354">
        <f t="shared" si="56"/>
        <v>407.36880482092738</v>
      </c>
      <c r="AF24" s="354">
        <f t="shared" si="56"/>
        <v>424.36443760576412</v>
      </c>
      <c r="AG24" s="354">
        <f t="shared" si="56"/>
        <v>441.99015501673426</v>
      </c>
    </row>
    <row r="25" spans="2:33">
      <c r="B25" s="389" t="s">
        <v>215</v>
      </c>
      <c r="R25" s="401"/>
      <c r="S25" s="402">
        <f>S16*0.75</f>
        <v>337500</v>
      </c>
      <c r="T25" s="402">
        <f>S25</f>
        <v>337500</v>
      </c>
      <c r="U25" s="402">
        <f t="shared" ref="U25:AB25" si="57">T25</f>
        <v>337500</v>
      </c>
      <c r="V25" s="402">
        <f t="shared" si="57"/>
        <v>337500</v>
      </c>
      <c r="W25" s="402">
        <f t="shared" si="57"/>
        <v>337500</v>
      </c>
      <c r="X25" s="402">
        <f t="shared" si="57"/>
        <v>337500</v>
      </c>
      <c r="Y25" s="402">
        <f t="shared" si="57"/>
        <v>337500</v>
      </c>
      <c r="Z25" s="402">
        <f t="shared" si="57"/>
        <v>337500</v>
      </c>
      <c r="AA25" s="402">
        <f t="shared" si="57"/>
        <v>337500</v>
      </c>
      <c r="AB25" s="402">
        <f t="shared" si="57"/>
        <v>337500</v>
      </c>
      <c r="AC25" s="402">
        <f t="shared" ref="AC25" si="58">AB25</f>
        <v>337500</v>
      </c>
      <c r="AD25" s="402">
        <f t="shared" ref="AD25" si="59">AC25</f>
        <v>337500</v>
      </c>
      <c r="AE25" s="402">
        <f t="shared" ref="AE25" si="60">AD25</f>
        <v>337500</v>
      </c>
      <c r="AF25" s="402">
        <f t="shared" ref="AF25" si="61">AE25</f>
        <v>337500</v>
      </c>
      <c r="AG25" s="402">
        <f t="shared" ref="AG25" si="62">AF25</f>
        <v>337500</v>
      </c>
    </row>
    <row r="26" spans="2:33">
      <c r="B26" s="403" t="s">
        <v>207</v>
      </c>
      <c r="C26" s="404"/>
      <c r="D26" s="404"/>
      <c r="E26" s="404"/>
      <c r="F26" s="404"/>
      <c r="G26" s="404"/>
      <c r="H26" s="404"/>
      <c r="I26" s="404"/>
      <c r="J26" s="404"/>
      <c r="K26" s="404"/>
      <c r="L26" s="404"/>
      <c r="M26" s="404"/>
      <c r="N26" s="404"/>
      <c r="O26" s="404"/>
      <c r="P26" s="404"/>
      <c r="Q26" s="404"/>
      <c r="R26" s="405"/>
      <c r="S26" s="406">
        <f>S25*S24/1000000</f>
        <v>0</v>
      </c>
      <c r="T26" s="406">
        <f t="shared" ref="T26:AB26" si="63">T25*T24/1000000</f>
        <v>1.398654459030515</v>
      </c>
      <c r="U26" s="406">
        <f t="shared" si="63"/>
        <v>14.248073192474834</v>
      </c>
      <c r="V26" s="406">
        <f t="shared" si="63"/>
        <v>29.021818875310736</v>
      </c>
      <c r="W26" s="406">
        <f t="shared" si="63"/>
        <v>50.235203537810136</v>
      </c>
      <c r="X26" s="406">
        <f t="shared" si="63"/>
        <v>75.20265521300135</v>
      </c>
      <c r="Y26" s="406">
        <f t="shared" si="63"/>
        <v>107.15130703922004</v>
      </c>
      <c r="Z26" s="406">
        <f t="shared" si="63"/>
        <v>111.75394059716683</v>
      </c>
      <c r="AA26" s="406">
        <f t="shared" si="63"/>
        <v>116.52959600188154</v>
      </c>
      <c r="AB26" s="406">
        <f t="shared" si="63"/>
        <v>121.48434472426889</v>
      </c>
      <c r="AC26" s="406">
        <f t="shared" ref="AC26:AG26" si="64">AC25*AC24/1000000</f>
        <v>126.62446261798894</v>
      </c>
      <c r="AD26" s="406">
        <f t="shared" si="64"/>
        <v>131.95643661347981</v>
      </c>
      <c r="AE26" s="406">
        <f t="shared" si="64"/>
        <v>137.48697162706299</v>
      </c>
      <c r="AF26" s="406">
        <f t="shared" si="64"/>
        <v>143.22299769194541</v>
      </c>
      <c r="AG26" s="406">
        <f t="shared" si="64"/>
        <v>149.1716773181478</v>
      </c>
    </row>
    <row r="27" spans="2:33">
      <c r="X27" s="386" t="s">
        <v>194</v>
      </c>
    </row>
    <row r="28" spans="2:33">
      <c r="B28" s="403" t="s">
        <v>206</v>
      </c>
      <c r="C28" s="404"/>
      <c r="D28" s="404"/>
      <c r="E28" s="404"/>
      <c r="F28" s="404"/>
      <c r="G28" s="404"/>
      <c r="H28" s="404"/>
      <c r="I28" s="404"/>
      <c r="J28" s="404"/>
      <c r="K28" s="404"/>
      <c r="L28" s="404"/>
      <c r="M28" s="404"/>
      <c r="N28" s="404"/>
      <c r="O28" s="404"/>
      <c r="P28" s="404"/>
      <c r="Q28" s="404"/>
      <c r="R28" s="405">
        <f t="shared" ref="R28:AB28" si="65">IF($S$4=2,R26+R17,0)</f>
        <v>0</v>
      </c>
      <c r="S28" s="406">
        <f>IF($S$4=2,S26+S17,0)</f>
        <v>0</v>
      </c>
      <c r="T28" s="406">
        <f t="shared" si="65"/>
        <v>8.8581449071932603</v>
      </c>
      <c r="U28" s="406">
        <f t="shared" si="65"/>
        <v>46.860329610806119</v>
      </c>
      <c r="V28" s="406">
        <f t="shared" si="65"/>
        <v>111.12647926148983</v>
      </c>
      <c r="W28" s="406">
        <f t="shared" si="65"/>
        <v>193.74726433849162</v>
      </c>
      <c r="X28" s="406">
        <f t="shared" si="65"/>
        <v>255.77065729860234</v>
      </c>
      <c r="Y28" s="406">
        <f>IF($S$4=2,Y26+Y17,0)</f>
        <v>327.9828310888679</v>
      </c>
      <c r="Z28" s="406">
        <f t="shared" si="65"/>
        <v>348.98069511487802</v>
      </c>
      <c r="AA28" s="406">
        <f t="shared" si="65"/>
        <v>371.31484875073943</v>
      </c>
      <c r="AB28" s="406">
        <f t="shared" si="65"/>
        <v>395.07142606415044</v>
      </c>
      <c r="AC28" s="406">
        <f t="shared" ref="AC28:AG28" si="66">IF($S$4=2,AC26+AC17,0)</f>
        <v>420.34215726819446</v>
      </c>
      <c r="AD28" s="406">
        <f t="shared" si="66"/>
        <v>447.22473265746197</v>
      </c>
      <c r="AE28" s="406">
        <f t="shared" si="66"/>
        <v>475.82319013286116</v>
      </c>
      <c r="AF28" s="406">
        <f t="shared" si="66"/>
        <v>506.24832783601005</v>
      </c>
      <c r="AG28" s="406">
        <f t="shared" si="66"/>
        <v>538.6181435116024</v>
      </c>
    </row>
    <row r="37" spans="2:34">
      <c r="B37" s="240" t="s">
        <v>33</v>
      </c>
      <c r="T37" s="632">
        <f>'Rev-Exp'!AA184</f>
        <v>2.2145362267983155</v>
      </c>
      <c r="U37" s="632">
        <f>'Rev-Exp'!AF184</f>
        <v>10.777875810485407</v>
      </c>
      <c r="V37" s="632">
        <f>'Rev-Exp'!AG184</f>
        <v>24.447825437527761</v>
      </c>
      <c r="W37" s="632">
        <f>'Rev-Exp'!AH184</f>
        <v>40.686925511083231</v>
      </c>
      <c r="X37" s="632">
        <f>'Rev-Exp'!AI184</f>
        <v>51.15413145972046</v>
      </c>
      <c r="Y37" s="632">
        <f>'Rev-Exp'!AJ184</f>
        <v>62.316737906884882</v>
      </c>
      <c r="Z37" s="632">
        <f>'Rev-Exp'!AK184</f>
        <v>62.816525120678058</v>
      </c>
      <c r="AA37" s="632">
        <f>'Rev-Exp'!AL184</f>
        <v>66.83667277513311</v>
      </c>
      <c r="AB37" s="632">
        <f>'Rev-Exp'!AM184</f>
        <v>71.112856691547094</v>
      </c>
      <c r="AC37" s="632">
        <f>'Rev-Exp'!AN184</f>
        <v>75.661588308275029</v>
      </c>
      <c r="AD37" s="632">
        <f>'Rev-Exp'!AO184</f>
        <v>80.500451878343171</v>
      </c>
      <c r="AE37" s="632">
        <f>'Rev-Exp'!AP184</f>
        <v>85.648174223915035</v>
      </c>
      <c r="AF37" s="632">
        <f>'Rev-Exp'!AQ184</f>
        <v>91.124699010481834</v>
      </c>
      <c r="AG37" s="632">
        <f>'Rev-Exp'!AR184</f>
        <v>96.951265832088453</v>
      </c>
    </row>
    <row r="38" spans="2:34">
      <c r="B38" s="240"/>
    </row>
    <row r="39" spans="2:34">
      <c r="B39" s="240" t="s">
        <v>536</v>
      </c>
      <c r="T39" s="386">
        <v>90</v>
      </c>
      <c r="U39" s="386">
        <f>6*4+40</f>
        <v>64</v>
      </c>
      <c r="V39" s="386">
        <v>55</v>
      </c>
      <c r="W39" s="632">
        <f>V39*1.025</f>
        <v>56.374999999999993</v>
      </c>
      <c r="X39" s="632">
        <f t="shared" ref="X39:AG39" si="67">W39*1.025</f>
        <v>57.78437499999999</v>
      </c>
      <c r="Y39" s="632">
        <f t="shared" si="67"/>
        <v>59.228984374999982</v>
      </c>
      <c r="Z39" s="632">
        <f t="shared" si="67"/>
        <v>60.709708984374977</v>
      </c>
      <c r="AA39" s="632">
        <f t="shared" si="67"/>
        <v>62.227451708984347</v>
      </c>
      <c r="AB39" s="632">
        <f t="shared" si="67"/>
        <v>63.783138001708949</v>
      </c>
      <c r="AC39" s="632">
        <f t="shared" si="67"/>
        <v>65.377716451751667</v>
      </c>
      <c r="AD39" s="632">
        <f t="shared" si="67"/>
        <v>67.012159363045456</v>
      </c>
      <c r="AE39" s="632">
        <f t="shared" si="67"/>
        <v>68.687463347121593</v>
      </c>
      <c r="AF39" s="632">
        <f t="shared" si="67"/>
        <v>70.404649930799621</v>
      </c>
      <c r="AG39" s="632">
        <f t="shared" si="67"/>
        <v>72.164766179069602</v>
      </c>
    </row>
    <row r="40" spans="2:34">
      <c r="B40" s="240"/>
    </row>
    <row r="41" spans="2:34">
      <c r="B41" s="240" t="s">
        <v>37</v>
      </c>
      <c r="T41" s="633">
        <f>T28-T37-T39</f>
        <v>-83.356391319605052</v>
      </c>
      <c r="U41" s="633">
        <f t="shared" ref="U41:AG41" si="68">U28-U37-U39</f>
        <v>-27.917546199679286</v>
      </c>
      <c r="V41" s="633">
        <f t="shared" si="68"/>
        <v>31.678653823962065</v>
      </c>
      <c r="W41" s="633">
        <f t="shared" si="68"/>
        <v>96.685338827408373</v>
      </c>
      <c r="X41" s="633">
        <f t="shared" si="68"/>
        <v>146.83215083888192</v>
      </c>
      <c r="Y41" s="633">
        <f t="shared" si="68"/>
        <v>206.43710880698302</v>
      </c>
      <c r="Z41" s="633">
        <f t="shared" si="68"/>
        <v>225.45446100982497</v>
      </c>
      <c r="AA41" s="633">
        <f t="shared" si="68"/>
        <v>242.25072426662194</v>
      </c>
      <c r="AB41" s="633">
        <f t="shared" si="68"/>
        <v>260.17543137089439</v>
      </c>
      <c r="AC41" s="633">
        <f t="shared" si="68"/>
        <v>279.30285250816775</v>
      </c>
      <c r="AD41" s="633">
        <f t="shared" si="68"/>
        <v>299.71212141607333</v>
      </c>
      <c r="AE41" s="633">
        <f t="shared" si="68"/>
        <v>321.48755256182454</v>
      </c>
      <c r="AF41" s="633">
        <f t="shared" si="68"/>
        <v>344.71897889472859</v>
      </c>
      <c r="AG41" s="633">
        <f t="shared" si="68"/>
        <v>369.50211150044436</v>
      </c>
    </row>
    <row r="42" spans="2:34">
      <c r="B42" s="626" t="s">
        <v>537</v>
      </c>
      <c r="T42" s="637">
        <f>T41/T28</f>
        <v>-9.4101408582642918</v>
      </c>
      <c r="U42" s="637">
        <f t="shared" ref="U42:AG42" si="69">U41/U28</f>
        <v>-0.59576077316454523</v>
      </c>
      <c r="V42" s="637">
        <f t="shared" si="69"/>
        <v>0.28506845564160782</v>
      </c>
      <c r="W42" s="637">
        <f t="shared" si="69"/>
        <v>0.49902814967488535</v>
      </c>
      <c r="X42" s="637">
        <f t="shared" si="69"/>
        <v>0.5740773878821489</v>
      </c>
      <c r="Y42" s="637">
        <f t="shared" si="69"/>
        <v>0.62941437550750423</v>
      </c>
      <c r="Z42" s="637">
        <f t="shared" si="69"/>
        <v>0.64603705639250186</v>
      </c>
      <c r="AA42" s="637">
        <f t="shared" si="69"/>
        <v>0.65241324197417927</v>
      </c>
      <c r="AB42" s="637">
        <f t="shared" si="69"/>
        <v>0.65855289501156666</v>
      </c>
      <c r="AC42" s="637">
        <f t="shared" si="69"/>
        <v>0.664465478131811</v>
      </c>
      <c r="AD42" s="637">
        <f t="shared" si="69"/>
        <v>0.67015998787712083</v>
      </c>
      <c r="AE42" s="637">
        <f t="shared" si="69"/>
        <v>0.6756449858445478</v>
      </c>
      <c r="AF42" s="637">
        <f t="shared" si="69"/>
        <v>0.68092862719814073</v>
      </c>
      <c r="AG42" s="637">
        <f t="shared" si="69"/>
        <v>0.68601868680364064</v>
      </c>
    </row>
    <row r="43" spans="2:34">
      <c r="B43" s="240"/>
    </row>
    <row r="44" spans="2:34">
      <c r="B44" s="240" t="s">
        <v>40</v>
      </c>
      <c r="T44" s="634">
        <f>Vimizim!BH83</f>
        <v>-1.7531556802243933E-4</v>
      </c>
      <c r="U44" s="634">
        <f>Vimizim!BI83</f>
        <v>0.20000000000000004</v>
      </c>
      <c r="V44" s="634">
        <f>Vimizim!BJ83</f>
        <v>0.2</v>
      </c>
      <c r="W44" s="634">
        <f>Vimizim!BK83</f>
        <v>0.19999999999999998</v>
      </c>
      <c r="X44" s="634">
        <f>Vimizim!BL83</f>
        <v>0.2</v>
      </c>
      <c r="Y44" s="634">
        <f>Vimizim!BM83</f>
        <v>0.2</v>
      </c>
      <c r="Z44" s="634">
        <f>Vimizim!BN83</f>
        <v>0.2</v>
      </c>
      <c r="AA44" s="634">
        <f>Vimizim!BO83</f>
        <v>0.2</v>
      </c>
      <c r="AB44" s="634">
        <f>Vimizim!BP83</f>
        <v>0.2</v>
      </c>
      <c r="AC44" s="634">
        <f>Vimizim!BQ83</f>
        <v>0.2</v>
      </c>
      <c r="AD44" s="634">
        <f>Vimizim!BR83</f>
        <v>0.2</v>
      </c>
      <c r="AE44" s="634">
        <f>Vimizim!BS83</f>
        <v>0.2</v>
      </c>
      <c r="AF44" s="634">
        <f>Vimizim!BT83</f>
        <v>0.20000000000000004</v>
      </c>
      <c r="AG44" s="634">
        <f>Vimizim!BU83</f>
        <v>0.2</v>
      </c>
    </row>
    <row r="45" spans="2:34">
      <c r="B45" s="240" t="s">
        <v>301</v>
      </c>
      <c r="T45" s="635">
        <v>0</v>
      </c>
      <c r="U45" s="635">
        <f>U44*U41</f>
        <v>-5.5835092399358581</v>
      </c>
      <c r="V45" s="635">
        <f t="shared" ref="V45:AG45" si="70">V44*V41</f>
        <v>6.3357307647924133</v>
      </c>
      <c r="W45" s="635">
        <f t="shared" si="70"/>
        <v>19.337067765481674</v>
      </c>
      <c r="X45" s="635">
        <f t="shared" si="70"/>
        <v>29.366430167776386</v>
      </c>
      <c r="Y45" s="635">
        <f t="shared" si="70"/>
        <v>41.287421761396608</v>
      </c>
      <c r="Z45" s="635">
        <f t="shared" si="70"/>
        <v>45.090892201964998</v>
      </c>
      <c r="AA45" s="635">
        <f t="shared" si="70"/>
        <v>48.450144853324389</v>
      </c>
      <c r="AB45" s="635">
        <f t="shared" si="70"/>
        <v>52.03508627417888</v>
      </c>
      <c r="AC45" s="635">
        <f t="shared" si="70"/>
        <v>55.860570501633553</v>
      </c>
      <c r="AD45" s="635">
        <f t="shared" si="70"/>
        <v>59.94242428321467</v>
      </c>
      <c r="AE45" s="635">
        <f t="shared" si="70"/>
        <v>64.297510512364909</v>
      </c>
      <c r="AF45" s="635">
        <f t="shared" si="70"/>
        <v>68.943795778945727</v>
      </c>
      <c r="AG45" s="635">
        <f t="shared" si="70"/>
        <v>73.900422300088877</v>
      </c>
      <c r="AH45" s="635"/>
    </row>
    <row r="46" spans="2:34">
      <c r="B46" s="240"/>
      <c r="T46" s="635"/>
      <c r="U46" s="635"/>
      <c r="V46" s="635"/>
      <c r="W46" s="635"/>
      <c r="X46" s="635"/>
      <c r="Y46" s="635"/>
      <c r="Z46" s="635"/>
      <c r="AA46" s="635"/>
      <c r="AB46" s="635"/>
      <c r="AC46" s="635"/>
      <c r="AD46" s="635"/>
      <c r="AE46" s="635"/>
      <c r="AF46" s="635"/>
      <c r="AG46" s="635"/>
      <c r="AH46" s="635"/>
    </row>
    <row r="47" spans="2:34">
      <c r="B47" s="240" t="s">
        <v>302</v>
      </c>
      <c r="T47" s="635">
        <f>T41-T45</f>
        <v>-83.356391319605052</v>
      </c>
      <c r="U47" s="635">
        <f t="shared" ref="U47:AG47" si="71">U41-U45</f>
        <v>-22.334036959743429</v>
      </c>
      <c r="V47" s="635">
        <f t="shared" si="71"/>
        <v>25.342923059169653</v>
      </c>
      <c r="W47" s="635">
        <f t="shared" si="71"/>
        <v>77.348271061926695</v>
      </c>
      <c r="X47" s="635">
        <f t="shared" si="71"/>
        <v>117.46572067110553</v>
      </c>
      <c r="Y47" s="635">
        <f t="shared" si="71"/>
        <v>165.1496870455864</v>
      </c>
      <c r="Z47" s="635">
        <f t="shared" si="71"/>
        <v>180.36356880785996</v>
      </c>
      <c r="AA47" s="635">
        <f t="shared" si="71"/>
        <v>193.80057941329756</v>
      </c>
      <c r="AB47" s="635">
        <f t="shared" si="71"/>
        <v>208.14034509671552</v>
      </c>
      <c r="AC47" s="635">
        <f t="shared" si="71"/>
        <v>223.44228200653419</v>
      </c>
      <c r="AD47" s="635">
        <f t="shared" si="71"/>
        <v>239.76969713285865</v>
      </c>
      <c r="AE47" s="635">
        <f t="shared" si="71"/>
        <v>257.19004204945963</v>
      </c>
      <c r="AF47" s="635">
        <f t="shared" si="71"/>
        <v>275.77518311578285</v>
      </c>
      <c r="AG47" s="635">
        <f t="shared" si="71"/>
        <v>295.60168920035551</v>
      </c>
      <c r="AH47" s="635">
        <f>AG47*DCF!Q42</f>
        <v>3529.8319357454211</v>
      </c>
    </row>
    <row r="48" spans="2:34">
      <c r="B48" s="240"/>
      <c r="T48" s="635">
        <f>DCF!D41</f>
        <v>1.1265250579928898</v>
      </c>
      <c r="U48" s="635">
        <f>DCF!E41</f>
        <v>1.0241136890844451</v>
      </c>
      <c r="V48" s="635">
        <f>DCF!F41</f>
        <v>0.93101244462222288</v>
      </c>
      <c r="W48" s="635">
        <f>DCF!G41</f>
        <v>0.84637494965656612</v>
      </c>
      <c r="X48" s="635">
        <f>DCF!H41</f>
        <v>0.76943177241506011</v>
      </c>
      <c r="Y48" s="635">
        <f>DCF!I41</f>
        <v>0.69948342946823638</v>
      </c>
      <c r="Z48" s="635">
        <f>DCF!J41</f>
        <v>0.63589402678930573</v>
      </c>
      <c r="AA48" s="635">
        <f>DCF!K41</f>
        <v>0.57808547889936879</v>
      </c>
      <c r="AB48" s="635">
        <f>DCF!L41</f>
        <v>0.52553225354488076</v>
      </c>
      <c r="AC48" s="635">
        <f>DCF!M41</f>
        <v>0.47775659413170962</v>
      </c>
      <c r="AD48" s="635">
        <f>DCF!N41</f>
        <v>0.4343241764833724</v>
      </c>
      <c r="AE48" s="635">
        <f>DCF!O41</f>
        <v>0.39484016043942943</v>
      </c>
      <c r="AF48" s="635">
        <f>DCF!P41</f>
        <v>0.35894560039948126</v>
      </c>
      <c r="AG48" s="635">
        <f>DCF!Q41</f>
        <v>0.32631418218134656</v>
      </c>
      <c r="AH48" s="635">
        <f>DCF!R41</f>
        <v>0.29664925652849683</v>
      </c>
    </row>
    <row r="49" spans="2:34">
      <c r="B49" s="240"/>
      <c r="T49" s="635">
        <f>T48*T47*0.75</f>
        <v>-70.427297674047068</v>
      </c>
      <c r="U49" s="635">
        <f>U48*U47</f>
        <v>-22.872592982991186</v>
      </c>
      <c r="V49" s="635">
        <f t="shared" ref="V49:AH49" si="72">V48*V47</f>
        <v>23.594576751190441</v>
      </c>
      <c r="W49" s="635">
        <f t="shared" si="72"/>
        <v>65.465639026060643</v>
      </c>
      <c r="X49" s="635">
        <f t="shared" si="72"/>
        <v>90.381857653981086</v>
      </c>
      <c r="Y49" s="635">
        <f t="shared" si="72"/>
        <v>115.51946947025274</v>
      </c>
      <c r="Z49" s="635">
        <f t="shared" si="72"/>
        <v>114.69211605532008</v>
      </c>
      <c r="AA49" s="635">
        <f t="shared" si="72"/>
        <v>112.03330076111126</v>
      </c>
      <c r="AB49" s="635">
        <f t="shared" si="72"/>
        <v>109.38446461228608</v>
      </c>
      <c r="AC49" s="635">
        <f t="shared" si="72"/>
        <v>106.75102363645875</v>
      </c>
      <c r="AD49" s="635">
        <f t="shared" si="72"/>
        <v>104.13777625289646</v>
      </c>
      <c r="AE49" s="635">
        <f t="shared" si="72"/>
        <v>101.54895746623224</v>
      </c>
      <c r="AF49" s="635">
        <f t="shared" si="72"/>
        <v>98.988288678771568</v>
      </c>
      <c r="AG49" s="635">
        <f t="shared" si="72"/>
        <v>96.459023462838587</v>
      </c>
      <c r="AH49" s="635">
        <f t="shared" si="72"/>
        <v>1047.122019409424</v>
      </c>
    </row>
    <row r="50" spans="2:34" ht="13.5" thickBot="1">
      <c r="B50" s="240"/>
    </row>
    <row r="51" spans="2:34" ht="13.5" thickBot="1">
      <c r="B51" s="629" t="s">
        <v>538</v>
      </c>
      <c r="C51" s="630" t="s">
        <v>538</v>
      </c>
      <c r="D51" s="630" t="s">
        <v>538</v>
      </c>
      <c r="E51" s="630" t="s">
        <v>538</v>
      </c>
      <c r="F51" s="630" t="s">
        <v>538</v>
      </c>
      <c r="G51" s="630" t="s">
        <v>538</v>
      </c>
      <c r="H51" s="630" t="s">
        <v>538</v>
      </c>
      <c r="I51" s="630" t="s">
        <v>538</v>
      </c>
      <c r="J51" s="630" t="s">
        <v>538</v>
      </c>
      <c r="K51" s="630" t="s">
        <v>538</v>
      </c>
      <c r="L51" s="630" t="s">
        <v>538</v>
      </c>
      <c r="M51" s="630" t="s">
        <v>538</v>
      </c>
      <c r="N51" s="630" t="s">
        <v>538</v>
      </c>
      <c r="O51" s="630" t="s">
        <v>538</v>
      </c>
      <c r="P51" s="630" t="s">
        <v>538</v>
      </c>
      <c r="Q51" s="630" t="s">
        <v>538</v>
      </c>
      <c r="R51" s="630" t="s">
        <v>538</v>
      </c>
      <c r="S51" s="636">
        <f>SUM(T49:AH49)/DCF!C27</f>
        <v>11.846771990287989</v>
      </c>
    </row>
  </sheetData>
  <phoneticPr fontId="4" type="noConversion"/>
  <pageMargins left="0" right="0" top="0" bottom="0" header="0" footer="0"/>
  <pageSetup paperSize="5" scale="92"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
  <sheetViews>
    <sheetView showGridLines="0" zoomScaleNormal="100" workbookViewId="0"/>
  </sheetViews>
  <sheetFormatPr defaultRowHeight="13.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AA68"/>
  <sheetViews>
    <sheetView zoomScale="85" zoomScaleNormal="85" workbookViewId="0">
      <selection activeCell="H40" sqref="H40"/>
    </sheetView>
  </sheetViews>
  <sheetFormatPr defaultRowHeight="12.75" outlineLevelRow="1" outlineLevelCol="1"/>
  <cols>
    <col min="1" max="1" width="2.375" style="347" bestFit="1" customWidth="1"/>
    <col min="2" max="2" width="27.625" style="344" customWidth="1"/>
    <col min="3" max="3" width="10.375" style="345" hidden="1" customWidth="1" outlineLevel="1"/>
    <col min="4" max="8" width="9.75" style="345" hidden="1" customWidth="1" outlineLevel="1"/>
    <col min="9" max="9" width="9.75" style="345" bestFit="1" customWidth="1" collapsed="1"/>
    <col min="10" max="14" width="9.75" style="345" bestFit="1" customWidth="1"/>
    <col min="15" max="16384" width="9" style="347"/>
  </cols>
  <sheetData>
    <row r="1" spans="2:20" ht="13.5" thickBot="1">
      <c r="L1" s="346"/>
      <c r="M1" s="346"/>
      <c r="N1" s="346"/>
    </row>
    <row r="2" spans="2:20" ht="14.25" thickBot="1">
      <c r="B2" s="348" t="s">
        <v>171</v>
      </c>
      <c r="I2" s="3">
        <f>DCF!C30</f>
        <v>2</v>
      </c>
      <c r="N2" s="346"/>
      <c r="O2" s="346"/>
      <c r="P2" s="346"/>
    </row>
    <row r="3" spans="2:20" ht="14.25" thickBot="1">
      <c r="B3" s="349"/>
      <c r="K3" s="350" t="s">
        <v>172</v>
      </c>
      <c r="L3" s="555">
        <f>DCF!C22</f>
        <v>112.13516010348316</v>
      </c>
      <c r="N3" s="346"/>
      <c r="O3" s="561"/>
      <c r="P3" s="346"/>
    </row>
    <row r="4" spans="2:20" ht="14.25" hidden="1" outlineLevel="1" thickBot="1">
      <c r="B4" s="348" t="s">
        <v>190</v>
      </c>
      <c r="I4" s="708">
        <f>DCF!C36</f>
        <v>2</v>
      </c>
      <c r="N4" s="346"/>
      <c r="O4" s="346"/>
      <c r="P4" s="346"/>
    </row>
    <row r="5" spans="2:20" collapsed="1">
      <c r="C5" s="351"/>
      <c r="L5" s="346"/>
      <c r="M5" s="346"/>
      <c r="N5" s="346"/>
    </row>
    <row r="6" spans="2:20" s="353" customFormat="1">
      <c r="B6" s="352"/>
      <c r="C6" s="220">
        <v>2014</v>
      </c>
      <c r="D6" s="220">
        <f>C6+1</f>
        <v>2015</v>
      </c>
      <c r="E6" s="220">
        <f>D6+1</f>
        <v>2016</v>
      </c>
      <c r="F6" s="220">
        <f t="shared" ref="F6:N6" si="0">E6+1</f>
        <v>2017</v>
      </c>
      <c r="G6" s="220">
        <f t="shared" si="0"/>
        <v>2018</v>
      </c>
      <c r="H6" s="220">
        <f t="shared" si="0"/>
        <v>2019</v>
      </c>
      <c r="I6" s="220">
        <f t="shared" si="0"/>
        <v>2020</v>
      </c>
      <c r="J6" s="220">
        <f t="shared" si="0"/>
        <v>2021</v>
      </c>
      <c r="K6" s="220">
        <f t="shared" si="0"/>
        <v>2022</v>
      </c>
      <c r="L6" s="220">
        <f t="shared" si="0"/>
        <v>2023</v>
      </c>
      <c r="M6" s="220">
        <f t="shared" si="0"/>
        <v>2024</v>
      </c>
      <c r="N6" s="220">
        <f t="shared" si="0"/>
        <v>2025</v>
      </c>
      <c r="O6" s="220">
        <f t="shared" ref="O6" si="1">N6+1</f>
        <v>2026</v>
      </c>
      <c r="P6" s="220">
        <f t="shared" ref="P6" si="2">O6+1</f>
        <v>2027</v>
      </c>
      <c r="Q6" s="220">
        <f t="shared" ref="Q6" si="3">P6+1</f>
        <v>2028</v>
      </c>
      <c r="R6" s="220">
        <f t="shared" ref="R6" si="4">Q6+1</f>
        <v>2029</v>
      </c>
      <c r="S6" s="220">
        <f t="shared" ref="S6" si="5">R6+1</f>
        <v>2030</v>
      </c>
      <c r="T6" s="353">
        <v>2031</v>
      </c>
    </row>
    <row r="7" spans="2:20" hidden="1" outlineLevel="1">
      <c r="B7" s="225" t="s">
        <v>216</v>
      </c>
      <c r="C7" s="354">
        <f>'Brineura (BMN 190)'!Q7</f>
        <v>3988076</v>
      </c>
      <c r="D7" s="354">
        <f>'Brineura (BMN 190)'!R7</f>
        <v>4008016.3799999994</v>
      </c>
      <c r="E7" s="354">
        <f>'Brineura (BMN 190)'!S7</f>
        <v>4028056.4618999991</v>
      </c>
      <c r="F7" s="354">
        <f>'Brineura (BMN 190)'!T7</f>
        <v>4048196.7442094986</v>
      </c>
      <c r="G7" s="354">
        <f>'Brineura (BMN 190)'!U7</f>
        <v>4068437.7279305458</v>
      </c>
      <c r="H7" s="354">
        <f>'Brineura (BMN 190)'!V7</f>
        <v>4088779.9165701983</v>
      </c>
      <c r="I7" s="354">
        <f>'Brineura (BMN 190)'!W7</f>
        <v>4109223.816153049</v>
      </c>
      <c r="J7" s="354">
        <f>'Brineura (BMN 190)'!X7</f>
        <v>4129769.9352338137</v>
      </c>
      <c r="K7" s="354">
        <f>'Brineura (BMN 190)'!Y7</f>
        <v>4150418.7849099822</v>
      </c>
      <c r="L7" s="354">
        <f>'Brineura (BMN 190)'!Z7</f>
        <v>4171170.8788345316</v>
      </c>
      <c r="M7" s="354">
        <f>'Brineura (BMN 190)'!AA7</f>
        <v>4192026.733228704</v>
      </c>
      <c r="N7" s="354">
        <f>'Brineura (BMN 190)'!AB7</f>
        <v>4212986.8668948468</v>
      </c>
      <c r="O7" s="354">
        <f>'Brineura (BMN 190)'!AC7</f>
        <v>4234051.8012293205</v>
      </c>
      <c r="P7" s="354">
        <f>'Brineura (BMN 190)'!AD7</f>
        <v>4255222.0602354668</v>
      </c>
      <c r="Q7" s="354">
        <f>'Brineura (BMN 190)'!AE7</f>
        <v>4276498.1705366438</v>
      </c>
      <c r="R7" s="354">
        <f>'Brineura (BMN 190)'!AF7</f>
        <v>4297880.6613893267</v>
      </c>
      <c r="S7" s="354">
        <f>'Brineura (BMN 190)'!AG7</f>
        <v>4319370.0646962728</v>
      </c>
    </row>
    <row r="8" spans="2:20" collapsed="1">
      <c r="B8" s="225"/>
      <c r="C8" s="354"/>
      <c r="D8" s="354"/>
      <c r="E8" s="354"/>
      <c r="F8" s="354"/>
      <c r="G8" s="354"/>
      <c r="H8" s="354"/>
      <c r="I8" s="354"/>
      <c r="J8" s="354"/>
      <c r="K8" s="354"/>
      <c r="L8" s="354"/>
      <c r="M8" s="354"/>
      <c r="N8" s="354"/>
      <c r="O8" s="354"/>
      <c r="P8" s="354"/>
      <c r="Q8" s="354"/>
      <c r="R8" s="354"/>
      <c r="S8" s="354"/>
    </row>
    <row r="9" spans="2:20" s="356" customFormat="1">
      <c r="B9" s="225" t="s">
        <v>217</v>
      </c>
      <c r="C9" s="355">
        <f>1/17500</f>
        <v>5.7142857142857142E-5</v>
      </c>
      <c r="D9" s="355">
        <f t="shared" ref="D9:S9" si="6">1/25000</f>
        <v>4.0000000000000003E-5</v>
      </c>
      <c r="E9" s="355">
        <f t="shared" si="6"/>
        <v>4.0000000000000003E-5</v>
      </c>
      <c r="F9" s="355">
        <f t="shared" si="6"/>
        <v>4.0000000000000003E-5</v>
      </c>
      <c r="G9" s="355">
        <f t="shared" si="6"/>
        <v>4.0000000000000003E-5</v>
      </c>
      <c r="H9" s="355">
        <f t="shared" si="6"/>
        <v>4.0000000000000003E-5</v>
      </c>
      <c r="I9" s="355">
        <f t="shared" si="6"/>
        <v>4.0000000000000003E-5</v>
      </c>
      <c r="J9" s="355">
        <f t="shared" si="6"/>
        <v>4.0000000000000003E-5</v>
      </c>
      <c r="K9" s="355">
        <f t="shared" si="6"/>
        <v>4.0000000000000003E-5</v>
      </c>
      <c r="L9" s="355">
        <f t="shared" si="6"/>
        <v>4.0000000000000003E-5</v>
      </c>
      <c r="M9" s="355">
        <f t="shared" si="6"/>
        <v>4.0000000000000003E-5</v>
      </c>
      <c r="N9" s="355">
        <f t="shared" si="6"/>
        <v>4.0000000000000003E-5</v>
      </c>
      <c r="O9" s="355">
        <f t="shared" si="6"/>
        <v>4.0000000000000003E-5</v>
      </c>
      <c r="P9" s="355">
        <f t="shared" si="6"/>
        <v>4.0000000000000003E-5</v>
      </c>
      <c r="Q9" s="355">
        <f t="shared" si="6"/>
        <v>4.0000000000000003E-5</v>
      </c>
      <c r="R9" s="355">
        <f t="shared" si="6"/>
        <v>4.0000000000000003E-5</v>
      </c>
      <c r="S9" s="355">
        <f t="shared" si="6"/>
        <v>4.0000000000000003E-5</v>
      </c>
    </row>
    <row r="10" spans="2:20" s="356" customFormat="1">
      <c r="B10" s="225" t="s">
        <v>111</v>
      </c>
      <c r="C10" s="357">
        <f>C7*C9</f>
        <v>227.89005714285713</v>
      </c>
      <c r="D10" s="357">
        <f>D7*D9</f>
        <v>160.32065519999998</v>
      </c>
      <c r="E10" s="357">
        <f t="shared" ref="E10:N10" si="7">E7*E9</f>
        <v>161.12225847599998</v>
      </c>
      <c r="F10" s="357">
        <f t="shared" si="7"/>
        <v>161.92786976837996</v>
      </c>
      <c r="G10" s="357">
        <f t="shared" si="7"/>
        <v>162.73750911722183</v>
      </c>
      <c r="H10" s="357">
        <f t="shared" si="7"/>
        <v>163.55119666280794</v>
      </c>
      <c r="I10" s="357">
        <f t="shared" si="7"/>
        <v>164.36895264612198</v>
      </c>
      <c r="J10" s="357">
        <f t="shared" si="7"/>
        <v>165.19079740935257</v>
      </c>
      <c r="K10" s="357">
        <f t="shared" si="7"/>
        <v>166.01675139639931</v>
      </c>
      <c r="L10" s="357">
        <f t="shared" si="7"/>
        <v>166.84683515338128</v>
      </c>
      <c r="M10" s="357">
        <f t="shared" si="7"/>
        <v>167.68106932914816</v>
      </c>
      <c r="N10" s="357">
        <f t="shared" si="7"/>
        <v>168.51947467579387</v>
      </c>
      <c r="O10" s="357">
        <f t="shared" ref="O10:S10" si="8">O7*O9</f>
        <v>169.36207204917284</v>
      </c>
      <c r="P10" s="357">
        <f t="shared" si="8"/>
        <v>170.20888240941869</v>
      </c>
      <c r="Q10" s="357">
        <f t="shared" si="8"/>
        <v>171.05992682146578</v>
      </c>
      <c r="R10" s="357">
        <f t="shared" si="8"/>
        <v>171.91522645557308</v>
      </c>
      <c r="S10" s="357">
        <f t="shared" si="8"/>
        <v>172.77480258785093</v>
      </c>
    </row>
    <row r="11" spans="2:20">
      <c r="B11" s="225" t="s">
        <v>218</v>
      </c>
      <c r="C11" s="586">
        <v>4000</v>
      </c>
      <c r="D11" s="354">
        <f>C11+C10-(821.5/100000)*C11</f>
        <v>4195.030057142857</v>
      </c>
      <c r="E11" s="354">
        <f>D11+D10-(821.5/100000)*D11</f>
        <v>4320.8885404234288</v>
      </c>
      <c r="F11" s="354">
        <f>E11+E10-(821.5/100000)*E11</f>
        <v>4446.51469953985</v>
      </c>
      <c r="G11" s="354">
        <f>F11+F10-(821.5/100000)*F11</f>
        <v>4571.9144510515107</v>
      </c>
      <c r="H11" s="354">
        <f>G11+G10-(821.5/100000)*G11</f>
        <v>4697.0936829533439</v>
      </c>
      <c r="I11" s="354">
        <f t="shared" ref="I11:N11" si="9">H11+H10-(821.5/100000)*H11</f>
        <v>4822.0582550106901</v>
      </c>
      <c r="J11" s="354">
        <f t="shared" si="9"/>
        <v>4946.8139990918999</v>
      </c>
      <c r="K11" s="354">
        <f t="shared" si="9"/>
        <v>5071.3667194987129</v>
      </c>
      <c r="L11" s="354">
        <f t="shared" si="9"/>
        <v>5195.7221932944303</v>
      </c>
      <c r="M11" s="354">
        <f t="shared" si="9"/>
        <v>5319.8861706298976</v>
      </c>
      <c r="N11" s="354">
        <f t="shared" si="9"/>
        <v>5443.8643750673209</v>
      </c>
      <c r="O11" s="354">
        <f t="shared" ref="O11" si="10">N11+N10-(821.5/100000)*N11</f>
        <v>5567.6625039019373</v>
      </c>
      <c r="P11" s="354">
        <f t="shared" ref="P11" si="11">O11+O10-(821.5/100000)*O11</f>
        <v>5691.2862284815556</v>
      </c>
      <c r="Q11" s="354">
        <f t="shared" ref="Q11" si="12">P11+P10-(821.5/100000)*P11</f>
        <v>5814.7411945239983</v>
      </c>
      <c r="R11" s="354">
        <f t="shared" ref="R11" si="13">Q11+Q10-(821.5/100000)*Q11</f>
        <v>5938.0330224324489</v>
      </c>
      <c r="S11" s="354">
        <f t="shared" ref="S11" si="14">R11+R10-(821.5/100000)*R11</f>
        <v>6061.16730760874</v>
      </c>
    </row>
    <row r="12" spans="2:20">
      <c r="B12" s="225"/>
      <c r="C12" s="344"/>
      <c r="D12" s="344"/>
      <c r="E12" s="344"/>
      <c r="F12" s="344"/>
      <c r="G12" s="344"/>
      <c r="H12" s="344"/>
      <c r="I12" s="344"/>
      <c r="J12" s="344"/>
      <c r="K12" s="344"/>
      <c r="L12" s="344"/>
      <c r="M12" s="344"/>
      <c r="N12" s="344"/>
      <c r="O12" s="344"/>
      <c r="P12" s="344"/>
      <c r="Q12" s="344"/>
      <c r="R12" s="344"/>
      <c r="S12" s="344"/>
    </row>
    <row r="13" spans="2:20">
      <c r="B13" s="225" t="s">
        <v>112</v>
      </c>
      <c r="C13" s="358"/>
      <c r="D13" s="358"/>
      <c r="E13" s="358"/>
      <c r="F13" s="359"/>
      <c r="G13" s="587"/>
      <c r="H13" s="360"/>
      <c r="I13" s="587">
        <v>300</v>
      </c>
      <c r="J13" s="360">
        <f>I13*(1+J14)</f>
        <v>309</v>
      </c>
      <c r="K13" s="360">
        <f t="shared" ref="K13" si="15">J13*(1+K14)</f>
        <v>318.27</v>
      </c>
      <c r="L13" s="360">
        <f t="shared" ref="L13" si="16">K13*(1+L14)</f>
        <v>327.81810000000002</v>
      </c>
      <c r="M13" s="360">
        <f t="shared" ref="M13" si="17">L13*(1+M14)</f>
        <v>337.65264300000001</v>
      </c>
      <c r="N13" s="360">
        <f t="shared" ref="N13" si="18">M13*(1+N14)</f>
        <v>347.78222228999999</v>
      </c>
      <c r="O13" s="360">
        <f t="shared" ref="O13" si="19">N13*(1+O14)</f>
        <v>358.21568895870001</v>
      </c>
      <c r="P13" s="360">
        <f t="shared" ref="P13" si="20">O13*(1+P14)</f>
        <v>368.96215962746101</v>
      </c>
      <c r="Q13" s="360">
        <f t="shared" ref="Q13" si="21">P13*(1+Q14)</f>
        <v>380.03102441628482</v>
      </c>
      <c r="R13" s="360">
        <f t="shared" ref="R13" si="22">Q13*(1+R14)</f>
        <v>391.4319551487734</v>
      </c>
      <c r="S13" s="360">
        <f t="shared" ref="S13" si="23">R13*(1+S14)</f>
        <v>403.17491380323662</v>
      </c>
    </row>
    <row r="14" spans="2:20" s="356" customFormat="1">
      <c r="B14" s="361" t="s">
        <v>107</v>
      </c>
      <c r="C14" s="362"/>
      <c r="D14" s="362"/>
      <c r="E14" s="362"/>
      <c r="F14" s="363"/>
      <c r="G14" s="364"/>
      <c r="H14" s="365"/>
      <c r="I14" s="363">
        <v>0.03</v>
      </c>
      <c r="J14" s="363">
        <f t="shared" ref="J14:N14" si="24">I14</f>
        <v>0.03</v>
      </c>
      <c r="K14" s="363">
        <f t="shared" si="24"/>
        <v>0.03</v>
      </c>
      <c r="L14" s="363">
        <f t="shared" si="24"/>
        <v>0.03</v>
      </c>
      <c r="M14" s="363">
        <f t="shared" si="24"/>
        <v>0.03</v>
      </c>
      <c r="N14" s="363">
        <f t="shared" si="24"/>
        <v>0.03</v>
      </c>
      <c r="O14" s="363">
        <f t="shared" ref="O14" si="25">N14</f>
        <v>0.03</v>
      </c>
      <c r="P14" s="363">
        <f t="shared" ref="P14" si="26">O14</f>
        <v>0.03</v>
      </c>
      <c r="Q14" s="363">
        <f t="shared" ref="Q14" si="27">P14</f>
        <v>0.03</v>
      </c>
      <c r="R14" s="363">
        <f t="shared" ref="R14" si="28">Q14</f>
        <v>0.03</v>
      </c>
      <c r="S14" s="363">
        <f t="shared" ref="S14" si="29">R14</f>
        <v>0.03</v>
      </c>
    </row>
    <row r="15" spans="2:20">
      <c r="B15" s="225"/>
      <c r="C15" s="344"/>
      <c r="D15" s="344"/>
      <c r="E15" s="344"/>
      <c r="F15" s="344"/>
      <c r="G15" s="344"/>
      <c r="H15" s="344"/>
      <c r="I15" s="344"/>
      <c r="J15" s="344"/>
      <c r="K15" s="344"/>
      <c r="L15" s="344"/>
      <c r="M15" s="344"/>
      <c r="N15" s="344"/>
      <c r="O15" s="344"/>
      <c r="P15" s="344"/>
      <c r="Q15" s="344"/>
      <c r="R15" s="344"/>
      <c r="S15" s="344"/>
    </row>
    <row r="16" spans="2:20" s="366" customFormat="1" hidden="1" outlineLevel="1">
      <c r="B16" s="367" t="s">
        <v>108</v>
      </c>
      <c r="C16" s="368"/>
      <c r="D16" s="369"/>
      <c r="E16" s="369"/>
      <c r="F16" s="368"/>
      <c r="G16" s="370"/>
      <c r="H16" s="370"/>
      <c r="I16" s="370">
        <f t="shared" ref="I16:M16" si="30">I17*2</f>
        <v>0.02</v>
      </c>
      <c r="J16" s="370">
        <f t="shared" si="30"/>
        <v>0.1</v>
      </c>
      <c r="K16" s="370">
        <f t="shared" si="30"/>
        <v>0.2</v>
      </c>
      <c r="L16" s="370">
        <f t="shared" si="30"/>
        <v>0.35000000000000003</v>
      </c>
      <c r="M16" s="370">
        <f t="shared" si="30"/>
        <v>0.52500000000000002</v>
      </c>
      <c r="N16" s="370">
        <v>0.55000000000000004</v>
      </c>
      <c r="O16" s="370">
        <v>0.6</v>
      </c>
      <c r="P16" s="370">
        <v>0.65</v>
      </c>
      <c r="Q16" s="370">
        <v>0.7</v>
      </c>
      <c r="R16" s="370">
        <v>0.75</v>
      </c>
      <c r="S16" s="370">
        <v>0.8</v>
      </c>
    </row>
    <row r="17" spans="1:19" s="366" customFormat="1" hidden="1" outlineLevel="1">
      <c r="B17" s="367" t="s">
        <v>109</v>
      </c>
      <c r="C17" s="368"/>
      <c r="D17" s="369"/>
      <c r="E17" s="369"/>
      <c r="F17" s="368"/>
      <c r="G17" s="370"/>
      <c r="H17" s="370"/>
      <c r="I17" s="370">
        <v>0.01</v>
      </c>
      <c r="J17" s="370">
        <v>0.05</v>
      </c>
      <c r="K17" s="370">
        <f>J17*2</f>
        <v>0.1</v>
      </c>
      <c r="L17" s="370">
        <f>K17*1.75</f>
        <v>0.17500000000000002</v>
      </c>
      <c r="M17" s="370">
        <f>L17*1.5</f>
        <v>0.26250000000000001</v>
      </c>
      <c r="N17" s="370">
        <f>M17*1.25</f>
        <v>0.328125</v>
      </c>
      <c r="O17" s="370">
        <f>N17*1.15</f>
        <v>0.37734374999999998</v>
      </c>
      <c r="P17" s="370">
        <f>O17*1.1</f>
        <v>0.41507812500000002</v>
      </c>
      <c r="Q17" s="370">
        <f>P17*1.05</f>
        <v>0.43583203125000003</v>
      </c>
      <c r="R17" s="370">
        <f>Q17*1.05</f>
        <v>0.45762363281250007</v>
      </c>
      <c r="S17" s="370">
        <f>R17*1.05</f>
        <v>0.4805048144531251</v>
      </c>
    </row>
    <row r="18" spans="1:19" s="366" customFormat="1" hidden="1" outlineLevel="1">
      <c r="A18" s="371"/>
      <c r="B18" s="367" t="s">
        <v>110</v>
      </c>
      <c r="C18" s="368"/>
      <c r="D18" s="369"/>
      <c r="E18" s="369"/>
      <c r="F18" s="368"/>
      <c r="G18" s="370"/>
      <c r="H18" s="370"/>
      <c r="I18" s="370">
        <v>0</v>
      </c>
      <c r="J18" s="370">
        <v>0</v>
      </c>
      <c r="K18" s="370">
        <v>0</v>
      </c>
      <c r="L18" s="370">
        <v>0</v>
      </c>
      <c r="M18" s="370">
        <v>0</v>
      </c>
      <c r="N18" s="370">
        <v>0</v>
      </c>
      <c r="O18" s="370">
        <v>0</v>
      </c>
      <c r="P18" s="370">
        <v>0</v>
      </c>
      <c r="Q18" s="370">
        <v>0</v>
      </c>
      <c r="R18" s="370">
        <v>0</v>
      </c>
      <c r="S18" s="370">
        <v>0</v>
      </c>
    </row>
    <row r="19" spans="1:19" s="366" customFormat="1" collapsed="1">
      <c r="A19" s="372"/>
      <c r="B19" s="373" t="s">
        <v>219</v>
      </c>
      <c r="C19" s="374"/>
      <c r="D19" s="374"/>
      <c r="E19" s="374"/>
      <c r="F19" s="375"/>
      <c r="G19" s="375"/>
      <c r="H19" s="375"/>
      <c r="I19" s="375">
        <f t="shared" ref="I19:S19" si="31">CHOOSE($I2,I16,I17,I18)</f>
        <v>0.01</v>
      </c>
      <c r="J19" s="375">
        <f t="shared" si="31"/>
        <v>0.05</v>
      </c>
      <c r="K19" s="375">
        <f t="shared" si="31"/>
        <v>0.1</v>
      </c>
      <c r="L19" s="375">
        <f t="shared" si="31"/>
        <v>0.17500000000000002</v>
      </c>
      <c r="M19" s="375">
        <f t="shared" si="31"/>
        <v>0.26250000000000001</v>
      </c>
      <c r="N19" s="375">
        <f t="shared" si="31"/>
        <v>0.328125</v>
      </c>
      <c r="O19" s="375">
        <f t="shared" si="31"/>
        <v>0.37734374999999998</v>
      </c>
      <c r="P19" s="375">
        <f t="shared" si="31"/>
        <v>0.41507812500000002</v>
      </c>
      <c r="Q19" s="375">
        <f t="shared" si="31"/>
        <v>0.43583203125000003</v>
      </c>
      <c r="R19" s="375">
        <f t="shared" si="31"/>
        <v>0.45762363281250007</v>
      </c>
      <c r="S19" s="375">
        <f t="shared" si="31"/>
        <v>0.4805048144531251</v>
      </c>
    </row>
    <row r="20" spans="1:19">
      <c r="B20" s="225"/>
      <c r="C20" s="344"/>
      <c r="D20" s="344"/>
      <c r="E20" s="344"/>
      <c r="F20" s="344"/>
      <c r="G20" s="344"/>
      <c r="H20" s="344"/>
      <c r="I20" s="344"/>
      <c r="J20" s="344"/>
      <c r="K20" s="344"/>
      <c r="L20" s="344"/>
      <c r="M20" s="344"/>
      <c r="N20" s="344"/>
      <c r="O20" s="344"/>
      <c r="P20" s="344"/>
      <c r="Q20" s="344"/>
      <c r="R20" s="344"/>
      <c r="S20" s="344"/>
    </row>
    <row r="21" spans="1:19" s="376" customFormat="1">
      <c r="B21" s="377" t="s">
        <v>220</v>
      </c>
      <c r="C21" s="378"/>
      <c r="D21" s="378"/>
      <c r="E21" s="378"/>
      <c r="F21" s="379"/>
      <c r="G21" s="588"/>
      <c r="H21" s="378"/>
      <c r="I21" s="588">
        <v>0.12</v>
      </c>
      <c r="J21" s="378">
        <f t="shared" ref="J21:N22" si="32">I21</f>
        <v>0.12</v>
      </c>
      <c r="K21" s="378">
        <f t="shared" si="32"/>
        <v>0.12</v>
      </c>
      <c r="L21" s="378">
        <f t="shared" si="32"/>
        <v>0.12</v>
      </c>
      <c r="M21" s="378">
        <f t="shared" si="32"/>
        <v>0.12</v>
      </c>
      <c r="N21" s="378">
        <f t="shared" si="32"/>
        <v>0.12</v>
      </c>
      <c r="O21" s="378">
        <f t="shared" ref="O21:O22" si="33">N21</f>
        <v>0.12</v>
      </c>
      <c r="P21" s="378">
        <f t="shared" ref="P21:P22" si="34">O21</f>
        <v>0.12</v>
      </c>
      <c r="Q21" s="378">
        <f t="shared" ref="Q21:Q22" si="35">P21</f>
        <v>0.12</v>
      </c>
      <c r="R21" s="378">
        <f t="shared" ref="R21:R22" si="36">Q21</f>
        <v>0.12</v>
      </c>
      <c r="S21" s="378">
        <f t="shared" ref="S21:S22" si="37">R21</f>
        <v>0.12</v>
      </c>
    </row>
    <row r="22" spans="1:19">
      <c r="B22" s="225" t="s">
        <v>113</v>
      </c>
      <c r="C22" s="344"/>
      <c r="D22" s="344"/>
      <c r="E22" s="344"/>
      <c r="F22" s="380"/>
      <c r="G22" s="589"/>
      <c r="H22" s="381"/>
      <c r="I22" s="589">
        <v>0.85</v>
      </c>
      <c r="J22" s="381">
        <f t="shared" si="32"/>
        <v>0.85</v>
      </c>
      <c r="K22" s="381">
        <f t="shared" si="32"/>
        <v>0.85</v>
      </c>
      <c r="L22" s="381">
        <f t="shared" si="32"/>
        <v>0.85</v>
      </c>
      <c r="M22" s="381">
        <f t="shared" si="32"/>
        <v>0.85</v>
      </c>
      <c r="N22" s="381">
        <f t="shared" si="32"/>
        <v>0.85</v>
      </c>
      <c r="O22" s="381">
        <f t="shared" si="33"/>
        <v>0.85</v>
      </c>
      <c r="P22" s="381">
        <f t="shared" si="34"/>
        <v>0.85</v>
      </c>
      <c r="Q22" s="381">
        <f t="shared" si="35"/>
        <v>0.85</v>
      </c>
      <c r="R22" s="381">
        <f t="shared" si="36"/>
        <v>0.85</v>
      </c>
      <c r="S22" s="381">
        <f t="shared" si="37"/>
        <v>0.85</v>
      </c>
    </row>
    <row r="23" spans="1:19">
      <c r="B23" s="382"/>
      <c r="C23" s="382"/>
      <c r="D23" s="382"/>
      <c r="E23" s="382"/>
      <c r="F23" s="382"/>
      <c r="G23" s="382"/>
      <c r="H23" s="382"/>
      <c r="I23" s="382"/>
      <c r="J23" s="382"/>
      <c r="K23" s="382"/>
      <c r="L23" s="382"/>
      <c r="M23" s="382"/>
      <c r="N23" s="382"/>
      <c r="O23" s="382"/>
      <c r="P23" s="382"/>
      <c r="Q23" s="382"/>
      <c r="R23" s="382"/>
      <c r="S23" s="382"/>
    </row>
    <row r="24" spans="1:19" s="383" customFormat="1">
      <c r="B24" s="384" t="s">
        <v>211</v>
      </c>
      <c r="C24" s="385"/>
      <c r="D24" s="385"/>
      <c r="E24" s="385"/>
      <c r="F24" s="385"/>
      <c r="G24" s="385"/>
      <c r="H24" s="385"/>
      <c r="I24" s="385">
        <f>I22*(1-I21)*I19*I13*I11/1000</f>
        <v>10.820698724243989</v>
      </c>
      <c r="J24" s="385">
        <f t="shared" ref="J24:N24" si="38">J22*(1-J21)*J19*J13*J11/1000</f>
        <v>57.16835066190545</v>
      </c>
      <c r="K24" s="385">
        <f t="shared" si="38"/>
        <v>120.73197865895118</v>
      </c>
      <c r="L24" s="385">
        <f t="shared" si="38"/>
        <v>222.95565767914997</v>
      </c>
      <c r="M24" s="385">
        <f t="shared" si="38"/>
        <v>352.69832645966784</v>
      </c>
      <c r="N24" s="385">
        <f t="shared" si="38"/>
        <v>464.68172597250253</v>
      </c>
      <c r="O24" s="385">
        <f t="shared" ref="O24:S24" si="39">O22*(1-O21)*O19*O13*O11/1000</f>
        <v>562.93242343249824</v>
      </c>
      <c r="P24" s="385">
        <f t="shared" si="39"/>
        <v>651.96412615284589</v>
      </c>
      <c r="Q24" s="385">
        <f t="shared" si="39"/>
        <v>720.39416294032264</v>
      </c>
      <c r="R24" s="385">
        <f t="shared" si="39"/>
        <v>795.62592843404752</v>
      </c>
      <c r="S24" s="385">
        <f t="shared" si="39"/>
        <v>878.31260434695912</v>
      </c>
    </row>
    <row r="25" spans="1:19">
      <c r="C25" s="344"/>
      <c r="D25" s="344"/>
      <c r="E25" s="344"/>
      <c r="F25" s="344"/>
      <c r="G25" s="344"/>
      <c r="H25" s="344"/>
      <c r="I25" s="344"/>
      <c r="J25" s="344"/>
      <c r="K25" s="344"/>
      <c r="L25" s="344"/>
      <c r="M25" s="344"/>
      <c r="N25" s="344"/>
      <c r="O25" s="344"/>
      <c r="P25" s="344"/>
      <c r="Q25" s="344"/>
      <c r="R25" s="344"/>
      <c r="S25" s="344"/>
    </row>
    <row r="26" spans="1:19">
      <c r="B26" s="225" t="s">
        <v>221</v>
      </c>
      <c r="C26" s="354">
        <f>AVERAGE(18000,24000)-C11</f>
        <v>17000</v>
      </c>
      <c r="D26" s="354">
        <f t="shared" ref="D26:N26" si="40">C26*D11/C11</f>
        <v>17828.877742857145</v>
      </c>
      <c r="E26" s="354">
        <f t="shared" si="40"/>
        <v>18363.776296799573</v>
      </c>
      <c r="F26" s="354">
        <f t="shared" si="40"/>
        <v>18897.687473044363</v>
      </c>
      <c r="G26" s="354">
        <f t="shared" si="40"/>
        <v>19430.636416968922</v>
      </c>
      <c r="H26" s="354">
        <f t="shared" si="40"/>
        <v>19962.648152551712</v>
      </c>
      <c r="I26" s="354">
        <f t="shared" si="40"/>
        <v>20493.747583795433</v>
      </c>
      <c r="J26" s="354">
        <f t="shared" si="40"/>
        <v>21023.959496140575</v>
      </c>
      <c r="K26" s="354">
        <f t="shared" si="40"/>
        <v>21553.308557869532</v>
      </c>
      <c r="L26" s="354">
        <f t="shared" si="40"/>
        <v>22081.819321501331</v>
      </c>
      <c r="M26" s="354">
        <f t="shared" si="40"/>
        <v>22609.516225177067</v>
      </c>
      <c r="N26" s="354">
        <f t="shared" si="40"/>
        <v>23136.423594036114</v>
      </c>
      <c r="O26" s="354">
        <f t="shared" ref="O26" si="41">N26*O11/N11</f>
        <v>23662.565641583235</v>
      </c>
      <c r="P26" s="354">
        <f t="shared" ref="P26" si="42">O26*P11/O11</f>
        <v>24187.96647104661</v>
      </c>
      <c r="Q26" s="354">
        <f t="shared" ref="Q26" si="43">P26*Q11/P11</f>
        <v>24712.65007672699</v>
      </c>
      <c r="R26" s="354">
        <f t="shared" ref="R26" si="44">Q26*R11/Q11</f>
        <v>25236.640345337906</v>
      </c>
      <c r="S26" s="354">
        <f t="shared" ref="S26" si="45">R26*S11/R11</f>
        <v>25759.961057337143</v>
      </c>
    </row>
    <row r="27" spans="1:19">
      <c r="B27" s="225"/>
      <c r="C27" s="344"/>
      <c r="D27" s="344"/>
      <c r="E27" s="344"/>
      <c r="F27" s="344"/>
      <c r="G27" s="344"/>
      <c r="H27" s="344"/>
      <c r="I27" s="344"/>
      <c r="J27" s="344"/>
      <c r="K27" s="344"/>
      <c r="L27" s="344"/>
      <c r="M27" s="344"/>
      <c r="N27" s="344"/>
      <c r="O27" s="344"/>
      <c r="P27" s="344"/>
      <c r="Q27" s="344"/>
      <c r="R27" s="344"/>
      <c r="S27" s="344"/>
    </row>
    <row r="28" spans="1:19">
      <c r="B28" s="225" t="s">
        <v>112</v>
      </c>
      <c r="C28" s="344"/>
      <c r="D28" s="344"/>
      <c r="E28" s="344"/>
      <c r="F28" s="344"/>
      <c r="G28" s="587"/>
      <c r="H28" s="360"/>
      <c r="I28" s="587">
        <v>150</v>
      </c>
      <c r="J28" s="360">
        <f t="shared" ref="J28" si="46">I28*(1+J29)</f>
        <v>150</v>
      </c>
      <c r="K28" s="360">
        <f t="shared" ref="K28" si="47">J28*(1+K29)</f>
        <v>150</v>
      </c>
      <c r="L28" s="360">
        <f t="shared" ref="L28" si="48">K28*(1+L29)</f>
        <v>150</v>
      </c>
      <c r="M28" s="360">
        <f t="shared" ref="M28" si="49">L28*(1+M29)</f>
        <v>150</v>
      </c>
      <c r="N28" s="360">
        <f t="shared" ref="N28" si="50">M28*(1+N29)</f>
        <v>150</v>
      </c>
      <c r="O28" s="360">
        <f t="shared" ref="O28" si="51">N28*(1+O29)</f>
        <v>150</v>
      </c>
      <c r="P28" s="360">
        <f t="shared" ref="P28" si="52">O28*(1+P29)</f>
        <v>150</v>
      </c>
      <c r="Q28" s="360">
        <f t="shared" ref="Q28" si="53">P28*(1+Q29)</f>
        <v>150</v>
      </c>
      <c r="R28" s="360">
        <f t="shared" ref="R28" si="54">Q28*(1+R29)</f>
        <v>150</v>
      </c>
      <c r="S28" s="360">
        <f t="shared" ref="S28" si="55">R28*(1+S29)</f>
        <v>150</v>
      </c>
    </row>
    <row r="29" spans="1:19">
      <c r="B29" s="361" t="s">
        <v>107</v>
      </c>
      <c r="C29" s="362"/>
      <c r="D29" s="362"/>
      <c r="E29" s="362"/>
      <c r="F29" s="344"/>
      <c r="G29" s="363"/>
      <c r="H29" s="365"/>
      <c r="I29" s="365">
        <f t="shared" ref="I29:N29" si="56">H29</f>
        <v>0</v>
      </c>
      <c r="J29" s="363">
        <f t="shared" si="56"/>
        <v>0</v>
      </c>
      <c r="K29" s="363">
        <f t="shared" si="56"/>
        <v>0</v>
      </c>
      <c r="L29" s="363">
        <f t="shared" si="56"/>
        <v>0</v>
      </c>
      <c r="M29" s="363">
        <f t="shared" si="56"/>
        <v>0</v>
      </c>
      <c r="N29" s="363">
        <f t="shared" si="56"/>
        <v>0</v>
      </c>
      <c r="O29" s="363">
        <f t="shared" ref="O29" si="57">N29</f>
        <v>0</v>
      </c>
      <c r="P29" s="363">
        <f t="shared" ref="P29" si="58">O29</f>
        <v>0</v>
      </c>
      <c r="Q29" s="363">
        <f t="shared" ref="Q29" si="59">P29</f>
        <v>0</v>
      </c>
      <c r="R29" s="363">
        <f t="shared" ref="R29" si="60">Q29</f>
        <v>0</v>
      </c>
      <c r="S29" s="363">
        <f t="shared" ref="S29" si="61">R29</f>
        <v>0</v>
      </c>
    </row>
    <row r="30" spans="1:19">
      <c r="B30" s="225"/>
      <c r="C30" s="344"/>
      <c r="D30" s="344"/>
      <c r="E30" s="344"/>
      <c r="F30" s="344"/>
      <c r="G30" s="344"/>
      <c r="H30" s="344"/>
      <c r="I30" s="344"/>
      <c r="J30" s="344"/>
      <c r="K30" s="344"/>
      <c r="L30" s="344"/>
      <c r="M30" s="344"/>
      <c r="N30" s="344"/>
      <c r="O30" s="344"/>
      <c r="P30" s="344"/>
      <c r="Q30" s="344"/>
      <c r="R30" s="344"/>
      <c r="S30" s="344"/>
    </row>
    <row r="31" spans="1:19" hidden="1" outlineLevel="1">
      <c r="B31" s="367" t="s">
        <v>108</v>
      </c>
      <c r="C31" s="368"/>
      <c r="D31" s="369"/>
      <c r="E31" s="369"/>
      <c r="F31" s="256"/>
      <c r="G31" s="370"/>
      <c r="H31" s="370"/>
      <c r="I31" s="370">
        <f t="shared" ref="I31:S31" si="62">I32*2</f>
        <v>0.01</v>
      </c>
      <c r="J31" s="370">
        <f t="shared" si="62"/>
        <v>0.05</v>
      </c>
      <c r="K31" s="370">
        <f t="shared" si="62"/>
        <v>0.1</v>
      </c>
      <c r="L31" s="370">
        <f t="shared" si="62"/>
        <v>0.17500000000000002</v>
      </c>
      <c r="M31" s="370">
        <f t="shared" si="62"/>
        <v>0.26250000000000001</v>
      </c>
      <c r="N31" s="370">
        <f t="shared" si="62"/>
        <v>0.328125</v>
      </c>
      <c r="O31" s="370">
        <f t="shared" si="62"/>
        <v>0.37734374999999998</v>
      </c>
      <c r="P31" s="370">
        <f t="shared" si="62"/>
        <v>0.41507812500000002</v>
      </c>
      <c r="Q31" s="370">
        <f t="shared" si="62"/>
        <v>0.43583203125000003</v>
      </c>
      <c r="R31" s="370">
        <f t="shared" si="62"/>
        <v>0.45762363281250007</v>
      </c>
      <c r="S31" s="370">
        <f t="shared" si="62"/>
        <v>0.4805048144531251</v>
      </c>
    </row>
    <row r="32" spans="1:19" hidden="1" outlineLevel="1">
      <c r="B32" s="367" t="s">
        <v>109</v>
      </c>
      <c r="C32" s="368"/>
      <c r="D32" s="369"/>
      <c r="E32" s="369"/>
      <c r="F32" s="256"/>
      <c r="G32" s="370"/>
      <c r="H32" s="370"/>
      <c r="I32" s="370">
        <f t="shared" ref="I32:N32" si="63">I17*0.5</f>
        <v>5.0000000000000001E-3</v>
      </c>
      <c r="J32" s="370">
        <f t="shared" si="63"/>
        <v>2.5000000000000001E-2</v>
      </c>
      <c r="K32" s="370">
        <f t="shared" si="63"/>
        <v>0.05</v>
      </c>
      <c r="L32" s="370">
        <f t="shared" si="63"/>
        <v>8.7500000000000008E-2</v>
      </c>
      <c r="M32" s="370">
        <f t="shared" si="63"/>
        <v>0.13125000000000001</v>
      </c>
      <c r="N32" s="370">
        <f t="shared" si="63"/>
        <v>0.1640625</v>
      </c>
      <c r="O32" s="370">
        <f t="shared" ref="O32:S32" si="64">O17*0.5</f>
        <v>0.18867187499999999</v>
      </c>
      <c r="P32" s="370">
        <f t="shared" si="64"/>
        <v>0.20753906250000001</v>
      </c>
      <c r="Q32" s="370">
        <f t="shared" si="64"/>
        <v>0.21791601562500001</v>
      </c>
      <c r="R32" s="370">
        <f t="shared" si="64"/>
        <v>0.22881181640625003</v>
      </c>
      <c r="S32" s="370">
        <f t="shared" si="64"/>
        <v>0.24025240722656255</v>
      </c>
    </row>
    <row r="33" spans="2:19" hidden="1" outlineLevel="1">
      <c r="B33" s="367" t="s">
        <v>110</v>
      </c>
      <c r="C33" s="368"/>
      <c r="D33" s="369"/>
      <c r="E33" s="369"/>
      <c r="F33" s="256"/>
      <c r="G33" s="370"/>
      <c r="H33" s="370"/>
      <c r="I33" s="370">
        <v>0</v>
      </c>
      <c r="J33" s="370">
        <v>0</v>
      </c>
      <c r="K33" s="370">
        <v>0</v>
      </c>
      <c r="L33" s="370">
        <v>0</v>
      </c>
      <c r="M33" s="370">
        <v>0</v>
      </c>
      <c r="N33" s="370">
        <v>0</v>
      </c>
      <c r="O33" s="370">
        <v>0</v>
      </c>
      <c r="P33" s="370">
        <v>0</v>
      </c>
      <c r="Q33" s="370">
        <v>0</v>
      </c>
      <c r="R33" s="370">
        <v>0</v>
      </c>
      <c r="S33" s="370">
        <v>0</v>
      </c>
    </row>
    <row r="34" spans="2:19" collapsed="1">
      <c r="B34" s="373" t="s">
        <v>219</v>
      </c>
      <c r="C34" s="374"/>
      <c r="D34" s="374"/>
      <c r="E34" s="374"/>
      <c r="F34" s="375"/>
      <c r="G34" s="375"/>
      <c r="H34" s="375"/>
      <c r="I34" s="375">
        <f t="shared" ref="I34:S34" si="65">CHOOSE($I2,I31,I32,I33)</f>
        <v>5.0000000000000001E-3</v>
      </c>
      <c r="J34" s="375">
        <f t="shared" si="65"/>
        <v>2.5000000000000001E-2</v>
      </c>
      <c r="K34" s="375">
        <f t="shared" si="65"/>
        <v>0.05</v>
      </c>
      <c r="L34" s="375">
        <f t="shared" si="65"/>
        <v>8.7500000000000008E-2</v>
      </c>
      <c r="M34" s="375">
        <f t="shared" si="65"/>
        <v>0.13125000000000001</v>
      </c>
      <c r="N34" s="375">
        <f t="shared" si="65"/>
        <v>0.1640625</v>
      </c>
      <c r="O34" s="375">
        <f t="shared" si="65"/>
        <v>0.18867187499999999</v>
      </c>
      <c r="P34" s="375">
        <f t="shared" si="65"/>
        <v>0.20753906250000001</v>
      </c>
      <c r="Q34" s="375">
        <f t="shared" si="65"/>
        <v>0.21791601562500001</v>
      </c>
      <c r="R34" s="375">
        <f t="shared" si="65"/>
        <v>0.22881181640625003</v>
      </c>
      <c r="S34" s="375">
        <f t="shared" si="65"/>
        <v>0.24025240722656255</v>
      </c>
    </row>
    <row r="35" spans="2:19">
      <c r="B35" s="225"/>
      <c r="C35" s="344"/>
      <c r="D35" s="344"/>
      <c r="E35" s="344"/>
      <c r="F35" s="344"/>
      <c r="G35" s="344"/>
      <c r="H35" s="344"/>
      <c r="I35" s="344"/>
      <c r="J35" s="344"/>
      <c r="K35" s="344"/>
      <c r="L35" s="344"/>
      <c r="M35" s="344"/>
      <c r="N35" s="344"/>
      <c r="O35" s="344"/>
      <c r="P35" s="344"/>
      <c r="Q35" s="344"/>
      <c r="R35" s="344"/>
      <c r="S35" s="344"/>
    </row>
    <row r="36" spans="2:19">
      <c r="B36" s="225" t="s">
        <v>113</v>
      </c>
      <c r="C36" s="344"/>
      <c r="D36" s="344"/>
      <c r="E36" s="344"/>
      <c r="F36" s="344"/>
      <c r="G36" s="380"/>
      <c r="H36" s="381"/>
      <c r="I36" s="589">
        <v>0.85</v>
      </c>
      <c r="J36" s="381">
        <f t="shared" ref="J36:N36" si="66">I36</f>
        <v>0.85</v>
      </c>
      <c r="K36" s="381">
        <f t="shared" si="66"/>
        <v>0.85</v>
      </c>
      <c r="L36" s="381">
        <f t="shared" si="66"/>
        <v>0.85</v>
      </c>
      <c r="M36" s="381">
        <f t="shared" si="66"/>
        <v>0.85</v>
      </c>
      <c r="N36" s="381">
        <f t="shared" si="66"/>
        <v>0.85</v>
      </c>
      <c r="O36" s="381">
        <f t="shared" ref="O36" si="67">N36</f>
        <v>0.85</v>
      </c>
      <c r="P36" s="381">
        <f t="shared" ref="P36" si="68">O36</f>
        <v>0.85</v>
      </c>
      <c r="Q36" s="381">
        <f t="shared" ref="Q36" si="69">P36</f>
        <v>0.85</v>
      </c>
      <c r="R36" s="381">
        <f t="shared" ref="R36" si="70">Q36</f>
        <v>0.85</v>
      </c>
      <c r="S36" s="381">
        <f t="shared" ref="S36" si="71">R36</f>
        <v>0.85</v>
      </c>
    </row>
    <row r="37" spans="2:19">
      <c r="C37" s="344"/>
      <c r="D37" s="344"/>
      <c r="E37" s="344"/>
      <c r="F37" s="344"/>
      <c r="G37" s="344"/>
      <c r="H37" s="344"/>
      <c r="I37" s="344"/>
      <c r="J37" s="344"/>
      <c r="K37" s="344"/>
      <c r="L37" s="344"/>
      <c r="M37" s="344"/>
      <c r="N37" s="344"/>
      <c r="O37" s="344"/>
      <c r="P37" s="344"/>
      <c r="Q37" s="344"/>
      <c r="R37" s="344"/>
      <c r="S37" s="344"/>
    </row>
    <row r="38" spans="2:19" s="383" customFormat="1">
      <c r="B38" s="384" t="s">
        <v>210</v>
      </c>
      <c r="C38" s="385"/>
      <c r="D38" s="385"/>
      <c r="E38" s="385"/>
      <c r="F38" s="385"/>
      <c r="G38" s="385"/>
      <c r="H38" s="385"/>
      <c r="I38" s="385">
        <f t="shared" ref="I38:N38" si="72">I36*I34*I28*I26/1000</f>
        <v>13.064764084669591</v>
      </c>
      <c r="J38" s="385">
        <f t="shared" si="72"/>
        <v>67.013870893948081</v>
      </c>
      <c r="K38" s="385">
        <f t="shared" si="72"/>
        <v>137.40234205641826</v>
      </c>
      <c r="L38" s="385">
        <f t="shared" si="72"/>
        <v>246.35029680549926</v>
      </c>
      <c r="M38" s="385">
        <f t="shared" si="72"/>
        <v>378.3561230806975</v>
      </c>
      <c r="N38" s="385">
        <f t="shared" si="72"/>
        <v>483.96698572681004</v>
      </c>
      <c r="O38" s="385">
        <f t="shared" ref="O38:S38" si="73">O36*O34*O28*O26/1000</f>
        <v>569.21872993078102</v>
      </c>
      <c r="P38" s="385">
        <f t="shared" si="73"/>
        <v>640.04335536076201</v>
      </c>
      <c r="Q38" s="385">
        <f t="shared" si="73"/>
        <v>686.62348563253749</v>
      </c>
      <c r="R38" s="385">
        <f t="shared" si="73"/>
        <v>736.24129346952247</v>
      </c>
      <c r="S38" s="385">
        <f t="shared" si="73"/>
        <v>789.08381339618893</v>
      </c>
    </row>
    <row r="39" spans="2:19">
      <c r="C39" s="344"/>
      <c r="D39" s="344"/>
      <c r="E39" s="344"/>
      <c r="F39" s="344"/>
      <c r="G39" s="344"/>
      <c r="H39" s="344"/>
      <c r="I39" s="344"/>
      <c r="J39" s="344"/>
      <c r="K39" s="344"/>
      <c r="L39" s="344"/>
      <c r="M39" s="344"/>
      <c r="N39" s="344"/>
      <c r="O39" s="344"/>
      <c r="P39" s="344"/>
      <c r="Q39" s="344"/>
      <c r="R39" s="344"/>
      <c r="S39" s="344"/>
    </row>
    <row r="40" spans="2:19" s="383" customFormat="1">
      <c r="B40" s="384" t="s">
        <v>209</v>
      </c>
      <c r="C40" s="385"/>
      <c r="D40" s="385"/>
      <c r="E40" s="385"/>
      <c r="F40" s="385"/>
      <c r="G40" s="385"/>
      <c r="H40" s="385"/>
      <c r="I40" s="385">
        <f t="shared" ref="I40:S40" si="74">IF($I$4=2,I38+I24,0)</f>
        <v>23.88546280891358</v>
      </c>
      <c r="J40" s="385">
        <f t="shared" si="74"/>
        <v>124.18222155585353</v>
      </c>
      <c r="K40" s="385">
        <f t="shared" si="74"/>
        <v>258.13432071536943</v>
      </c>
      <c r="L40" s="385">
        <f t="shared" si="74"/>
        <v>469.30595448464919</v>
      </c>
      <c r="M40" s="385">
        <f t="shared" si="74"/>
        <v>731.05444954036534</v>
      </c>
      <c r="N40" s="385">
        <f t="shared" si="74"/>
        <v>948.64871169931257</v>
      </c>
      <c r="O40" s="385">
        <f t="shared" si="74"/>
        <v>1132.1511533632793</v>
      </c>
      <c r="P40" s="385">
        <f t="shared" si="74"/>
        <v>1292.0074815136079</v>
      </c>
      <c r="Q40" s="385">
        <f t="shared" si="74"/>
        <v>1407.0176485728603</v>
      </c>
      <c r="R40" s="385">
        <f t="shared" si="74"/>
        <v>1531.86722190357</v>
      </c>
      <c r="S40" s="385">
        <f t="shared" si="74"/>
        <v>1667.396417743148</v>
      </c>
    </row>
    <row r="41" spans="2:19">
      <c r="C41" s="344"/>
      <c r="D41" s="344"/>
      <c r="E41" s="344"/>
      <c r="F41" s="344"/>
      <c r="G41" s="344"/>
      <c r="H41" s="344"/>
      <c r="I41" s="344"/>
      <c r="J41" s="344"/>
      <c r="K41" s="344"/>
      <c r="L41" s="344"/>
      <c r="M41" s="344"/>
      <c r="N41" s="344"/>
    </row>
    <row r="45" spans="2:19" ht="13.5" thickBot="1">
      <c r="B45" s="674" t="s">
        <v>535</v>
      </c>
      <c r="C45" s="686"/>
      <c r="D45" s="686"/>
      <c r="E45" s="686"/>
      <c r="F45" s="686"/>
      <c r="G45" s="686"/>
      <c r="H45" s="686"/>
      <c r="I45" s="676">
        <f>I6</f>
        <v>2020</v>
      </c>
      <c r="J45" s="676">
        <f t="shared" ref="J45:S45" si="75">J6</f>
        <v>2021</v>
      </c>
      <c r="K45" s="676">
        <f t="shared" si="75"/>
        <v>2022</v>
      </c>
      <c r="L45" s="676">
        <f t="shared" si="75"/>
        <v>2023</v>
      </c>
      <c r="M45" s="676">
        <f t="shared" si="75"/>
        <v>2024</v>
      </c>
      <c r="N45" s="676">
        <f t="shared" si="75"/>
        <v>2025</v>
      </c>
      <c r="O45" s="676">
        <f t="shared" si="75"/>
        <v>2026</v>
      </c>
      <c r="P45" s="676">
        <f t="shared" si="75"/>
        <v>2027</v>
      </c>
      <c r="Q45" s="676">
        <f t="shared" si="75"/>
        <v>2028</v>
      </c>
      <c r="R45" s="676">
        <f t="shared" si="75"/>
        <v>2029</v>
      </c>
      <c r="S45" s="676">
        <f t="shared" si="75"/>
        <v>2030</v>
      </c>
    </row>
    <row r="46" spans="2:19">
      <c r="B46" s="240"/>
    </row>
    <row r="47" spans="2:19">
      <c r="B47" s="240" t="s">
        <v>33</v>
      </c>
      <c r="I47" s="643">
        <f>'Rev-Exp'!AH178</f>
        <v>5.2548018179609866</v>
      </c>
      <c r="J47" s="643">
        <f>'Rev-Exp'!AI178</f>
        <v>26.078266526729237</v>
      </c>
      <c r="K47" s="643">
        <f>'Rev-Exp'!AJ178</f>
        <v>51.626864143073874</v>
      </c>
      <c r="L47" s="643">
        <f>'Rev-Exp'!AK178</f>
        <v>89.168131352083321</v>
      </c>
      <c r="M47" s="643">
        <f>'Rev-Exp'!AL178</f>
        <v>131.58980091726579</v>
      </c>
      <c r="N47" s="643">
        <f>'Rev-Exp'!AM178</f>
        <v>170.75676810587632</v>
      </c>
      <c r="O47" s="643">
        <f>'Rev-Exp'!AN178</f>
        <v>203.78720760539034</v>
      </c>
      <c r="P47" s="643">
        <f>'Rev-Exp'!AO178</f>
        <v>232.56134667244947</v>
      </c>
      <c r="Q47" s="643">
        <f>'Rev-Exp'!AP178</f>
        <v>253.26317674311491</v>
      </c>
      <c r="R47" s="643">
        <f>'Rev-Exp'!AQ178</f>
        <v>275.73609994264268</v>
      </c>
      <c r="S47" s="643">
        <f>'Rev-Exp'!AR178</f>
        <v>300.13135519376675</v>
      </c>
    </row>
    <row r="48" spans="2:19">
      <c r="B48" s="240" t="s">
        <v>536</v>
      </c>
      <c r="I48" s="643">
        <f>15*4+90</f>
        <v>150</v>
      </c>
      <c r="J48" s="643">
        <f>15*4+90/2</f>
        <v>105</v>
      </c>
      <c r="K48" s="643">
        <f>15*4+90/3</f>
        <v>90</v>
      </c>
      <c r="L48" s="643">
        <f>17*4+20</f>
        <v>88</v>
      </c>
      <c r="M48" s="643">
        <f>L48*1.025</f>
        <v>90.199999999999989</v>
      </c>
      <c r="N48" s="643">
        <f t="shared" ref="N48:S48" si="76">M48*1.025</f>
        <v>92.454999999999984</v>
      </c>
      <c r="O48" s="643">
        <f t="shared" si="76"/>
        <v>94.766374999999982</v>
      </c>
      <c r="P48" s="643">
        <f t="shared" si="76"/>
        <v>97.135534374999978</v>
      </c>
      <c r="Q48" s="643">
        <f t="shared" si="76"/>
        <v>99.56392273437497</v>
      </c>
      <c r="R48" s="643">
        <f t="shared" si="76"/>
        <v>102.05302080273434</v>
      </c>
      <c r="S48" s="643">
        <f t="shared" si="76"/>
        <v>104.60434632280268</v>
      </c>
    </row>
    <row r="49" spans="2:20">
      <c r="B49" s="240"/>
    </row>
    <row r="50" spans="2:20">
      <c r="B50" s="240" t="s">
        <v>37</v>
      </c>
      <c r="I50" s="644">
        <f t="shared" ref="I50:S50" si="77">I40-I47-I48</f>
        <v>-131.36933900904739</v>
      </c>
      <c r="J50" s="644">
        <f t="shared" si="77"/>
        <v>-6.8960449708757068</v>
      </c>
      <c r="K50" s="644">
        <f t="shared" si="77"/>
        <v>116.50745657229555</v>
      </c>
      <c r="L50" s="644">
        <f t="shared" si="77"/>
        <v>292.13782313256587</v>
      </c>
      <c r="M50" s="644">
        <f t="shared" si="77"/>
        <v>509.2646486230995</v>
      </c>
      <c r="N50" s="644">
        <f t="shared" si="77"/>
        <v>685.43694359343635</v>
      </c>
      <c r="O50" s="644">
        <f t="shared" si="77"/>
        <v>833.59757075788889</v>
      </c>
      <c r="P50" s="644">
        <f t="shared" si="77"/>
        <v>962.31060046615846</v>
      </c>
      <c r="Q50" s="644">
        <f t="shared" si="77"/>
        <v>1054.1905490953704</v>
      </c>
      <c r="R50" s="644">
        <f t="shared" si="77"/>
        <v>1154.078101158193</v>
      </c>
      <c r="S50" s="644">
        <f t="shared" si="77"/>
        <v>1262.6607162265786</v>
      </c>
    </row>
    <row r="51" spans="2:20">
      <c r="B51" s="626" t="s">
        <v>537</v>
      </c>
      <c r="I51" s="645">
        <f t="shared" ref="I51:S51" si="78">I50/I40</f>
        <v>-5.4999704238522424</v>
      </c>
      <c r="J51" s="645">
        <f t="shared" si="78"/>
        <v>-5.5531660526576002E-2</v>
      </c>
      <c r="K51" s="645">
        <f t="shared" si="78"/>
        <v>0.45134430884439403</v>
      </c>
      <c r="L51" s="645">
        <f t="shared" si="78"/>
        <v>0.62248906143406191</v>
      </c>
      <c r="M51" s="645">
        <f t="shared" si="78"/>
        <v>0.69661657752481865</v>
      </c>
      <c r="N51" s="645">
        <f t="shared" si="78"/>
        <v>0.72254031986784073</v>
      </c>
      <c r="O51" s="645">
        <f t="shared" si="78"/>
        <v>0.73629529792159132</v>
      </c>
      <c r="P51" s="645">
        <f t="shared" si="78"/>
        <v>0.74481813320368384</v>
      </c>
      <c r="Q51" s="645">
        <f t="shared" si="78"/>
        <v>0.74923761629048313</v>
      </c>
      <c r="R51" s="645">
        <f t="shared" si="78"/>
        <v>0.7533799827142208</v>
      </c>
      <c r="S51" s="645">
        <f t="shared" si="78"/>
        <v>0.75726486082752498</v>
      </c>
    </row>
    <row r="52" spans="2:20">
      <c r="B52" s="240"/>
      <c r="I52" s="347"/>
      <c r="J52" s="347"/>
      <c r="K52" s="347"/>
      <c r="L52" s="347"/>
      <c r="M52" s="347"/>
      <c r="N52" s="347"/>
    </row>
    <row r="53" spans="2:20">
      <c r="B53" s="240" t="s">
        <v>301</v>
      </c>
      <c r="I53" s="646">
        <f t="shared" ref="I53:S53" si="79">I54*I50</f>
        <v>-26.273867801809477</v>
      </c>
      <c r="J53" s="646">
        <f t="shared" si="79"/>
        <v>-1.3792089941751415</v>
      </c>
      <c r="K53" s="646">
        <f t="shared" si="79"/>
        <v>23.301491314459113</v>
      </c>
      <c r="L53" s="646">
        <f t="shared" si="79"/>
        <v>58.427564626513174</v>
      </c>
      <c r="M53" s="646">
        <f t="shared" si="79"/>
        <v>101.85292972461991</v>
      </c>
      <c r="N53" s="646">
        <f t="shared" si="79"/>
        <v>137.08738871868727</v>
      </c>
      <c r="O53" s="646">
        <f t="shared" si="79"/>
        <v>166.71951415157778</v>
      </c>
      <c r="P53" s="646">
        <f t="shared" si="79"/>
        <v>192.4621200932317</v>
      </c>
      <c r="Q53" s="646">
        <f t="shared" si="79"/>
        <v>210.83810981907411</v>
      </c>
      <c r="R53" s="646">
        <f t="shared" si="79"/>
        <v>230.81562023163866</v>
      </c>
      <c r="S53" s="646">
        <f t="shared" si="79"/>
        <v>252.53214324531575</v>
      </c>
    </row>
    <row r="54" spans="2:20" s="356" customFormat="1">
      <c r="B54" s="227" t="s">
        <v>40</v>
      </c>
      <c r="C54" s="691"/>
      <c r="D54" s="691"/>
      <c r="E54" s="691"/>
      <c r="F54" s="691"/>
      <c r="G54" s="691"/>
      <c r="H54" s="691"/>
      <c r="I54" s="673">
        <f>Vimizim!BK83</f>
        <v>0.19999999999999998</v>
      </c>
      <c r="J54" s="673">
        <f>Vimizim!BL83</f>
        <v>0.2</v>
      </c>
      <c r="K54" s="673">
        <f>Vimizim!BM83</f>
        <v>0.2</v>
      </c>
      <c r="L54" s="673">
        <f>Vimizim!BN83</f>
        <v>0.2</v>
      </c>
      <c r="M54" s="673">
        <f>Vimizim!BO83</f>
        <v>0.2</v>
      </c>
      <c r="N54" s="673">
        <f>Vimizim!BP83</f>
        <v>0.2</v>
      </c>
      <c r="O54" s="673">
        <f>Vimizim!BQ83</f>
        <v>0.2</v>
      </c>
      <c r="P54" s="673">
        <f>Vimizim!BR83</f>
        <v>0.2</v>
      </c>
      <c r="Q54" s="673">
        <f>Vimizim!BS83</f>
        <v>0.2</v>
      </c>
      <c r="R54" s="673">
        <f>Vimizim!BT83</f>
        <v>0.20000000000000004</v>
      </c>
      <c r="S54" s="673">
        <f>Vimizim!BU83</f>
        <v>0.2</v>
      </c>
    </row>
    <row r="55" spans="2:20">
      <c r="B55" s="240"/>
      <c r="I55" s="347"/>
      <c r="J55" s="347"/>
      <c r="K55" s="347"/>
      <c r="L55" s="347"/>
      <c r="M55" s="347"/>
      <c r="N55" s="347"/>
    </row>
    <row r="56" spans="2:20">
      <c r="B56" s="683" t="s">
        <v>85</v>
      </c>
      <c r="C56" s="684"/>
      <c r="D56" s="684"/>
      <c r="E56" s="684"/>
      <c r="F56" s="684"/>
      <c r="G56" s="684"/>
      <c r="H56" s="684"/>
      <c r="I56" s="685">
        <f t="shared" ref="I56:S56" si="80">I50-I53</f>
        <v>-105.09547120723792</v>
      </c>
      <c r="J56" s="685">
        <f t="shared" si="80"/>
        <v>-5.5168359767005652</v>
      </c>
      <c r="K56" s="685">
        <f t="shared" si="80"/>
        <v>93.205965257836439</v>
      </c>
      <c r="L56" s="685">
        <f t="shared" si="80"/>
        <v>233.7102585060527</v>
      </c>
      <c r="M56" s="685">
        <f t="shared" si="80"/>
        <v>407.41171889847959</v>
      </c>
      <c r="N56" s="685">
        <f t="shared" si="80"/>
        <v>548.34955487474906</v>
      </c>
      <c r="O56" s="685">
        <f t="shared" si="80"/>
        <v>666.87805660631113</v>
      </c>
      <c r="P56" s="685">
        <f t="shared" si="80"/>
        <v>769.84848037292682</v>
      </c>
      <c r="Q56" s="685">
        <f t="shared" si="80"/>
        <v>843.35243927629631</v>
      </c>
      <c r="R56" s="685">
        <f t="shared" si="80"/>
        <v>923.26248092655442</v>
      </c>
      <c r="S56" s="685">
        <f t="shared" si="80"/>
        <v>1010.1285729812629</v>
      </c>
      <c r="T56" s="347">
        <f>S56*(1+DCF!C25)/(I67-DCF!C25)</f>
        <v>9672.4575620375654</v>
      </c>
    </row>
    <row r="57" spans="2:20">
      <c r="B57" s="240"/>
    </row>
    <row r="58" spans="2:20" ht="13.5" thickBot="1">
      <c r="B58" s="240"/>
    </row>
    <row r="59" spans="2:20">
      <c r="B59" s="679" t="s">
        <v>556</v>
      </c>
      <c r="C59" s="687"/>
      <c r="D59" s="687"/>
      <c r="E59" s="687"/>
      <c r="F59" s="687"/>
      <c r="G59" s="687"/>
      <c r="H59" s="687"/>
      <c r="I59" s="690">
        <f>SUM(I66:T66,Y67:AA67)/DCF!C27</f>
        <v>22.166547229851538</v>
      </c>
    </row>
    <row r="60" spans="2:20" ht="13.5" thickBot="1">
      <c r="B60" s="677" t="s">
        <v>557</v>
      </c>
      <c r="C60" s="688"/>
      <c r="D60" s="688"/>
      <c r="E60" s="688"/>
      <c r="F60" s="688"/>
      <c r="G60" s="688"/>
      <c r="H60" s="688"/>
      <c r="I60" s="689">
        <f>I68</f>
        <v>0.79363385935641362</v>
      </c>
    </row>
    <row r="65" spans="2:27" s="205" customFormat="1">
      <c r="I65" s="640">
        <f>1/(1+$I$67)^(I6-DCF!$C$26)</f>
        <v>0.81882327311381908</v>
      </c>
      <c r="J65" s="640">
        <f>1/(1+$I$67)^(J6-DCF!$C$26)</f>
        <v>0.73044002953953524</v>
      </c>
      <c r="K65" s="640">
        <f>1/(1+$I$67)^(K6-DCF!$C$26)</f>
        <v>0.65159681493268096</v>
      </c>
      <c r="L65" s="640">
        <f>1/(1+$I$67)^(L6-DCF!$C$26)</f>
        <v>0.58126388486412206</v>
      </c>
      <c r="M65" s="640">
        <f>1/(1+$I$67)^(M6-DCF!$C$26)</f>
        <v>0.51852264483864596</v>
      </c>
      <c r="N65" s="640">
        <f>1/(1+$I$67)^(N6-DCF!$C$26)</f>
        <v>0.46255365284446559</v>
      </c>
      <c r="O65" s="640">
        <f>1/(1+$I$67)^(O6-DCF!$C$26)</f>
        <v>0.41262591689961253</v>
      </c>
      <c r="P65" s="640">
        <f>1/(1+$I$67)^(P6-DCF!$C$26)</f>
        <v>0.36808734781410574</v>
      </c>
      <c r="Q65" s="640">
        <f>1/(1+$I$67)^(Q6-DCF!$C$26)</f>
        <v>0.3283562424746706</v>
      </c>
      <c r="R65" s="640">
        <f>1/(1+$I$67)^(R6-DCF!$C$26)</f>
        <v>0.29291368641808258</v>
      </c>
      <c r="S65" s="640">
        <f>1/(1+$I$67)^(S6-DCF!$C$26)</f>
        <v>0.2612967764657293</v>
      </c>
      <c r="T65" s="640">
        <f>1/(1+$I$67)^(T6-DCF!$C$26)</f>
        <v>0.23309257490252394</v>
      </c>
      <c r="U65" s="640">
        <f>T65*(1+DCF!C25)/(I67-DCF!C25)</f>
        <v>2.2319713540194508</v>
      </c>
      <c r="V65" s="640"/>
      <c r="W65" s="640"/>
      <c r="X65" s="640"/>
      <c r="Y65" s="205">
        <v>2017</v>
      </c>
      <c r="Z65" s="205">
        <v>2018</v>
      </c>
      <c r="AA65" s="205">
        <v>2019</v>
      </c>
    </row>
    <row r="66" spans="2:27" s="205" customFormat="1">
      <c r="I66" s="640">
        <f>I65*I56</f>
        <v>-86.054617723349679</v>
      </c>
      <c r="J66" s="640">
        <f t="shared" ref="J66:T66" si="81">J65*J56</f>
        <v>-4.0297178337859316</v>
      </c>
      <c r="K66" s="640">
        <f t="shared" si="81"/>
        <v>60.73271009473234</v>
      </c>
      <c r="L66" s="640">
        <f t="shared" si="81"/>
        <v>135.84733279182643</v>
      </c>
      <c r="M66" s="640">
        <f t="shared" si="81"/>
        <v>211.25220202149859</v>
      </c>
      <c r="N66" s="640">
        <f t="shared" si="81"/>
        <v>253.6410896429519</v>
      </c>
      <c r="O66" s="640">
        <f t="shared" si="81"/>
        <v>275.17116956741086</v>
      </c>
      <c r="P66" s="640">
        <f t="shared" si="81"/>
        <v>283.37148535919027</v>
      </c>
      <c r="Q66" s="640">
        <f t="shared" si="81"/>
        <v>276.92003804261248</v>
      </c>
      <c r="R66" s="640">
        <f t="shared" si="81"/>
        <v>270.43621681970171</v>
      </c>
      <c r="S66" s="640">
        <f t="shared" si="81"/>
        <v>263.94333993593119</v>
      </c>
      <c r="T66" s="640">
        <f t="shared" si="81"/>
        <v>2254.5780387707255</v>
      </c>
      <c r="U66" s="640"/>
      <c r="V66" s="640"/>
      <c r="W66" s="640"/>
      <c r="Y66" s="205">
        <v>-100</v>
      </c>
      <c r="Z66" s="205">
        <v>-100</v>
      </c>
      <c r="AA66" s="205">
        <v>-100</v>
      </c>
    </row>
    <row r="67" spans="2:27" s="205" customFormat="1">
      <c r="B67" s="205" t="s">
        <v>547</v>
      </c>
      <c r="I67" s="638">
        <v>0.121</v>
      </c>
      <c r="Y67" s="205">
        <f>Y66*Vimizim!BH87*0.75</f>
        <v>-84.489379349466745</v>
      </c>
      <c r="Z67" s="205">
        <f>Z66*Vimizim!BI87</f>
        <v>-102.41136890844452</v>
      </c>
      <c r="AA67" s="205">
        <f>AA66*Vimizim!BJ87</f>
        <v>-93.101244462222283</v>
      </c>
    </row>
    <row r="68" spans="2:27" s="205" customFormat="1">
      <c r="B68" s="205" t="s">
        <v>548</v>
      </c>
      <c r="I68" s="566">
        <f>SUM(I65:T65,U65)/SUM(PKU!L195:V195,PKU!X195)</f>
        <v>0.79363385935641362</v>
      </c>
    </row>
  </sheetData>
  <pageMargins left="0" right="0" top="0" bottom="0" header="0" footer="0"/>
  <pageSetup paperSize="5" scale="77" orientation="landscape"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B2:AB111"/>
  <sheetViews>
    <sheetView topLeftCell="A60" zoomScale="85" zoomScaleNormal="85" workbookViewId="0"/>
  </sheetViews>
  <sheetFormatPr defaultRowHeight="12.75" outlineLevelRow="1" outlineLevelCol="1"/>
  <cols>
    <col min="1" max="1" width="3.875" style="205" customWidth="1"/>
    <col min="2" max="2" width="50" style="205" customWidth="1"/>
    <col min="3" max="6" width="9.125" style="205" hidden="1" customWidth="1" outlineLevel="1"/>
    <col min="7" max="7" width="8" style="205" hidden="1" customWidth="1" outlineLevel="1"/>
    <col min="8" max="8" width="9" style="205" hidden="1" customWidth="1" outlineLevel="1"/>
    <col min="9" max="9" width="9" style="205" customWidth="1" collapsed="1"/>
    <col min="10" max="17" width="9" style="205"/>
    <col min="18" max="18" width="9" style="205" customWidth="1"/>
    <col min="19" max="16384" width="9" style="205"/>
  </cols>
  <sheetData>
    <row r="2" spans="2:21" ht="13.5" thickBot="1">
      <c r="B2" s="300"/>
      <c r="C2" s="300"/>
      <c r="D2" s="300"/>
      <c r="E2" s="300"/>
      <c r="F2" s="300"/>
    </row>
    <row r="3" spans="2:21" ht="13.5" thickBot="1">
      <c r="B3" s="301" t="s">
        <v>171</v>
      </c>
      <c r="I3" s="3">
        <f>DCF!C30</f>
        <v>2</v>
      </c>
      <c r="L3" s="590" t="s">
        <v>172</v>
      </c>
      <c r="M3" s="302">
        <f>DCF!C22</f>
        <v>112.13516010348316</v>
      </c>
    </row>
    <row r="4" spans="2:21">
      <c r="B4" s="303"/>
      <c r="I4" s="304"/>
      <c r="L4" s="303"/>
      <c r="M4" s="305"/>
    </row>
    <row r="5" spans="2:21" ht="13.5" hidden="1" outlineLevel="1" thickBot="1">
      <c r="B5" s="301" t="s">
        <v>190</v>
      </c>
      <c r="I5" s="708">
        <f>DCF!C36</f>
        <v>2</v>
      </c>
      <c r="L5" s="303"/>
      <c r="M5" s="305"/>
    </row>
    <row r="6" spans="2:21" collapsed="1"/>
    <row r="7" spans="2:21" hidden="1" outlineLevel="1">
      <c r="B7" s="306" t="s">
        <v>604</v>
      </c>
      <c r="C7" s="220">
        <v>2013</v>
      </c>
      <c r="D7" s="220">
        <v>2014</v>
      </c>
      <c r="E7" s="220">
        <v>2015</v>
      </c>
      <c r="F7" s="220">
        <v>2016</v>
      </c>
      <c r="G7" s="220">
        <v>2017</v>
      </c>
      <c r="H7" s="220">
        <v>2018</v>
      </c>
      <c r="I7" s="220">
        <v>2019</v>
      </c>
      <c r="J7" s="220">
        <v>2020</v>
      </c>
      <c r="K7" s="220">
        <v>2021</v>
      </c>
      <c r="L7" s="220">
        <v>2022</v>
      </c>
      <c r="M7" s="220">
        <v>2023</v>
      </c>
      <c r="N7" s="220">
        <v>2024</v>
      </c>
      <c r="O7" s="220">
        <v>2025</v>
      </c>
      <c r="P7" s="220">
        <v>2026</v>
      </c>
      <c r="Q7" s="220">
        <v>2027</v>
      </c>
      <c r="R7" s="220">
        <v>2028</v>
      </c>
      <c r="S7" s="220">
        <v>2029</v>
      </c>
      <c r="T7" s="220">
        <v>2030</v>
      </c>
      <c r="U7" s="205">
        <v>2031</v>
      </c>
    </row>
    <row r="8" spans="2:21" hidden="1" outlineLevel="1">
      <c r="B8" s="342" t="s">
        <v>108</v>
      </c>
      <c r="C8" s="307"/>
      <c r="D8" s="307"/>
      <c r="E8" s="307"/>
      <c r="F8" s="308"/>
      <c r="G8" s="308"/>
      <c r="H8" s="309"/>
      <c r="I8" s="310">
        <v>0.05</v>
      </c>
      <c r="J8" s="310">
        <f>J9*1.2</f>
        <v>0.06</v>
      </c>
      <c r="K8" s="310">
        <f>K9*1.3</f>
        <v>8.1250000000000003E-2</v>
      </c>
      <c r="L8" s="310">
        <f>L9*1.4</f>
        <v>0.13124999999999998</v>
      </c>
      <c r="M8" s="310">
        <f>M9*1.35</f>
        <v>0.18984375000000001</v>
      </c>
      <c r="N8" s="310">
        <f>N9*1.375</f>
        <v>0.2900390625</v>
      </c>
      <c r="O8" s="310">
        <f>O9*1.4</f>
        <v>0.369140625</v>
      </c>
      <c r="P8" s="310">
        <f>P9*1.41</f>
        <v>0.42754394531249995</v>
      </c>
      <c r="Q8" s="310">
        <f>Q9*1.42</f>
        <v>0.47363378906249998</v>
      </c>
      <c r="R8" s="310">
        <f>R9*1.43</f>
        <v>0.50081770019531258</v>
      </c>
      <c r="S8" s="310">
        <f>S9*1.43</f>
        <v>0.50081770019531258</v>
      </c>
      <c r="T8" s="310">
        <f>T9*1.43</f>
        <v>0.50081770019531258</v>
      </c>
    </row>
    <row r="9" spans="2:21" hidden="1" outlineLevel="1">
      <c r="B9" s="342" t="s">
        <v>109</v>
      </c>
      <c r="C9" s="307"/>
      <c r="D9" s="307"/>
      <c r="E9" s="307"/>
      <c r="F9" s="308"/>
      <c r="G9" s="308"/>
      <c r="H9" s="309"/>
      <c r="I9" s="310">
        <v>0</v>
      </c>
      <c r="J9" s="310">
        <v>0.05</v>
      </c>
      <c r="K9" s="310">
        <f>J9*1.25</f>
        <v>6.25E-2</v>
      </c>
      <c r="L9" s="310">
        <f>K9*1.5</f>
        <v>9.375E-2</v>
      </c>
      <c r="M9" s="310">
        <f>L9*1.5</f>
        <v>0.140625</v>
      </c>
      <c r="N9" s="310">
        <f>M9*1.5</f>
        <v>0.2109375</v>
      </c>
      <c r="O9" s="310">
        <f>N9*1.25</f>
        <v>0.263671875</v>
      </c>
      <c r="P9" s="310">
        <f>O9*1.15</f>
        <v>0.30322265625</v>
      </c>
      <c r="Q9" s="310">
        <f>P9*1.1</f>
        <v>0.33354492187500001</v>
      </c>
      <c r="R9" s="310">
        <f>Q9*1.05</f>
        <v>0.35022216796875005</v>
      </c>
      <c r="S9" s="310">
        <f>R9</f>
        <v>0.35022216796875005</v>
      </c>
      <c r="T9" s="310">
        <f>S9</f>
        <v>0.35022216796875005</v>
      </c>
    </row>
    <row r="10" spans="2:21" hidden="1" outlineLevel="1">
      <c r="B10" s="343" t="s">
        <v>110</v>
      </c>
      <c r="C10" s="307"/>
      <c r="D10" s="307"/>
      <c r="E10" s="307"/>
      <c r="F10" s="308"/>
      <c r="G10" s="308"/>
      <c r="H10" s="309"/>
      <c r="I10" s="310">
        <v>0</v>
      </c>
      <c r="J10" s="310">
        <v>0</v>
      </c>
      <c r="K10" s="310">
        <v>0</v>
      </c>
      <c r="L10" s="310">
        <v>0</v>
      </c>
      <c r="M10" s="310">
        <v>0</v>
      </c>
      <c r="N10" s="310">
        <v>0</v>
      </c>
      <c r="O10" s="310">
        <v>0</v>
      </c>
      <c r="P10" s="310">
        <v>0</v>
      </c>
      <c r="Q10" s="310">
        <v>0</v>
      </c>
      <c r="R10" s="310">
        <v>0</v>
      </c>
      <c r="S10" s="310">
        <v>0</v>
      </c>
      <c r="T10" s="310">
        <v>0</v>
      </c>
    </row>
    <row r="11" spans="2:21" hidden="1" outlineLevel="1">
      <c r="B11" s="303"/>
      <c r="C11" s="311"/>
      <c r="D11" s="311"/>
      <c r="E11" s="311"/>
      <c r="F11" s="312"/>
      <c r="G11" s="312"/>
      <c r="H11" s="313"/>
      <c r="I11" s="313"/>
      <c r="J11" s="314"/>
      <c r="K11" s="314"/>
      <c r="L11" s="314"/>
      <c r="M11" s="314"/>
      <c r="N11" s="314"/>
      <c r="O11" s="314"/>
      <c r="P11" s="314"/>
      <c r="Q11" s="314"/>
      <c r="R11" s="314"/>
      <c r="S11" s="314"/>
      <c r="T11" s="314"/>
    </row>
    <row r="12" spans="2:21" hidden="1" outlineLevel="1">
      <c r="B12" s="306" t="s">
        <v>605</v>
      </c>
      <c r="C12" s="220">
        <v>2013</v>
      </c>
      <c r="D12" s="220">
        <v>2014</v>
      </c>
      <c r="E12" s="220">
        <v>2015</v>
      </c>
      <c r="F12" s="220">
        <v>2016</v>
      </c>
      <c r="G12" s="220">
        <v>2017</v>
      </c>
      <c r="H12" s="220">
        <v>2018</v>
      </c>
      <c r="I12" s="220">
        <v>2019</v>
      </c>
      <c r="J12" s="220">
        <v>2020</v>
      </c>
      <c r="K12" s="220">
        <v>2021</v>
      </c>
      <c r="L12" s="220">
        <v>2022</v>
      </c>
      <c r="M12" s="220">
        <v>2023</v>
      </c>
      <c r="N12" s="220">
        <v>2024</v>
      </c>
      <c r="O12" s="220">
        <v>2025</v>
      </c>
      <c r="P12" s="220">
        <v>2026</v>
      </c>
      <c r="Q12" s="220">
        <v>2027</v>
      </c>
      <c r="R12" s="220">
        <v>2028</v>
      </c>
      <c r="S12" s="220">
        <v>2029</v>
      </c>
      <c r="T12" s="220">
        <v>2030</v>
      </c>
    </row>
    <row r="13" spans="2:21" hidden="1" outlineLevel="1">
      <c r="B13" s="342" t="s">
        <v>108</v>
      </c>
      <c r="C13" s="307"/>
      <c r="D13" s="307"/>
      <c r="E13" s="307"/>
      <c r="F13" s="308"/>
      <c r="G13" s="308"/>
      <c r="H13" s="309"/>
      <c r="I13" s="310">
        <v>0.1</v>
      </c>
      <c r="J13" s="310">
        <v>0.1</v>
      </c>
      <c r="K13" s="310">
        <v>0.1</v>
      </c>
      <c r="L13" s="310">
        <v>0.1</v>
      </c>
      <c r="M13" s="310">
        <v>0.1</v>
      </c>
      <c r="N13" s="310">
        <v>0.1</v>
      </c>
      <c r="O13" s="310">
        <v>0.1</v>
      </c>
      <c r="P13" s="310">
        <v>0.1</v>
      </c>
      <c r="Q13" s="310">
        <v>0.1</v>
      </c>
      <c r="R13" s="310">
        <v>0.1</v>
      </c>
      <c r="S13" s="310">
        <v>0.1</v>
      </c>
      <c r="T13" s="310">
        <v>0.1</v>
      </c>
    </row>
    <row r="14" spans="2:21" hidden="1" outlineLevel="1">
      <c r="B14" s="342" t="s">
        <v>109</v>
      </c>
      <c r="C14" s="307"/>
      <c r="D14" s="307"/>
      <c r="E14" s="307"/>
      <c r="F14" s="308"/>
      <c r="G14" s="308"/>
      <c r="H14" s="309"/>
      <c r="I14" s="310">
        <v>0</v>
      </c>
      <c r="J14" s="310">
        <v>0</v>
      </c>
      <c r="K14" s="310">
        <v>0</v>
      </c>
      <c r="L14" s="310">
        <v>0</v>
      </c>
      <c r="M14" s="310">
        <v>0</v>
      </c>
      <c r="N14" s="310">
        <v>0</v>
      </c>
      <c r="O14" s="310">
        <v>0</v>
      </c>
      <c r="P14" s="310">
        <v>0</v>
      </c>
      <c r="Q14" s="310">
        <v>0</v>
      </c>
      <c r="R14" s="310">
        <v>0</v>
      </c>
      <c r="S14" s="310">
        <v>0</v>
      </c>
      <c r="T14" s="310">
        <v>0</v>
      </c>
    </row>
    <row r="15" spans="2:21" hidden="1" outlineLevel="1">
      <c r="B15" s="343" t="s">
        <v>110</v>
      </c>
      <c r="C15" s="307"/>
      <c r="D15" s="307"/>
      <c r="E15" s="307"/>
      <c r="F15" s="308"/>
      <c r="G15" s="308"/>
      <c r="H15" s="309"/>
      <c r="I15" s="310">
        <v>0</v>
      </c>
      <c r="J15" s="310">
        <v>0</v>
      </c>
      <c r="K15" s="310">
        <v>0</v>
      </c>
      <c r="L15" s="310">
        <v>0</v>
      </c>
      <c r="M15" s="310">
        <v>0</v>
      </c>
      <c r="N15" s="310">
        <v>0</v>
      </c>
      <c r="O15" s="310">
        <v>0</v>
      </c>
      <c r="P15" s="310">
        <v>0</v>
      </c>
      <c r="Q15" s="310">
        <v>0</v>
      </c>
      <c r="R15" s="310">
        <v>0</v>
      </c>
      <c r="S15" s="310">
        <v>0</v>
      </c>
      <c r="T15" s="310">
        <v>0</v>
      </c>
    </row>
    <row r="16" spans="2:21" hidden="1" outlineLevel="1">
      <c r="B16" s="303"/>
      <c r="C16" s="311"/>
      <c r="D16" s="311"/>
      <c r="E16" s="311"/>
      <c r="F16" s="312"/>
      <c r="G16" s="312"/>
      <c r="H16" s="313"/>
      <c r="I16" s="313"/>
      <c r="J16" s="314"/>
      <c r="K16" s="314"/>
      <c r="L16" s="314"/>
      <c r="M16" s="314"/>
      <c r="N16" s="314"/>
      <c r="O16" s="314"/>
      <c r="P16" s="314"/>
      <c r="Q16" s="314"/>
      <c r="R16" s="314"/>
      <c r="S16" s="314"/>
      <c r="T16" s="314"/>
    </row>
    <row r="17" spans="2:20" hidden="1" outlineLevel="1">
      <c r="B17" s="306" t="s">
        <v>606</v>
      </c>
      <c r="C17" s="220">
        <v>2013</v>
      </c>
      <c r="D17" s="220">
        <v>2014</v>
      </c>
      <c r="E17" s="220">
        <v>2015</v>
      </c>
      <c r="F17" s="220">
        <v>2016</v>
      </c>
      <c r="G17" s="220">
        <v>2017</v>
      </c>
      <c r="H17" s="220">
        <v>2018</v>
      </c>
      <c r="I17" s="220">
        <v>2019</v>
      </c>
      <c r="J17" s="220">
        <v>2020</v>
      </c>
      <c r="K17" s="220">
        <v>2021</v>
      </c>
      <c r="L17" s="220">
        <v>2022</v>
      </c>
      <c r="M17" s="220">
        <v>2023</v>
      </c>
      <c r="N17" s="220">
        <v>2024</v>
      </c>
      <c r="O17" s="220">
        <v>2025</v>
      </c>
      <c r="P17" s="220">
        <v>2026</v>
      </c>
      <c r="Q17" s="220">
        <v>2027</v>
      </c>
      <c r="R17" s="220">
        <v>2028</v>
      </c>
      <c r="S17" s="220">
        <v>2029</v>
      </c>
      <c r="T17" s="220">
        <v>2030</v>
      </c>
    </row>
    <row r="18" spans="2:20" hidden="1" outlineLevel="1">
      <c r="B18" s="342" t="s">
        <v>108</v>
      </c>
      <c r="C18" s="307"/>
      <c r="D18" s="307"/>
      <c r="E18" s="307"/>
      <c r="F18" s="308"/>
      <c r="G18" s="308"/>
      <c r="H18" s="309"/>
      <c r="I18" s="310">
        <f>I8*0.5</f>
        <v>2.5000000000000001E-2</v>
      </c>
      <c r="J18" s="310">
        <f t="shared" ref="J18:R18" si="0">J8*0.5</f>
        <v>0.03</v>
      </c>
      <c r="K18" s="310">
        <f t="shared" si="0"/>
        <v>4.0625000000000001E-2</v>
      </c>
      <c r="L18" s="310">
        <f t="shared" si="0"/>
        <v>6.5624999999999989E-2</v>
      </c>
      <c r="M18" s="310">
        <f t="shared" si="0"/>
        <v>9.4921875000000003E-2</v>
      </c>
      <c r="N18" s="310">
        <f t="shared" si="0"/>
        <v>0.14501953125</v>
      </c>
      <c r="O18" s="310">
        <f t="shared" si="0"/>
        <v>0.1845703125</v>
      </c>
      <c r="P18" s="310">
        <f t="shared" si="0"/>
        <v>0.21377197265624998</v>
      </c>
      <c r="Q18" s="310">
        <f t="shared" si="0"/>
        <v>0.23681689453124999</v>
      </c>
      <c r="R18" s="310">
        <f t="shared" si="0"/>
        <v>0.25040885009765629</v>
      </c>
      <c r="S18" s="310">
        <f t="shared" ref="S18:T18" si="1">S8*0.5</f>
        <v>0.25040885009765629</v>
      </c>
      <c r="T18" s="310">
        <f t="shared" si="1"/>
        <v>0.25040885009765629</v>
      </c>
    </row>
    <row r="19" spans="2:20" hidden="1" outlineLevel="1">
      <c r="B19" s="342" t="s">
        <v>109</v>
      </c>
      <c r="C19" s="307"/>
      <c r="D19" s="307"/>
      <c r="E19" s="307"/>
      <c r="F19" s="308"/>
      <c r="G19" s="308"/>
      <c r="H19" s="309"/>
      <c r="I19" s="310">
        <f t="shared" ref="I19" si="2">I9*0.5</f>
        <v>0</v>
      </c>
      <c r="J19" s="310">
        <v>0</v>
      </c>
      <c r="K19" s="310">
        <f>J9*0.5</f>
        <v>2.5000000000000001E-2</v>
      </c>
      <c r="L19" s="310">
        <f t="shared" ref="L19:T19" si="3">K9*0.5</f>
        <v>3.125E-2</v>
      </c>
      <c r="M19" s="310">
        <f t="shared" si="3"/>
        <v>4.6875E-2</v>
      </c>
      <c r="N19" s="310">
        <f t="shared" si="3"/>
        <v>7.03125E-2</v>
      </c>
      <c r="O19" s="310">
        <f t="shared" si="3"/>
        <v>0.10546875</v>
      </c>
      <c r="P19" s="310">
        <f t="shared" si="3"/>
        <v>0.1318359375</v>
      </c>
      <c r="Q19" s="310">
        <f t="shared" si="3"/>
        <v>0.151611328125</v>
      </c>
      <c r="R19" s="310">
        <f t="shared" si="3"/>
        <v>0.16677246093750001</v>
      </c>
      <c r="S19" s="310">
        <f t="shared" si="3"/>
        <v>0.17511108398437503</v>
      </c>
      <c r="T19" s="310">
        <f t="shared" si="3"/>
        <v>0.17511108398437503</v>
      </c>
    </row>
    <row r="20" spans="2:20" hidden="1" outlineLevel="1">
      <c r="B20" s="343" t="s">
        <v>110</v>
      </c>
      <c r="C20" s="307"/>
      <c r="D20" s="307"/>
      <c r="E20" s="307"/>
      <c r="F20" s="308"/>
      <c r="G20" s="308"/>
      <c r="H20" s="309"/>
      <c r="I20" s="310">
        <f t="shared" ref="I20:R20" si="4">I10*0.5</f>
        <v>0</v>
      </c>
      <c r="J20" s="310">
        <f t="shared" si="4"/>
        <v>0</v>
      </c>
      <c r="K20" s="310">
        <f t="shared" si="4"/>
        <v>0</v>
      </c>
      <c r="L20" s="310">
        <f t="shared" si="4"/>
        <v>0</v>
      </c>
      <c r="M20" s="310">
        <f t="shared" si="4"/>
        <v>0</v>
      </c>
      <c r="N20" s="310">
        <f t="shared" si="4"/>
        <v>0</v>
      </c>
      <c r="O20" s="310">
        <f t="shared" si="4"/>
        <v>0</v>
      </c>
      <c r="P20" s="310">
        <f t="shared" si="4"/>
        <v>0</v>
      </c>
      <c r="Q20" s="310">
        <f t="shared" si="4"/>
        <v>0</v>
      </c>
      <c r="R20" s="310">
        <f t="shared" si="4"/>
        <v>0</v>
      </c>
      <c r="S20" s="310">
        <f t="shared" ref="S20:T20" si="5">S10*0.5</f>
        <v>0</v>
      </c>
      <c r="T20" s="310">
        <f t="shared" si="5"/>
        <v>0</v>
      </c>
    </row>
    <row r="21" spans="2:20" hidden="1" outlineLevel="1">
      <c r="B21" s="303"/>
      <c r="C21" s="311"/>
      <c r="D21" s="311"/>
      <c r="E21" s="311"/>
      <c r="F21" s="312"/>
      <c r="G21" s="312"/>
      <c r="H21" s="313"/>
      <c r="I21" s="313"/>
      <c r="J21" s="314"/>
      <c r="K21" s="314"/>
      <c r="L21" s="314"/>
      <c r="M21" s="314"/>
      <c r="N21" s="314"/>
      <c r="O21" s="314"/>
      <c r="P21" s="314"/>
      <c r="Q21" s="314"/>
      <c r="R21" s="314"/>
      <c r="S21" s="314"/>
      <c r="T21" s="314"/>
    </row>
    <row r="22" spans="2:20" hidden="1" outlineLevel="1">
      <c r="B22" s="306" t="s">
        <v>607</v>
      </c>
      <c r="C22" s="220">
        <v>2013</v>
      </c>
      <c r="D22" s="220">
        <v>2014</v>
      </c>
      <c r="E22" s="220">
        <v>2015</v>
      </c>
      <c r="F22" s="220">
        <v>2016</v>
      </c>
      <c r="G22" s="220">
        <v>2017</v>
      </c>
      <c r="H22" s="220">
        <v>2018</v>
      </c>
      <c r="I22" s="220">
        <v>2019</v>
      </c>
      <c r="J22" s="220">
        <v>2020</v>
      </c>
      <c r="K22" s="220">
        <v>2021</v>
      </c>
      <c r="L22" s="220">
        <v>2022</v>
      </c>
      <c r="M22" s="220">
        <v>2023</v>
      </c>
      <c r="N22" s="220">
        <v>2024</v>
      </c>
      <c r="O22" s="220">
        <v>2025</v>
      </c>
      <c r="P22" s="220">
        <v>2026</v>
      </c>
      <c r="Q22" s="220">
        <v>2027</v>
      </c>
      <c r="R22" s="220">
        <v>2028</v>
      </c>
      <c r="S22" s="220">
        <v>2029</v>
      </c>
      <c r="T22" s="220">
        <v>2030</v>
      </c>
    </row>
    <row r="23" spans="2:20" hidden="1" outlineLevel="1">
      <c r="B23" s="342" t="s">
        <v>108</v>
      </c>
      <c r="C23" s="307"/>
      <c r="D23" s="307"/>
      <c r="E23" s="307"/>
      <c r="F23" s="308"/>
      <c r="G23" s="308"/>
      <c r="H23" s="309"/>
      <c r="I23" s="310">
        <f>I13*0.5</f>
        <v>0.05</v>
      </c>
      <c r="J23" s="310">
        <f t="shared" ref="J23:S23" si="6">J13*0.5</f>
        <v>0.05</v>
      </c>
      <c r="K23" s="310">
        <f t="shared" si="6"/>
        <v>0.05</v>
      </c>
      <c r="L23" s="310">
        <f t="shared" si="6"/>
        <v>0.05</v>
      </c>
      <c r="M23" s="310">
        <f t="shared" si="6"/>
        <v>0.05</v>
      </c>
      <c r="N23" s="310">
        <f t="shared" si="6"/>
        <v>0.05</v>
      </c>
      <c r="O23" s="310">
        <f t="shared" si="6"/>
        <v>0.05</v>
      </c>
      <c r="P23" s="310">
        <f t="shared" si="6"/>
        <v>0.05</v>
      </c>
      <c r="Q23" s="310">
        <f t="shared" si="6"/>
        <v>0.05</v>
      </c>
      <c r="R23" s="310">
        <f t="shared" si="6"/>
        <v>0.05</v>
      </c>
      <c r="S23" s="310">
        <f t="shared" si="6"/>
        <v>0.05</v>
      </c>
      <c r="T23" s="310">
        <f t="shared" ref="T23" si="7">T13*0.5</f>
        <v>0.05</v>
      </c>
    </row>
    <row r="24" spans="2:20" hidden="1" outlineLevel="1">
      <c r="B24" s="342" t="s">
        <v>109</v>
      </c>
      <c r="C24" s="307"/>
      <c r="D24" s="307"/>
      <c r="E24" s="307"/>
      <c r="F24" s="308"/>
      <c r="G24" s="308"/>
      <c r="H24" s="309"/>
      <c r="I24" s="310">
        <f t="shared" ref="I24:S24" si="8">I14*0.5</f>
        <v>0</v>
      </c>
      <c r="J24" s="310">
        <f t="shared" si="8"/>
        <v>0</v>
      </c>
      <c r="K24" s="310">
        <f t="shared" si="8"/>
        <v>0</v>
      </c>
      <c r="L24" s="310">
        <f t="shared" si="8"/>
        <v>0</v>
      </c>
      <c r="M24" s="310">
        <f t="shared" si="8"/>
        <v>0</v>
      </c>
      <c r="N24" s="310">
        <f t="shared" si="8"/>
        <v>0</v>
      </c>
      <c r="O24" s="310">
        <f t="shared" si="8"/>
        <v>0</v>
      </c>
      <c r="P24" s="310">
        <f t="shared" si="8"/>
        <v>0</v>
      </c>
      <c r="Q24" s="310">
        <f t="shared" si="8"/>
        <v>0</v>
      </c>
      <c r="R24" s="310">
        <f t="shared" si="8"/>
        <v>0</v>
      </c>
      <c r="S24" s="310">
        <f t="shared" si="8"/>
        <v>0</v>
      </c>
      <c r="T24" s="310">
        <f t="shared" ref="T24" si="9">T14*0.5</f>
        <v>0</v>
      </c>
    </row>
    <row r="25" spans="2:20" hidden="1" outlineLevel="1">
      <c r="B25" s="343" t="s">
        <v>110</v>
      </c>
      <c r="C25" s="307"/>
      <c r="D25" s="307"/>
      <c r="E25" s="307"/>
      <c r="F25" s="308"/>
      <c r="G25" s="308"/>
      <c r="H25" s="309"/>
      <c r="I25" s="310">
        <f t="shared" ref="I25:S25" si="10">I15*0.5</f>
        <v>0</v>
      </c>
      <c r="J25" s="310">
        <f t="shared" si="10"/>
        <v>0</v>
      </c>
      <c r="K25" s="310">
        <f t="shared" si="10"/>
        <v>0</v>
      </c>
      <c r="L25" s="310">
        <f t="shared" si="10"/>
        <v>0</v>
      </c>
      <c r="M25" s="310">
        <f t="shared" si="10"/>
        <v>0</v>
      </c>
      <c r="N25" s="310">
        <f t="shared" si="10"/>
        <v>0</v>
      </c>
      <c r="O25" s="310">
        <f t="shared" si="10"/>
        <v>0</v>
      </c>
      <c r="P25" s="310">
        <f t="shared" si="10"/>
        <v>0</v>
      </c>
      <c r="Q25" s="310">
        <f t="shared" si="10"/>
        <v>0</v>
      </c>
      <c r="R25" s="310">
        <f t="shared" si="10"/>
        <v>0</v>
      </c>
      <c r="S25" s="310">
        <f t="shared" si="10"/>
        <v>0</v>
      </c>
      <c r="T25" s="310">
        <f t="shared" ref="T25" si="11">T15*0.5</f>
        <v>0</v>
      </c>
    </row>
    <row r="26" spans="2:20" hidden="1" outlineLevel="1">
      <c r="B26" s="303"/>
      <c r="C26" s="311"/>
      <c r="D26" s="311"/>
      <c r="E26" s="311"/>
      <c r="F26" s="313"/>
      <c r="G26" s="313"/>
      <c r="H26" s="313"/>
      <c r="I26" s="313"/>
      <c r="J26" s="314"/>
      <c r="K26" s="314"/>
      <c r="L26" s="314"/>
      <c r="M26" s="314"/>
      <c r="N26" s="314"/>
      <c r="O26" s="314"/>
      <c r="P26" s="314"/>
      <c r="Q26" s="314"/>
      <c r="R26" s="314"/>
      <c r="S26" s="314"/>
      <c r="T26" s="314"/>
    </row>
    <row r="27" spans="2:20" s="315" customFormat="1" collapsed="1">
      <c r="B27" s="306" t="s">
        <v>179</v>
      </c>
      <c r="C27" s="220">
        <v>2013</v>
      </c>
      <c r="D27" s="220">
        <v>2014</v>
      </c>
      <c r="E27" s="220">
        <v>2015</v>
      </c>
      <c r="F27" s="220">
        <v>2016</v>
      </c>
      <c r="G27" s="220">
        <v>2017</v>
      </c>
      <c r="H27" s="220">
        <v>2018</v>
      </c>
      <c r="I27" s="220">
        <v>2019</v>
      </c>
      <c r="J27" s="220">
        <v>2020</v>
      </c>
      <c r="K27" s="220">
        <v>2021</v>
      </c>
      <c r="L27" s="220">
        <v>2022</v>
      </c>
      <c r="M27" s="220">
        <v>2023</v>
      </c>
      <c r="N27" s="220">
        <v>2024</v>
      </c>
      <c r="O27" s="220">
        <v>2025</v>
      </c>
      <c r="P27" s="220">
        <v>2026</v>
      </c>
      <c r="Q27" s="220">
        <v>2027</v>
      </c>
      <c r="R27" s="220">
        <v>2028</v>
      </c>
      <c r="S27" s="220">
        <v>2029</v>
      </c>
      <c r="T27" s="220">
        <v>2030</v>
      </c>
    </row>
    <row r="29" spans="2:20">
      <c r="B29" s="316" t="s">
        <v>177</v>
      </c>
      <c r="C29" s="317">
        <f>(20000/5)*4</f>
        <v>16000</v>
      </c>
      <c r="D29" s="317">
        <f t="shared" ref="D29:P29" si="12">C29*(1+D30)</f>
        <v>16175.999999999998</v>
      </c>
      <c r="E29" s="317">
        <f t="shared" si="12"/>
        <v>16353.935999999996</v>
      </c>
      <c r="F29" s="317">
        <f t="shared" si="12"/>
        <v>16533.829295999993</v>
      </c>
      <c r="G29" s="317">
        <f t="shared" si="12"/>
        <v>16715.701418255991</v>
      </c>
      <c r="H29" s="317">
        <f t="shared" si="12"/>
        <v>16899.574133856804</v>
      </c>
      <c r="I29" s="591">
        <f t="shared" si="12"/>
        <v>17085.469449329226</v>
      </c>
      <c r="J29" s="591">
        <f t="shared" si="12"/>
        <v>17273.409613271848</v>
      </c>
      <c r="K29" s="591">
        <f t="shared" si="12"/>
        <v>17463.417119017835</v>
      </c>
      <c r="L29" s="591">
        <f t="shared" si="12"/>
        <v>17655.514707327031</v>
      </c>
      <c r="M29" s="591">
        <f t="shared" si="12"/>
        <v>17849.725369107626</v>
      </c>
      <c r="N29" s="591">
        <f t="shared" si="12"/>
        <v>18046.072348167807</v>
      </c>
      <c r="O29" s="591">
        <f t="shared" si="12"/>
        <v>18244.579143997649</v>
      </c>
      <c r="P29" s="591">
        <f t="shared" si="12"/>
        <v>18445.269514581621</v>
      </c>
      <c r="Q29" s="591">
        <f t="shared" ref="Q29" si="13">P29*(1+Q30)</f>
        <v>18648.167479242016</v>
      </c>
      <c r="R29" s="591">
        <f t="shared" ref="R29" si="14">Q29*(1+R30)</f>
        <v>18853.297321513677</v>
      </c>
      <c r="S29" s="591">
        <f t="shared" ref="S29" si="15">R29*(1+S30)</f>
        <v>19060.683592050325</v>
      </c>
      <c r="T29" s="591">
        <f t="shared" ref="T29" si="16">S29*(1+T30)</f>
        <v>19270.351111562875</v>
      </c>
    </row>
    <row r="30" spans="2:20" s="323" customFormat="1">
      <c r="B30" s="319" t="s">
        <v>173</v>
      </c>
      <c r="C30" s="320"/>
      <c r="D30" s="321">
        <v>1.0999999999999999E-2</v>
      </c>
      <c r="E30" s="321">
        <f t="shared" ref="E30:P30" si="17">D30</f>
        <v>1.0999999999999999E-2</v>
      </c>
      <c r="F30" s="321">
        <f t="shared" si="17"/>
        <v>1.0999999999999999E-2</v>
      </c>
      <c r="G30" s="321">
        <f t="shared" si="17"/>
        <v>1.0999999999999999E-2</v>
      </c>
      <c r="H30" s="321">
        <f t="shared" si="17"/>
        <v>1.0999999999999999E-2</v>
      </c>
      <c r="I30" s="592">
        <f t="shared" si="17"/>
        <v>1.0999999999999999E-2</v>
      </c>
      <c r="J30" s="592">
        <f t="shared" si="17"/>
        <v>1.0999999999999999E-2</v>
      </c>
      <c r="K30" s="592">
        <f t="shared" si="17"/>
        <v>1.0999999999999999E-2</v>
      </c>
      <c r="L30" s="592">
        <f t="shared" si="17"/>
        <v>1.0999999999999999E-2</v>
      </c>
      <c r="M30" s="592">
        <f t="shared" si="17"/>
        <v>1.0999999999999999E-2</v>
      </c>
      <c r="N30" s="592">
        <f t="shared" si="17"/>
        <v>1.0999999999999999E-2</v>
      </c>
      <c r="O30" s="592">
        <f t="shared" si="17"/>
        <v>1.0999999999999999E-2</v>
      </c>
      <c r="P30" s="592">
        <f t="shared" si="17"/>
        <v>1.0999999999999999E-2</v>
      </c>
      <c r="Q30" s="592">
        <f t="shared" ref="Q30" si="18">P30</f>
        <v>1.0999999999999999E-2</v>
      </c>
      <c r="R30" s="592">
        <f t="shared" ref="R30" si="19">Q30</f>
        <v>1.0999999999999999E-2</v>
      </c>
      <c r="S30" s="592">
        <f t="shared" ref="S30" si="20">R30</f>
        <v>1.0999999999999999E-2</v>
      </c>
      <c r="T30" s="592">
        <f t="shared" ref="T30" si="21">S30</f>
        <v>1.0999999999999999E-2</v>
      </c>
    </row>
    <row r="31" spans="2:20">
      <c r="B31" s="316"/>
      <c r="C31" s="324"/>
      <c r="D31" s="325"/>
      <c r="E31" s="325"/>
      <c r="F31" s="325"/>
      <c r="G31" s="325"/>
      <c r="H31" s="325"/>
      <c r="I31" s="593"/>
      <c r="J31" s="593"/>
      <c r="K31" s="593"/>
      <c r="L31" s="593"/>
      <c r="M31" s="593"/>
      <c r="N31" s="593"/>
      <c r="O31" s="593"/>
      <c r="P31" s="593"/>
      <c r="Q31" s="593"/>
      <c r="R31" s="593"/>
      <c r="S31" s="593"/>
      <c r="T31" s="593"/>
    </row>
    <row r="32" spans="2:20">
      <c r="B32" s="316" t="s">
        <v>176</v>
      </c>
      <c r="C32" s="327">
        <f>C29*C33</f>
        <v>9600</v>
      </c>
      <c r="D32" s="327">
        <f t="shared" ref="D32:P32" si="22">D29*D33</f>
        <v>9705.5999999999985</v>
      </c>
      <c r="E32" s="327">
        <f t="shared" si="22"/>
        <v>9812.3615999999965</v>
      </c>
      <c r="F32" s="327">
        <f t="shared" si="22"/>
        <v>9920.2975775999948</v>
      </c>
      <c r="G32" s="327">
        <f t="shared" si="22"/>
        <v>10029.420850953595</v>
      </c>
      <c r="H32" s="327">
        <f t="shared" si="22"/>
        <v>10139.744480314082</v>
      </c>
      <c r="I32" s="594">
        <f t="shared" si="22"/>
        <v>10251.281669597536</v>
      </c>
      <c r="J32" s="594">
        <f t="shared" si="22"/>
        <v>10364.045767963109</v>
      </c>
      <c r="K32" s="594">
        <f t="shared" si="22"/>
        <v>10478.050271410701</v>
      </c>
      <c r="L32" s="594">
        <f t="shared" si="22"/>
        <v>10593.308824396217</v>
      </c>
      <c r="M32" s="594">
        <f t="shared" si="22"/>
        <v>10709.835221464575</v>
      </c>
      <c r="N32" s="594">
        <f t="shared" si="22"/>
        <v>10827.643408900683</v>
      </c>
      <c r="O32" s="594">
        <f t="shared" si="22"/>
        <v>10946.74748639859</v>
      </c>
      <c r="P32" s="594">
        <f t="shared" si="22"/>
        <v>11067.161708748972</v>
      </c>
      <c r="Q32" s="594">
        <f t="shared" ref="Q32:T32" si="23">Q29*Q33</f>
        <v>11188.90048754521</v>
      </c>
      <c r="R32" s="594">
        <f t="shared" si="23"/>
        <v>11311.978392908206</v>
      </c>
      <c r="S32" s="594">
        <f t="shared" si="23"/>
        <v>11436.410155230195</v>
      </c>
      <c r="T32" s="594">
        <f t="shared" si="23"/>
        <v>11562.210666937724</v>
      </c>
    </row>
    <row r="33" spans="2:22" s="323" customFormat="1">
      <c r="B33" s="319" t="s">
        <v>174</v>
      </c>
      <c r="C33" s="329">
        <v>0.6</v>
      </c>
      <c r="D33" s="330">
        <f>C33</f>
        <v>0.6</v>
      </c>
      <c r="E33" s="330">
        <f t="shared" ref="E33:P33" si="24">D33</f>
        <v>0.6</v>
      </c>
      <c r="F33" s="330">
        <f t="shared" si="24"/>
        <v>0.6</v>
      </c>
      <c r="G33" s="330">
        <f t="shared" si="24"/>
        <v>0.6</v>
      </c>
      <c r="H33" s="330">
        <f t="shared" si="24"/>
        <v>0.6</v>
      </c>
      <c r="I33" s="595">
        <f t="shared" si="24"/>
        <v>0.6</v>
      </c>
      <c r="J33" s="595">
        <f t="shared" si="24"/>
        <v>0.6</v>
      </c>
      <c r="K33" s="595">
        <f t="shared" si="24"/>
        <v>0.6</v>
      </c>
      <c r="L33" s="595">
        <f t="shared" si="24"/>
        <v>0.6</v>
      </c>
      <c r="M33" s="595">
        <f t="shared" si="24"/>
        <v>0.6</v>
      </c>
      <c r="N33" s="595">
        <f t="shared" si="24"/>
        <v>0.6</v>
      </c>
      <c r="O33" s="595">
        <f t="shared" si="24"/>
        <v>0.6</v>
      </c>
      <c r="P33" s="595">
        <f t="shared" si="24"/>
        <v>0.6</v>
      </c>
      <c r="Q33" s="595">
        <f t="shared" ref="Q33" si="25">P33</f>
        <v>0.6</v>
      </c>
      <c r="R33" s="595">
        <f t="shared" ref="R33" si="26">Q33</f>
        <v>0.6</v>
      </c>
      <c r="S33" s="595">
        <f t="shared" ref="S33" si="27">R33</f>
        <v>0.6</v>
      </c>
      <c r="T33" s="595">
        <f t="shared" ref="T33" si="28">S33</f>
        <v>0.6</v>
      </c>
    </row>
    <row r="34" spans="2:22" s="213" customFormat="1">
      <c r="B34" s="316"/>
      <c r="C34" s="324"/>
      <c r="D34" s="324"/>
      <c r="E34" s="324"/>
      <c r="F34" s="324"/>
      <c r="G34" s="324"/>
      <c r="H34" s="325"/>
      <c r="I34" s="593"/>
      <c r="J34" s="593"/>
      <c r="K34" s="593"/>
      <c r="L34" s="593"/>
      <c r="M34" s="593"/>
      <c r="N34" s="593"/>
      <c r="O34" s="593"/>
      <c r="P34" s="593"/>
      <c r="Q34" s="593"/>
      <c r="R34" s="593"/>
      <c r="S34" s="593"/>
      <c r="T34" s="593"/>
    </row>
    <row r="35" spans="2:22">
      <c r="B35" s="316" t="s">
        <v>183</v>
      </c>
      <c r="C35" s="327"/>
      <c r="D35" s="327"/>
      <c r="E35" s="327"/>
      <c r="F35" s="327"/>
      <c r="G35" s="327"/>
      <c r="H35" s="327"/>
      <c r="I35" s="594">
        <f>I32</f>
        <v>10251.281669597536</v>
      </c>
      <c r="J35" s="594">
        <f t="shared" ref="J35:P35" si="29">I35-I41+(J32-I32)</f>
        <v>10364.045767963109</v>
      </c>
      <c r="K35" s="594">
        <f t="shared" si="29"/>
        <v>9959.8479830125452</v>
      </c>
      <c r="L35" s="594">
        <f t="shared" si="29"/>
        <v>9452.6160370597772</v>
      </c>
      <c r="M35" s="594">
        <f t="shared" si="29"/>
        <v>8682.9596806537811</v>
      </c>
      <c r="N35" s="594">
        <f t="shared" si="29"/>
        <v>7579.7266629979513</v>
      </c>
      <c r="O35" s="594">
        <f t="shared" si="29"/>
        <v>6099.9821475197277</v>
      </c>
      <c r="P35" s="594">
        <f t="shared" si="29"/>
        <v>4612.0026395670566</v>
      </c>
      <c r="Q35" s="594">
        <f t="shared" ref="Q35" si="30">P35-P41+(Q32-P32)</f>
        <v>3335.2777273617603</v>
      </c>
      <c r="R35" s="594">
        <f t="shared" ref="R35" si="31">Q35-Q41+(R32-Q32)</f>
        <v>2345.8906837204504</v>
      </c>
      <c r="S35" s="594">
        <f t="shared" ref="S35" si="32">R35-R41+(S32-R32)</f>
        <v>1648.7395249721694</v>
      </c>
      <c r="T35" s="594">
        <f t="shared" ref="T35" si="33">S35-S41+(T32-S32)</f>
        <v>1197.114905828179</v>
      </c>
    </row>
    <row r="36" spans="2:22" s="323" customFormat="1">
      <c r="B36" s="319"/>
      <c r="C36" s="320"/>
      <c r="D36" s="321"/>
      <c r="E36" s="321"/>
      <c r="F36" s="321"/>
      <c r="G36" s="321"/>
      <c r="H36" s="321"/>
      <c r="I36" s="592"/>
      <c r="J36" s="592"/>
      <c r="K36" s="592"/>
      <c r="L36" s="592"/>
      <c r="M36" s="592"/>
      <c r="N36" s="592"/>
      <c r="O36" s="592"/>
      <c r="P36" s="592"/>
      <c r="Q36" s="592"/>
      <c r="R36" s="592"/>
      <c r="S36" s="592"/>
      <c r="T36" s="592"/>
    </row>
    <row r="37" spans="2:22">
      <c r="B37" s="316"/>
      <c r="C37" s="324"/>
      <c r="D37" s="325"/>
      <c r="E37" s="325"/>
      <c r="F37" s="325"/>
      <c r="G37" s="325"/>
      <c r="H37" s="325"/>
      <c r="I37" s="593"/>
      <c r="J37" s="593"/>
      <c r="K37" s="593"/>
      <c r="L37" s="593"/>
      <c r="M37" s="593"/>
      <c r="N37" s="593"/>
      <c r="O37" s="593"/>
      <c r="P37" s="593"/>
      <c r="Q37" s="593"/>
      <c r="R37" s="593"/>
      <c r="S37" s="593"/>
      <c r="T37" s="593"/>
    </row>
    <row r="38" spans="2:22">
      <c r="B38" s="316" t="s">
        <v>184</v>
      </c>
      <c r="C38" s="317"/>
      <c r="D38" s="317"/>
      <c r="E38" s="317"/>
      <c r="F38" s="317"/>
      <c r="G38" s="317"/>
      <c r="H38" s="317"/>
      <c r="I38" s="591">
        <v>0</v>
      </c>
      <c r="J38" s="591">
        <f t="shared" ref="J38:P38" si="34">I38+I41</f>
        <v>0</v>
      </c>
      <c r="K38" s="591">
        <f t="shared" si="34"/>
        <v>518.20228839815547</v>
      </c>
      <c r="L38" s="591">
        <f t="shared" si="34"/>
        <v>1140.6927873364396</v>
      </c>
      <c r="M38" s="591">
        <f t="shared" si="34"/>
        <v>2026.8755408107936</v>
      </c>
      <c r="N38" s="591">
        <f t="shared" si="34"/>
        <v>3247.9167459027317</v>
      </c>
      <c r="O38" s="591">
        <f t="shared" si="34"/>
        <v>4846.7653388788622</v>
      </c>
      <c r="P38" s="591">
        <f t="shared" si="34"/>
        <v>6455.1590691819156</v>
      </c>
      <c r="Q38" s="591">
        <f t="shared" ref="Q38" si="35">P38+P41</f>
        <v>7853.6227601834498</v>
      </c>
      <c r="R38" s="591">
        <f t="shared" ref="R38" si="36">Q38+Q41</f>
        <v>8966.0877091877555</v>
      </c>
      <c r="S38" s="591">
        <f t="shared" ref="S38" si="37">R38+R41</f>
        <v>9787.6706302580242</v>
      </c>
      <c r="T38" s="591">
        <f t="shared" ref="T38" si="38">S38+S41</f>
        <v>10365.095761109544</v>
      </c>
    </row>
    <row r="39" spans="2:22" s="323" customFormat="1">
      <c r="B39" s="319"/>
      <c r="C39" s="320"/>
      <c r="D39" s="321"/>
      <c r="E39" s="321"/>
      <c r="F39" s="321"/>
      <c r="G39" s="321"/>
      <c r="H39" s="321"/>
      <c r="I39" s="321"/>
      <c r="J39" s="322"/>
      <c r="K39" s="322"/>
      <c r="L39" s="322"/>
      <c r="M39" s="322"/>
      <c r="N39" s="322"/>
      <c r="O39" s="322"/>
      <c r="P39" s="322"/>
      <c r="Q39" s="322"/>
      <c r="R39" s="322"/>
      <c r="S39" s="322"/>
      <c r="T39" s="322"/>
    </row>
    <row r="40" spans="2:22" s="323" customFormat="1">
      <c r="B40" s="319"/>
      <c r="C40" s="320"/>
      <c r="D40" s="321"/>
      <c r="E40" s="321"/>
      <c r="F40" s="321"/>
      <c r="G40" s="321"/>
      <c r="H40" s="321"/>
      <c r="I40" s="321"/>
      <c r="J40" s="322"/>
      <c r="K40" s="322"/>
      <c r="L40" s="322"/>
      <c r="M40" s="322"/>
      <c r="N40" s="322"/>
      <c r="O40" s="322"/>
      <c r="P40" s="322"/>
      <c r="Q40" s="322"/>
      <c r="R40" s="322"/>
      <c r="S40" s="322"/>
      <c r="T40" s="322"/>
    </row>
    <row r="41" spans="2:22" s="213" customFormat="1">
      <c r="B41" s="316" t="s">
        <v>185</v>
      </c>
      <c r="C41" s="327"/>
      <c r="D41" s="327"/>
      <c r="E41" s="327"/>
      <c r="F41" s="327"/>
      <c r="G41" s="327"/>
      <c r="H41" s="317"/>
      <c r="I41" s="318">
        <f t="shared" ref="I41:P41" si="39">I42*I35</f>
        <v>0</v>
      </c>
      <c r="J41" s="318">
        <f t="shared" si="39"/>
        <v>518.20228839815547</v>
      </c>
      <c r="K41" s="318">
        <f t="shared" si="39"/>
        <v>622.49049893828408</v>
      </c>
      <c r="L41" s="318">
        <f t="shared" si="39"/>
        <v>886.18275347435406</v>
      </c>
      <c r="M41" s="318">
        <f t="shared" si="39"/>
        <v>1221.0412050919381</v>
      </c>
      <c r="N41" s="318">
        <f t="shared" si="39"/>
        <v>1598.8485929761302</v>
      </c>
      <c r="O41" s="318">
        <f t="shared" si="39"/>
        <v>1608.3937303030532</v>
      </c>
      <c r="P41" s="318">
        <f t="shared" si="39"/>
        <v>1398.4636910015342</v>
      </c>
      <c r="Q41" s="318">
        <f t="shared" ref="Q41:T41" si="40">Q42*Q35</f>
        <v>1112.4649490043059</v>
      </c>
      <c r="R41" s="318">
        <f t="shared" si="40"/>
        <v>821.58292107026944</v>
      </c>
      <c r="S41" s="318">
        <f t="shared" si="40"/>
        <v>577.42513085152029</v>
      </c>
      <c r="T41" s="318">
        <f t="shared" si="40"/>
        <v>419.2561776268509</v>
      </c>
    </row>
    <row r="42" spans="2:22" s="323" customFormat="1">
      <c r="B42" s="319" t="s">
        <v>178</v>
      </c>
      <c r="C42" s="329"/>
      <c r="D42" s="330"/>
      <c r="E42" s="330"/>
      <c r="F42" s="330"/>
      <c r="G42" s="330"/>
      <c r="H42" s="330"/>
      <c r="I42" s="595">
        <f t="shared" ref="I42:T42" si="41">CHOOSE($I$3,I8,I9,I10)</f>
        <v>0</v>
      </c>
      <c r="J42" s="595">
        <f t="shared" si="41"/>
        <v>0.05</v>
      </c>
      <c r="K42" s="595">
        <f t="shared" si="41"/>
        <v>6.25E-2</v>
      </c>
      <c r="L42" s="595">
        <f t="shared" si="41"/>
        <v>9.375E-2</v>
      </c>
      <c r="M42" s="595">
        <f t="shared" si="41"/>
        <v>0.140625</v>
      </c>
      <c r="N42" s="595">
        <f t="shared" si="41"/>
        <v>0.2109375</v>
      </c>
      <c r="O42" s="595">
        <f t="shared" si="41"/>
        <v>0.263671875</v>
      </c>
      <c r="P42" s="595">
        <f t="shared" si="41"/>
        <v>0.30322265625</v>
      </c>
      <c r="Q42" s="595">
        <f t="shared" si="41"/>
        <v>0.33354492187500001</v>
      </c>
      <c r="R42" s="595">
        <f t="shared" si="41"/>
        <v>0.35022216796875005</v>
      </c>
      <c r="S42" s="595">
        <f t="shared" si="41"/>
        <v>0.35022216796875005</v>
      </c>
      <c r="T42" s="595">
        <f t="shared" si="41"/>
        <v>0.35022216796875005</v>
      </c>
    </row>
    <row r="43" spans="2:22" s="323" customFormat="1">
      <c r="B43" s="319"/>
      <c r="C43" s="320"/>
      <c r="D43" s="321"/>
      <c r="E43" s="321"/>
      <c r="F43" s="321"/>
      <c r="G43" s="321"/>
      <c r="H43" s="321"/>
      <c r="I43" s="321"/>
      <c r="J43" s="322"/>
      <c r="K43" s="322"/>
      <c r="L43" s="322"/>
      <c r="M43" s="322"/>
      <c r="N43" s="322"/>
      <c r="O43" s="322"/>
      <c r="P43" s="322"/>
      <c r="Q43" s="322"/>
      <c r="R43" s="322"/>
      <c r="S43" s="322"/>
      <c r="T43" s="322"/>
    </row>
    <row r="44" spans="2:22">
      <c r="B44" s="316" t="s">
        <v>186</v>
      </c>
      <c r="C44" s="317"/>
      <c r="D44" s="317"/>
      <c r="E44" s="317"/>
      <c r="F44" s="317"/>
      <c r="G44" s="317"/>
      <c r="H44" s="317"/>
      <c r="I44" s="318">
        <f>I38*I45</f>
        <v>0</v>
      </c>
      <c r="J44" s="318">
        <f>J38*J45</f>
        <v>0</v>
      </c>
      <c r="K44" s="318">
        <f t="shared" ref="K44:P44" si="42">K38*K45</f>
        <v>0</v>
      </c>
      <c r="L44" s="318">
        <f t="shared" si="42"/>
        <v>0</v>
      </c>
      <c r="M44" s="318">
        <f t="shared" si="42"/>
        <v>0</v>
      </c>
      <c r="N44" s="318">
        <f t="shared" si="42"/>
        <v>0</v>
      </c>
      <c r="O44" s="318">
        <f t="shared" si="42"/>
        <v>0</v>
      </c>
      <c r="P44" s="318">
        <f t="shared" si="42"/>
        <v>0</v>
      </c>
      <c r="Q44" s="318">
        <f t="shared" ref="Q44:T44" si="43">Q38*Q45</f>
        <v>0</v>
      </c>
      <c r="R44" s="318">
        <f t="shared" si="43"/>
        <v>0</v>
      </c>
      <c r="S44" s="318">
        <f t="shared" si="43"/>
        <v>0</v>
      </c>
      <c r="T44" s="318">
        <f t="shared" si="43"/>
        <v>0</v>
      </c>
    </row>
    <row r="45" spans="2:22" s="323" customFormat="1">
      <c r="B45" s="319" t="s">
        <v>178</v>
      </c>
      <c r="C45" s="329"/>
      <c r="D45" s="330"/>
      <c r="E45" s="330"/>
      <c r="F45" s="330"/>
      <c r="G45" s="330"/>
      <c r="H45" s="330"/>
      <c r="I45" s="595">
        <f t="shared" ref="I45:T45" si="44">CHOOSE($I$3,I13,I14,I15)</f>
        <v>0</v>
      </c>
      <c r="J45" s="595">
        <f t="shared" si="44"/>
        <v>0</v>
      </c>
      <c r="K45" s="595">
        <f t="shared" si="44"/>
        <v>0</v>
      </c>
      <c r="L45" s="595">
        <f t="shared" si="44"/>
        <v>0</v>
      </c>
      <c r="M45" s="595">
        <f t="shared" si="44"/>
        <v>0</v>
      </c>
      <c r="N45" s="595">
        <f t="shared" si="44"/>
        <v>0</v>
      </c>
      <c r="O45" s="595">
        <f t="shared" si="44"/>
        <v>0</v>
      </c>
      <c r="P45" s="595">
        <f t="shared" si="44"/>
        <v>0</v>
      </c>
      <c r="Q45" s="595">
        <f t="shared" si="44"/>
        <v>0</v>
      </c>
      <c r="R45" s="595">
        <f t="shared" si="44"/>
        <v>0</v>
      </c>
      <c r="S45" s="595">
        <f t="shared" si="44"/>
        <v>0</v>
      </c>
      <c r="T45" s="595">
        <f t="shared" si="44"/>
        <v>0</v>
      </c>
    </row>
    <row r="46" spans="2:22" s="323" customFormat="1">
      <c r="B46" s="319"/>
      <c r="C46" s="320"/>
      <c r="D46" s="321"/>
      <c r="E46" s="321"/>
      <c r="F46" s="332"/>
      <c r="G46" s="321"/>
      <c r="H46" s="321"/>
      <c r="I46" s="321"/>
      <c r="J46" s="322"/>
      <c r="K46" s="322"/>
      <c r="L46" s="322"/>
      <c r="M46" s="322"/>
      <c r="N46" s="322"/>
      <c r="O46" s="322"/>
      <c r="P46" s="322"/>
      <c r="Q46" s="322"/>
      <c r="R46" s="322"/>
      <c r="S46" s="322"/>
      <c r="T46" s="322"/>
    </row>
    <row r="47" spans="2:22" s="323" customFormat="1">
      <c r="B47" s="319" t="s">
        <v>175</v>
      </c>
      <c r="C47" s="320"/>
      <c r="D47" s="321"/>
      <c r="E47" s="321"/>
      <c r="F47" s="321"/>
      <c r="G47" s="321"/>
      <c r="H47" s="321"/>
      <c r="I47" s="322">
        <v>0.02</v>
      </c>
      <c r="J47" s="322">
        <v>0.02</v>
      </c>
      <c r="K47" s="322">
        <f t="shared" ref="K47:P47" si="45">J47</f>
        <v>0.02</v>
      </c>
      <c r="L47" s="322">
        <f t="shared" si="45"/>
        <v>0.02</v>
      </c>
      <c r="M47" s="322">
        <f t="shared" si="45"/>
        <v>0.02</v>
      </c>
      <c r="N47" s="322">
        <f t="shared" si="45"/>
        <v>0.02</v>
      </c>
      <c r="O47" s="322">
        <f t="shared" si="45"/>
        <v>0.02</v>
      </c>
      <c r="P47" s="322">
        <f t="shared" si="45"/>
        <v>0.02</v>
      </c>
      <c r="Q47" s="322">
        <f t="shared" ref="Q47" si="46">P47</f>
        <v>0.02</v>
      </c>
      <c r="R47" s="322">
        <f t="shared" ref="R47" si="47">Q47</f>
        <v>0.02</v>
      </c>
      <c r="S47" s="322">
        <f t="shared" ref="S47" si="48">R47</f>
        <v>0.02</v>
      </c>
      <c r="T47" s="322">
        <f t="shared" ref="T47" si="49">S47</f>
        <v>0.02</v>
      </c>
    </row>
    <row r="48" spans="2:22">
      <c r="B48" s="333" t="s">
        <v>527</v>
      </c>
      <c r="C48" s="327"/>
      <c r="D48" s="327"/>
      <c r="E48" s="327"/>
      <c r="F48" s="327"/>
      <c r="G48" s="327"/>
      <c r="H48" s="317"/>
      <c r="I48" s="318">
        <v>0</v>
      </c>
      <c r="J48" s="318">
        <v>300</v>
      </c>
      <c r="K48" s="318">
        <f t="shared" ref="K48:T48" si="50">J48*(1+K47)</f>
        <v>306</v>
      </c>
      <c r="L48" s="318">
        <f t="shared" si="50"/>
        <v>312.12</v>
      </c>
      <c r="M48" s="318">
        <f t="shared" si="50"/>
        <v>318.36240000000004</v>
      </c>
      <c r="N48" s="318">
        <f t="shared" si="50"/>
        <v>324.72964800000005</v>
      </c>
      <c r="O48" s="318">
        <f t="shared" si="50"/>
        <v>331.22424096000009</v>
      </c>
      <c r="P48" s="318">
        <f t="shared" si="50"/>
        <v>337.84872577920009</v>
      </c>
      <c r="Q48" s="318">
        <f t="shared" si="50"/>
        <v>344.60570029478413</v>
      </c>
      <c r="R48" s="318">
        <f t="shared" si="50"/>
        <v>351.49781430067981</v>
      </c>
      <c r="S48" s="318">
        <f t="shared" si="50"/>
        <v>358.52777058669341</v>
      </c>
      <c r="T48" s="318">
        <f t="shared" si="50"/>
        <v>365.69832599842726</v>
      </c>
      <c r="V48" s="205" t="s">
        <v>182</v>
      </c>
    </row>
    <row r="49" spans="2:22">
      <c r="B49" s="333" t="s">
        <v>526</v>
      </c>
      <c r="C49" s="327"/>
      <c r="D49" s="327"/>
      <c r="E49" s="327"/>
      <c r="F49" s="327"/>
      <c r="G49" s="327"/>
      <c r="H49" s="317"/>
      <c r="I49" s="318">
        <v>0</v>
      </c>
      <c r="J49" s="318">
        <v>150</v>
      </c>
      <c r="K49" s="318">
        <f t="shared" ref="K49:T49" si="51">J49*(1+K47)</f>
        <v>153</v>
      </c>
      <c r="L49" s="318">
        <f t="shared" si="51"/>
        <v>156.06</v>
      </c>
      <c r="M49" s="318">
        <f t="shared" si="51"/>
        <v>159.18120000000002</v>
      </c>
      <c r="N49" s="318">
        <f t="shared" si="51"/>
        <v>162.36482400000003</v>
      </c>
      <c r="O49" s="318">
        <f t="shared" si="51"/>
        <v>165.61212048000004</v>
      </c>
      <c r="P49" s="318">
        <f t="shared" si="51"/>
        <v>168.92436288960005</v>
      </c>
      <c r="Q49" s="318">
        <f t="shared" si="51"/>
        <v>172.30285014739206</v>
      </c>
      <c r="R49" s="318">
        <f t="shared" si="51"/>
        <v>175.7489071503399</v>
      </c>
      <c r="S49" s="318">
        <f t="shared" si="51"/>
        <v>179.2638852933467</v>
      </c>
      <c r="T49" s="318">
        <f t="shared" si="51"/>
        <v>182.84916299921363</v>
      </c>
      <c r="V49" s="205" t="s">
        <v>182</v>
      </c>
    </row>
    <row r="50" spans="2:22">
      <c r="H50" s="334"/>
      <c r="I50" s="334"/>
      <c r="J50" s="334"/>
      <c r="K50" s="334"/>
      <c r="L50" s="334"/>
      <c r="M50" s="334"/>
      <c r="N50" s="334"/>
      <c r="O50" s="334"/>
      <c r="P50" s="334"/>
      <c r="Q50" s="334"/>
      <c r="R50" s="334"/>
      <c r="S50" s="334"/>
      <c r="T50" s="334"/>
      <c r="V50" s="205" t="s">
        <v>508</v>
      </c>
    </row>
    <row r="51" spans="2:22">
      <c r="B51" s="335" t="s">
        <v>181</v>
      </c>
      <c r="C51" s="336"/>
      <c r="D51" s="336"/>
      <c r="E51" s="336"/>
      <c r="F51" s="337"/>
      <c r="G51" s="337"/>
      <c r="H51" s="338"/>
      <c r="I51" s="339">
        <f>(((I41*I48)+(I44*I48))/1000+I38*I49/1000)*I81</f>
        <v>0</v>
      </c>
      <c r="J51" s="339">
        <f t="shared" ref="J51:T51" si="52">(((J41*J48)+(J44*J48))/1000+J38*J49/1000)*J81</f>
        <v>62.184274607778654</v>
      </c>
      <c r="K51" s="339">
        <f t="shared" si="52"/>
        <v>107.90681712001309</v>
      </c>
      <c r="L51" s="339">
        <f t="shared" si="52"/>
        <v>181.84475096245606</v>
      </c>
      <c r="M51" s="339">
        <f t="shared" si="52"/>
        <v>284.5496357555491</v>
      </c>
      <c r="N51" s="339">
        <f t="shared" si="52"/>
        <v>418.61638864703366</v>
      </c>
      <c r="O51" s="339">
        <f t="shared" si="52"/>
        <v>534.16883109005846</v>
      </c>
      <c r="P51" s="339">
        <f t="shared" si="52"/>
        <v>625.16112366636969</v>
      </c>
      <c r="Q51" s="339">
        <f t="shared" si="52"/>
        <v>694.62533934682676</v>
      </c>
      <c r="R51" s="339">
        <f t="shared" si="52"/>
        <v>745.82588693072421</v>
      </c>
      <c r="S51" s="339">
        <f t="shared" si="52"/>
        <v>784.63952399862319</v>
      </c>
      <c r="T51" s="339">
        <f t="shared" si="52"/>
        <v>819.42814665928643</v>
      </c>
      <c r="V51" s="205" t="s">
        <v>509</v>
      </c>
    </row>
    <row r="52" spans="2:22" s="323" customFormat="1">
      <c r="B52" s="319" t="s">
        <v>74</v>
      </c>
      <c r="H52" s="340"/>
      <c r="I52" s="340"/>
      <c r="J52" s="341"/>
      <c r="K52" s="341">
        <f t="shared" ref="K52:P52" si="53">K51/J51-1</f>
        <v>0.73527499999999968</v>
      </c>
      <c r="L52" s="341">
        <f t="shared" si="53"/>
        <v>0.68520169360764105</v>
      </c>
      <c r="M52" s="341">
        <f t="shared" si="53"/>
        <v>0.56479433280038771</v>
      </c>
      <c r="N52" s="341">
        <f t="shared" si="53"/>
        <v>0.4711541890943014</v>
      </c>
      <c r="O52" s="341">
        <f t="shared" si="53"/>
        <v>0.27603420596238437</v>
      </c>
      <c r="P52" s="341">
        <f t="shared" si="53"/>
        <v>0.1703436952519799</v>
      </c>
      <c r="Q52" s="341">
        <f t="shared" ref="Q52" si="54">Q51/P51-1</f>
        <v>0.1111141001108189</v>
      </c>
      <c r="R52" s="341">
        <f t="shared" ref="R52" si="55">R51/Q51-1</f>
        <v>7.3709588009044591E-2</v>
      </c>
      <c r="S52" s="341">
        <f t="shared" ref="S52" si="56">S51/R51-1</f>
        <v>5.2041150284589444E-2</v>
      </c>
      <c r="T52" s="341">
        <f t="shared" ref="T52" si="57">T51/S51-1</f>
        <v>4.4337076576739243E-2</v>
      </c>
    </row>
    <row r="54" spans="2:22" s="315" customFormat="1">
      <c r="B54" s="306" t="s">
        <v>187</v>
      </c>
      <c r="C54" s="220">
        <v>2013</v>
      </c>
      <c r="D54" s="220">
        <v>2014</v>
      </c>
      <c r="E54" s="220">
        <v>2015</v>
      </c>
      <c r="F54" s="220">
        <v>2016</v>
      </c>
      <c r="G54" s="220">
        <v>2017</v>
      </c>
      <c r="H54" s="220">
        <v>2018</v>
      </c>
      <c r="I54" s="220">
        <v>2019</v>
      </c>
      <c r="J54" s="220">
        <v>2020</v>
      </c>
      <c r="K54" s="220">
        <v>2021</v>
      </c>
      <c r="L54" s="220">
        <v>2022</v>
      </c>
      <c r="M54" s="220">
        <v>2023</v>
      </c>
      <c r="N54" s="220">
        <v>2024</v>
      </c>
      <c r="O54" s="220">
        <v>2025</v>
      </c>
      <c r="P54" s="220">
        <v>2026</v>
      </c>
      <c r="Q54" s="220">
        <v>2027</v>
      </c>
      <c r="R54" s="220">
        <v>2028</v>
      </c>
      <c r="S54" s="220">
        <v>2029</v>
      </c>
      <c r="T54" s="220">
        <v>2030</v>
      </c>
    </row>
    <row r="56" spans="2:22">
      <c r="B56" s="316" t="s">
        <v>188</v>
      </c>
      <c r="C56" s="332">
        <f>(743100000*(4/5)/100000)*6</f>
        <v>35668.800000000003</v>
      </c>
      <c r="D56" s="317">
        <f t="shared" ref="D56:P56" si="58">C56*(1+D57)</f>
        <v>36061.156799999997</v>
      </c>
      <c r="E56" s="317">
        <f t="shared" si="58"/>
        <v>36457.829524799992</v>
      </c>
      <c r="F56" s="317">
        <f t="shared" si="58"/>
        <v>36858.865649572792</v>
      </c>
      <c r="G56" s="317">
        <f t="shared" si="58"/>
        <v>37264.313171718088</v>
      </c>
      <c r="H56" s="317">
        <f t="shared" si="58"/>
        <v>37674.220616606981</v>
      </c>
      <c r="I56" s="317">
        <f t="shared" si="58"/>
        <v>38088.637043389652</v>
      </c>
      <c r="J56" s="318">
        <f t="shared" si="58"/>
        <v>38507.612050866934</v>
      </c>
      <c r="K56" s="318">
        <f t="shared" si="58"/>
        <v>38931.195783426469</v>
      </c>
      <c r="L56" s="318">
        <f t="shared" si="58"/>
        <v>39359.438937044157</v>
      </c>
      <c r="M56" s="318">
        <f t="shared" si="58"/>
        <v>39792.392765351637</v>
      </c>
      <c r="N56" s="318">
        <f t="shared" si="58"/>
        <v>40230.109085770498</v>
      </c>
      <c r="O56" s="318">
        <f t="shared" si="58"/>
        <v>40672.640285713969</v>
      </c>
      <c r="P56" s="318">
        <f t="shared" si="58"/>
        <v>41120.039328856816</v>
      </c>
      <c r="Q56" s="318">
        <f t="shared" ref="Q56" si="59">P56*(1+Q57)</f>
        <v>41572.359761474239</v>
      </c>
      <c r="R56" s="318">
        <f t="shared" ref="R56" si="60">Q56*(1+R57)</f>
        <v>42029.655718850452</v>
      </c>
      <c r="S56" s="318">
        <f t="shared" ref="S56" si="61">R56*(1+S57)</f>
        <v>42491.9819317578</v>
      </c>
      <c r="T56" s="318">
        <f t="shared" ref="T56" si="62">S56*(1+T57)</f>
        <v>42959.393733007135</v>
      </c>
    </row>
    <row r="57" spans="2:22" s="323" customFormat="1">
      <c r="B57" s="319" t="s">
        <v>173</v>
      </c>
      <c r="C57" s="320"/>
      <c r="D57" s="321">
        <v>1.0999999999999999E-2</v>
      </c>
      <c r="E57" s="321">
        <f t="shared" ref="E57:P57" si="63">D57</f>
        <v>1.0999999999999999E-2</v>
      </c>
      <c r="F57" s="321">
        <f t="shared" si="63"/>
        <v>1.0999999999999999E-2</v>
      </c>
      <c r="G57" s="321">
        <f t="shared" si="63"/>
        <v>1.0999999999999999E-2</v>
      </c>
      <c r="H57" s="321">
        <f t="shared" si="63"/>
        <v>1.0999999999999999E-2</v>
      </c>
      <c r="I57" s="321">
        <f t="shared" si="63"/>
        <v>1.0999999999999999E-2</v>
      </c>
      <c r="J57" s="322">
        <f t="shared" si="63"/>
        <v>1.0999999999999999E-2</v>
      </c>
      <c r="K57" s="322">
        <f t="shared" si="63"/>
        <v>1.0999999999999999E-2</v>
      </c>
      <c r="L57" s="322">
        <f t="shared" si="63"/>
        <v>1.0999999999999999E-2</v>
      </c>
      <c r="M57" s="322">
        <f t="shared" si="63"/>
        <v>1.0999999999999999E-2</v>
      </c>
      <c r="N57" s="322">
        <f t="shared" si="63"/>
        <v>1.0999999999999999E-2</v>
      </c>
      <c r="O57" s="322">
        <f t="shared" si="63"/>
        <v>1.0999999999999999E-2</v>
      </c>
      <c r="P57" s="322">
        <f t="shared" si="63"/>
        <v>1.0999999999999999E-2</v>
      </c>
      <c r="Q57" s="322">
        <f t="shared" ref="Q57" si="64">P57</f>
        <v>1.0999999999999999E-2</v>
      </c>
      <c r="R57" s="322">
        <f t="shared" ref="R57" si="65">Q57</f>
        <v>1.0999999999999999E-2</v>
      </c>
      <c r="S57" s="322">
        <f t="shared" ref="S57" si="66">R57</f>
        <v>1.0999999999999999E-2</v>
      </c>
      <c r="T57" s="322">
        <f t="shared" ref="T57" si="67">S57</f>
        <v>1.0999999999999999E-2</v>
      </c>
    </row>
    <row r="58" spans="2:22">
      <c r="B58" s="316"/>
      <c r="C58" s="324"/>
      <c r="D58" s="325"/>
      <c r="E58" s="325"/>
      <c r="F58" s="325"/>
      <c r="G58" s="325"/>
      <c r="H58" s="325"/>
      <c r="I58" s="325"/>
      <c r="J58" s="326"/>
      <c r="K58" s="326"/>
      <c r="L58" s="326"/>
      <c r="M58" s="326"/>
      <c r="N58" s="326"/>
      <c r="O58" s="326"/>
      <c r="P58" s="326"/>
      <c r="Q58" s="326"/>
      <c r="R58" s="326"/>
      <c r="S58" s="326"/>
      <c r="T58" s="326"/>
    </row>
    <row r="59" spans="2:22">
      <c r="B59" s="316" t="s">
        <v>176</v>
      </c>
      <c r="C59" s="327">
        <f>C56*C60</f>
        <v>21401.280000000002</v>
      </c>
      <c r="D59" s="327">
        <f t="shared" ref="D59:P59" si="68">D56*D60</f>
        <v>21636.694079999997</v>
      </c>
      <c r="E59" s="327">
        <f t="shared" si="68"/>
        <v>21874.697714879996</v>
      </c>
      <c r="F59" s="327">
        <f t="shared" si="68"/>
        <v>22115.319389743676</v>
      </c>
      <c r="G59" s="327">
        <f t="shared" si="68"/>
        <v>22358.587903030853</v>
      </c>
      <c r="H59" s="327">
        <f t="shared" si="68"/>
        <v>22604.532369964189</v>
      </c>
      <c r="I59" s="327">
        <f t="shared" si="68"/>
        <v>22853.18222603379</v>
      </c>
      <c r="J59" s="328">
        <f t="shared" si="68"/>
        <v>23104.567230520159</v>
      </c>
      <c r="K59" s="328">
        <f t="shared" si="68"/>
        <v>23358.717470055879</v>
      </c>
      <c r="L59" s="328">
        <f t="shared" si="68"/>
        <v>23615.663362226493</v>
      </c>
      <c r="M59" s="328">
        <f t="shared" si="68"/>
        <v>23875.43565921098</v>
      </c>
      <c r="N59" s="328">
        <f t="shared" si="68"/>
        <v>24138.065451462298</v>
      </c>
      <c r="O59" s="328">
        <f t="shared" si="68"/>
        <v>24403.584171428382</v>
      </c>
      <c r="P59" s="328">
        <f t="shared" si="68"/>
        <v>24672.023597314088</v>
      </c>
      <c r="Q59" s="328">
        <f t="shared" ref="Q59:T59" si="69">Q56*Q60</f>
        <v>24943.415856884541</v>
      </c>
      <c r="R59" s="328">
        <f t="shared" si="69"/>
        <v>25217.793431310271</v>
      </c>
      <c r="S59" s="328">
        <f t="shared" si="69"/>
        <v>25495.18915905468</v>
      </c>
      <c r="T59" s="328">
        <f t="shared" si="69"/>
        <v>25775.63623980428</v>
      </c>
    </row>
    <row r="60" spans="2:22" s="323" customFormat="1">
      <c r="B60" s="319" t="s">
        <v>174</v>
      </c>
      <c r="C60" s="329">
        <v>0.6</v>
      </c>
      <c r="D60" s="330">
        <f t="shared" ref="D60:P60" si="70">C60</f>
        <v>0.6</v>
      </c>
      <c r="E60" s="330">
        <f t="shared" si="70"/>
        <v>0.6</v>
      </c>
      <c r="F60" s="330">
        <f t="shared" si="70"/>
        <v>0.6</v>
      </c>
      <c r="G60" s="330">
        <f t="shared" si="70"/>
        <v>0.6</v>
      </c>
      <c r="H60" s="330">
        <f t="shared" si="70"/>
        <v>0.6</v>
      </c>
      <c r="I60" s="330">
        <f t="shared" si="70"/>
        <v>0.6</v>
      </c>
      <c r="J60" s="331">
        <f t="shared" si="70"/>
        <v>0.6</v>
      </c>
      <c r="K60" s="331">
        <f t="shared" si="70"/>
        <v>0.6</v>
      </c>
      <c r="L60" s="331">
        <f t="shared" si="70"/>
        <v>0.6</v>
      </c>
      <c r="M60" s="331">
        <f t="shared" si="70"/>
        <v>0.6</v>
      </c>
      <c r="N60" s="331">
        <f t="shared" si="70"/>
        <v>0.6</v>
      </c>
      <c r="O60" s="331">
        <f t="shared" si="70"/>
        <v>0.6</v>
      </c>
      <c r="P60" s="331">
        <f t="shared" si="70"/>
        <v>0.6</v>
      </c>
      <c r="Q60" s="331">
        <f t="shared" ref="Q60" si="71">P60</f>
        <v>0.6</v>
      </c>
      <c r="R60" s="331">
        <f t="shared" ref="R60" si="72">Q60</f>
        <v>0.6</v>
      </c>
      <c r="S60" s="331">
        <f t="shared" ref="S60" si="73">R60</f>
        <v>0.6</v>
      </c>
      <c r="T60" s="331">
        <f t="shared" ref="T60" si="74">S60</f>
        <v>0.6</v>
      </c>
    </row>
    <row r="61" spans="2:22" s="213" customFormat="1">
      <c r="B61" s="316"/>
      <c r="C61" s="324"/>
      <c r="D61" s="324"/>
      <c r="E61" s="324"/>
      <c r="F61" s="324"/>
      <c r="G61" s="324"/>
      <c r="H61" s="325"/>
      <c r="I61" s="325"/>
      <c r="J61" s="326"/>
      <c r="K61" s="326"/>
      <c r="L61" s="326"/>
      <c r="M61" s="326"/>
      <c r="N61" s="326"/>
      <c r="O61" s="326"/>
      <c r="P61" s="326"/>
      <c r="Q61" s="326"/>
      <c r="R61" s="326"/>
      <c r="S61" s="326"/>
      <c r="T61" s="326"/>
    </row>
    <row r="62" spans="2:22">
      <c r="B62" s="316" t="s">
        <v>183</v>
      </c>
      <c r="C62" s="317"/>
      <c r="D62" s="317"/>
      <c r="E62" s="317"/>
      <c r="F62" s="317"/>
      <c r="G62" s="317"/>
      <c r="H62" s="317"/>
      <c r="I62" s="318">
        <f>I59</f>
        <v>22853.18222603379</v>
      </c>
      <c r="J62" s="318">
        <f t="shared" ref="J62" si="75">I62-I68+(J59-I59)</f>
        <v>23104.567230520159</v>
      </c>
      <c r="K62" s="318">
        <f t="shared" ref="K62:P62" si="76">J62-J68+(K59-J59)</f>
        <v>23358.717470055879</v>
      </c>
      <c r="L62" s="318">
        <f t="shared" si="76"/>
        <v>23031.695425475096</v>
      </c>
      <c r="M62" s="318">
        <f t="shared" si="76"/>
        <v>22571.727240413486</v>
      </c>
      <c r="N62" s="318">
        <f t="shared" si="76"/>
        <v>21776.307318270421</v>
      </c>
      <c r="O62" s="318">
        <f t="shared" si="76"/>
        <v>20510.679429920616</v>
      </c>
      <c r="P62" s="318">
        <f t="shared" si="76"/>
        <v>18615.883134681884</v>
      </c>
      <c r="Q62" s="318">
        <f t="shared" ref="Q62" si="77">P62-P68+(Q59-P59)</f>
        <v>16433.032988801111</v>
      </c>
      <c r="R62" s="318">
        <f t="shared" ref="R62" si="78">Q62-Q68+(R59-Q59)</f>
        <v>14215.976606672766</v>
      </c>
      <c r="S62" s="318">
        <f t="shared" ref="S62" si="79">R62-R68+(S59-R59)</f>
        <v>12122.538931092427</v>
      </c>
      <c r="T62" s="318">
        <f t="shared" ref="T62" si="80">S62-S68+(T59-S59)</f>
        <v>10280.195078975645</v>
      </c>
    </row>
    <row r="63" spans="2:22" s="323" customFormat="1">
      <c r="B63" s="319"/>
      <c r="C63" s="320"/>
      <c r="D63" s="321"/>
      <c r="E63" s="321"/>
      <c r="F63" s="321"/>
      <c r="G63" s="321"/>
      <c r="H63" s="321"/>
      <c r="I63" s="321"/>
      <c r="J63" s="322"/>
      <c r="K63" s="322"/>
      <c r="L63" s="322"/>
      <c r="M63" s="322"/>
      <c r="N63" s="322"/>
      <c r="O63" s="322"/>
      <c r="P63" s="322"/>
      <c r="Q63" s="322"/>
      <c r="R63" s="322"/>
      <c r="S63" s="322"/>
      <c r="T63" s="322"/>
    </row>
    <row r="64" spans="2:22">
      <c r="B64" s="316"/>
      <c r="C64" s="324"/>
      <c r="D64" s="325"/>
      <c r="E64" s="325"/>
      <c r="F64" s="325"/>
      <c r="G64" s="325"/>
      <c r="H64" s="325"/>
      <c r="I64" s="325"/>
      <c r="J64" s="326"/>
      <c r="K64" s="326"/>
      <c r="L64" s="326"/>
      <c r="M64" s="326"/>
      <c r="N64" s="326"/>
      <c r="O64" s="326"/>
      <c r="P64" s="326"/>
      <c r="Q64" s="326"/>
      <c r="R64" s="326"/>
      <c r="S64" s="326"/>
      <c r="T64" s="326"/>
    </row>
    <row r="65" spans="2:22">
      <c r="B65" s="316" t="s">
        <v>184</v>
      </c>
      <c r="C65" s="317"/>
      <c r="D65" s="317"/>
      <c r="E65" s="317"/>
      <c r="F65" s="317"/>
      <c r="G65" s="317"/>
      <c r="H65" s="317"/>
      <c r="I65" s="318">
        <f t="shared" ref="I65:P65" si="81">H65+H68</f>
        <v>0</v>
      </c>
      <c r="J65" s="318">
        <f t="shared" si="81"/>
        <v>0</v>
      </c>
      <c r="K65" s="318">
        <f t="shared" si="81"/>
        <v>0</v>
      </c>
      <c r="L65" s="318">
        <f t="shared" si="81"/>
        <v>583.96793675139702</v>
      </c>
      <c r="M65" s="318">
        <f t="shared" si="81"/>
        <v>1303.7084187974938</v>
      </c>
      <c r="N65" s="318">
        <f t="shared" si="81"/>
        <v>2361.7581331918759</v>
      </c>
      <c r="O65" s="318">
        <f t="shared" si="81"/>
        <v>3892.9047415077648</v>
      </c>
      <c r="P65" s="318">
        <f t="shared" si="81"/>
        <v>6056.1404626322046</v>
      </c>
      <c r="Q65" s="318">
        <f t="shared" ref="Q65" si="82">P65+P68</f>
        <v>8510.3828680834304</v>
      </c>
      <c r="R65" s="318">
        <f t="shared" ref="R65" si="83">Q65+Q68</f>
        <v>11001.816824637504</v>
      </c>
      <c r="S65" s="318">
        <f t="shared" ref="S65" si="84">R65+R68</f>
        <v>13372.650227962253</v>
      </c>
      <c r="T65" s="318">
        <f t="shared" ref="T65" si="85">S65+S68</f>
        <v>15495.441160828635</v>
      </c>
    </row>
    <row r="66" spans="2:22" s="323" customFormat="1">
      <c r="B66" s="319"/>
      <c r="C66" s="320"/>
      <c r="D66" s="321"/>
      <c r="E66" s="321"/>
      <c r="F66" s="321"/>
      <c r="G66" s="321"/>
      <c r="H66" s="321"/>
      <c r="I66" s="321"/>
      <c r="J66" s="322"/>
      <c r="K66" s="322"/>
      <c r="L66" s="322"/>
      <c r="M66" s="322"/>
      <c r="N66" s="322"/>
      <c r="O66" s="322"/>
      <c r="P66" s="322"/>
      <c r="Q66" s="322"/>
      <c r="R66" s="322"/>
      <c r="S66" s="322"/>
      <c r="T66" s="322"/>
    </row>
    <row r="67" spans="2:22" s="323" customFormat="1">
      <c r="B67" s="319"/>
      <c r="C67" s="320"/>
      <c r="D67" s="321"/>
      <c r="E67" s="321"/>
      <c r="F67" s="321"/>
      <c r="G67" s="321"/>
      <c r="H67" s="321"/>
      <c r="I67" s="321"/>
      <c r="J67" s="322"/>
      <c r="K67" s="322"/>
      <c r="L67" s="322"/>
      <c r="M67" s="322"/>
      <c r="N67" s="322"/>
      <c r="O67" s="322"/>
      <c r="P67" s="322"/>
      <c r="Q67" s="322"/>
      <c r="R67" s="322"/>
      <c r="S67" s="322"/>
      <c r="T67" s="322"/>
    </row>
    <row r="68" spans="2:22" s="213" customFormat="1">
      <c r="B68" s="316" t="s">
        <v>185</v>
      </c>
      <c r="C68" s="327"/>
      <c r="D68" s="327"/>
      <c r="E68" s="327"/>
      <c r="F68" s="327"/>
      <c r="G68" s="327"/>
      <c r="H68" s="317"/>
      <c r="I68" s="318">
        <f t="shared" ref="I68:K68" si="86">I69*I62</f>
        <v>0</v>
      </c>
      <c r="J68" s="318">
        <f t="shared" si="86"/>
        <v>0</v>
      </c>
      <c r="K68" s="318">
        <f t="shared" si="86"/>
        <v>583.96793675139702</v>
      </c>
      <c r="L68" s="318">
        <f t="shared" ref="L68:O68" si="87">L69*L62</f>
        <v>719.74048204609676</v>
      </c>
      <c r="M68" s="318">
        <f t="shared" si="87"/>
        <v>1058.0497143943821</v>
      </c>
      <c r="N68" s="318">
        <f t="shared" si="87"/>
        <v>1531.1466083158889</v>
      </c>
      <c r="O68" s="318">
        <f t="shared" si="87"/>
        <v>2163.2357211244398</v>
      </c>
      <c r="P68" s="318">
        <f>P69*P62</f>
        <v>2454.2424054512248</v>
      </c>
      <c r="Q68" s="318">
        <f t="shared" ref="Q68:T68" si="88">Q69*Q62</f>
        <v>2491.4339565540745</v>
      </c>
      <c r="R68" s="318">
        <f t="shared" si="88"/>
        <v>2370.8334033247479</v>
      </c>
      <c r="S68" s="318">
        <f t="shared" si="88"/>
        <v>2122.7909328663818</v>
      </c>
      <c r="T68" s="318">
        <f t="shared" si="88"/>
        <v>1800.176103850263</v>
      </c>
    </row>
    <row r="69" spans="2:22" s="323" customFormat="1">
      <c r="B69" s="319" t="s">
        <v>178</v>
      </c>
      <c r="C69" s="329"/>
      <c r="D69" s="330"/>
      <c r="E69" s="330"/>
      <c r="F69" s="330"/>
      <c r="G69" s="330"/>
      <c r="H69" s="330"/>
      <c r="I69" s="595">
        <f t="shared" ref="I69:T69" si="89">CHOOSE($I$3,I18,I19,I20)</f>
        <v>0</v>
      </c>
      <c r="J69" s="595">
        <f t="shared" si="89"/>
        <v>0</v>
      </c>
      <c r="K69" s="595">
        <f t="shared" si="89"/>
        <v>2.5000000000000001E-2</v>
      </c>
      <c r="L69" s="595">
        <f t="shared" si="89"/>
        <v>3.125E-2</v>
      </c>
      <c r="M69" s="595">
        <f t="shared" si="89"/>
        <v>4.6875E-2</v>
      </c>
      <c r="N69" s="595">
        <f t="shared" si="89"/>
        <v>7.03125E-2</v>
      </c>
      <c r="O69" s="595">
        <f t="shared" si="89"/>
        <v>0.10546875</v>
      </c>
      <c r="P69" s="595">
        <f t="shared" si="89"/>
        <v>0.1318359375</v>
      </c>
      <c r="Q69" s="595">
        <f t="shared" si="89"/>
        <v>0.151611328125</v>
      </c>
      <c r="R69" s="595">
        <f t="shared" si="89"/>
        <v>0.16677246093750001</v>
      </c>
      <c r="S69" s="595">
        <f t="shared" si="89"/>
        <v>0.17511108398437503</v>
      </c>
      <c r="T69" s="595">
        <f t="shared" si="89"/>
        <v>0.17511108398437503</v>
      </c>
    </row>
    <row r="70" spans="2:22" s="323" customFormat="1">
      <c r="B70" s="319"/>
      <c r="C70" s="320"/>
      <c r="D70" s="321"/>
      <c r="E70" s="321"/>
      <c r="F70" s="321"/>
      <c r="G70" s="321"/>
      <c r="H70" s="321"/>
      <c r="I70" s="321"/>
      <c r="J70" s="322"/>
      <c r="K70" s="322"/>
      <c r="L70" s="322"/>
      <c r="M70" s="322"/>
      <c r="N70" s="322"/>
      <c r="O70" s="322"/>
      <c r="P70" s="322"/>
      <c r="Q70" s="322"/>
      <c r="R70" s="322"/>
      <c r="S70" s="322"/>
      <c r="T70" s="322"/>
    </row>
    <row r="71" spans="2:22">
      <c r="B71" s="316" t="s">
        <v>186</v>
      </c>
      <c r="C71" s="317"/>
      <c r="D71" s="317"/>
      <c r="E71" s="317"/>
      <c r="F71" s="317"/>
      <c r="G71" s="317"/>
      <c r="H71" s="317"/>
      <c r="I71" s="318">
        <f t="shared" ref="I71:P71" si="90">I65*I72</f>
        <v>0</v>
      </c>
      <c r="J71" s="318">
        <f t="shared" si="90"/>
        <v>0</v>
      </c>
      <c r="K71" s="318">
        <f t="shared" si="90"/>
        <v>0</v>
      </c>
      <c r="L71" s="318">
        <f t="shared" si="90"/>
        <v>0</v>
      </c>
      <c r="M71" s="318">
        <f t="shared" si="90"/>
        <v>0</v>
      </c>
      <c r="N71" s="318">
        <f t="shared" si="90"/>
        <v>0</v>
      </c>
      <c r="O71" s="318">
        <f t="shared" si="90"/>
        <v>0</v>
      </c>
      <c r="P71" s="318">
        <f t="shared" si="90"/>
        <v>0</v>
      </c>
      <c r="Q71" s="318">
        <f t="shared" ref="Q71:T71" si="91">Q65*Q72</f>
        <v>0</v>
      </c>
      <c r="R71" s="318">
        <f t="shared" si="91"/>
        <v>0</v>
      </c>
      <c r="S71" s="318">
        <f t="shared" si="91"/>
        <v>0</v>
      </c>
      <c r="T71" s="318">
        <f t="shared" si="91"/>
        <v>0</v>
      </c>
    </row>
    <row r="72" spans="2:22" s="323" customFormat="1">
      <c r="B72" s="319" t="s">
        <v>178</v>
      </c>
      <c r="C72" s="329"/>
      <c r="D72" s="330"/>
      <c r="E72" s="330"/>
      <c r="F72" s="330"/>
      <c r="G72" s="330"/>
      <c r="H72" s="330"/>
      <c r="I72" s="595">
        <f t="shared" ref="I72:T72" si="92">CHOOSE($I$3,I23,I24,I25)</f>
        <v>0</v>
      </c>
      <c r="J72" s="595">
        <f t="shared" si="92"/>
        <v>0</v>
      </c>
      <c r="K72" s="595">
        <f t="shared" si="92"/>
        <v>0</v>
      </c>
      <c r="L72" s="595">
        <f t="shared" si="92"/>
        <v>0</v>
      </c>
      <c r="M72" s="595">
        <f t="shared" si="92"/>
        <v>0</v>
      </c>
      <c r="N72" s="595">
        <f t="shared" si="92"/>
        <v>0</v>
      </c>
      <c r="O72" s="595">
        <f t="shared" si="92"/>
        <v>0</v>
      </c>
      <c r="P72" s="595">
        <f t="shared" si="92"/>
        <v>0</v>
      </c>
      <c r="Q72" s="595">
        <f t="shared" si="92"/>
        <v>0</v>
      </c>
      <c r="R72" s="595">
        <f t="shared" si="92"/>
        <v>0</v>
      </c>
      <c r="S72" s="595">
        <f t="shared" si="92"/>
        <v>0</v>
      </c>
      <c r="T72" s="595">
        <f t="shared" si="92"/>
        <v>0</v>
      </c>
    </row>
    <row r="73" spans="2:22" s="323" customFormat="1">
      <c r="B73" s="319"/>
      <c r="C73" s="320"/>
      <c r="D73" s="321"/>
      <c r="E73" s="321"/>
      <c r="F73" s="321"/>
      <c r="G73" s="321"/>
      <c r="H73" s="321"/>
      <c r="I73" s="321"/>
      <c r="J73" s="322"/>
      <c r="K73" s="322"/>
      <c r="L73" s="322"/>
      <c r="M73" s="322"/>
      <c r="N73" s="322"/>
      <c r="O73" s="322"/>
      <c r="P73" s="322"/>
      <c r="Q73" s="322"/>
      <c r="R73" s="322"/>
      <c r="S73" s="322"/>
      <c r="T73" s="322"/>
    </row>
    <row r="74" spans="2:22" s="323" customFormat="1">
      <c r="B74" s="319" t="s">
        <v>175</v>
      </c>
      <c r="C74" s="320"/>
      <c r="D74" s="321"/>
      <c r="E74" s="321"/>
      <c r="F74" s="321"/>
      <c r="G74" s="321"/>
      <c r="H74" s="321"/>
      <c r="I74" s="322">
        <v>-0.02</v>
      </c>
      <c r="J74" s="322">
        <f t="shared" ref="J74" si="93">I74</f>
        <v>-0.02</v>
      </c>
      <c r="K74" s="322">
        <f t="shared" ref="K74:P74" si="94">J74</f>
        <v>-0.02</v>
      </c>
      <c r="L74" s="322">
        <f t="shared" si="94"/>
        <v>-0.02</v>
      </c>
      <c r="M74" s="322">
        <f t="shared" si="94"/>
        <v>-0.02</v>
      </c>
      <c r="N74" s="322">
        <f t="shared" si="94"/>
        <v>-0.02</v>
      </c>
      <c r="O74" s="322">
        <f t="shared" si="94"/>
        <v>-0.02</v>
      </c>
      <c r="P74" s="322">
        <f t="shared" si="94"/>
        <v>-0.02</v>
      </c>
      <c r="Q74" s="322">
        <f t="shared" ref="Q74" si="95">P74</f>
        <v>-0.02</v>
      </c>
      <c r="R74" s="322">
        <f t="shared" ref="R74" si="96">Q74</f>
        <v>-0.02</v>
      </c>
      <c r="S74" s="322">
        <f t="shared" ref="S74" si="97">R74</f>
        <v>-0.02</v>
      </c>
      <c r="T74" s="322">
        <f t="shared" ref="T74" si="98">S74</f>
        <v>-0.02</v>
      </c>
    </row>
    <row r="75" spans="2:22">
      <c r="B75" s="333" t="s">
        <v>527</v>
      </c>
      <c r="C75" s="327"/>
      <c r="D75" s="327"/>
      <c r="E75" s="327"/>
      <c r="F75" s="327"/>
      <c r="G75" s="327"/>
      <c r="H75" s="317"/>
      <c r="I75" s="318">
        <v>0</v>
      </c>
      <c r="J75" s="318">
        <f>J48*0.75</f>
        <v>225</v>
      </c>
      <c r="K75" s="318">
        <f t="shared" ref="K75:T75" si="99">J75*(1+K74)</f>
        <v>220.5</v>
      </c>
      <c r="L75" s="318">
        <f t="shared" si="99"/>
        <v>216.09</v>
      </c>
      <c r="M75" s="318">
        <f t="shared" si="99"/>
        <v>211.76820000000001</v>
      </c>
      <c r="N75" s="318">
        <f t="shared" si="99"/>
        <v>207.532836</v>
      </c>
      <c r="O75" s="318">
        <f t="shared" si="99"/>
        <v>203.38217928</v>
      </c>
      <c r="P75" s="318">
        <f t="shared" si="99"/>
        <v>199.31453569440001</v>
      </c>
      <c r="Q75" s="318">
        <f t="shared" si="99"/>
        <v>195.32824498051201</v>
      </c>
      <c r="R75" s="318">
        <f t="shared" si="99"/>
        <v>191.42168008090178</v>
      </c>
      <c r="S75" s="318">
        <f t="shared" si="99"/>
        <v>187.59324647928375</v>
      </c>
      <c r="T75" s="318">
        <f t="shared" si="99"/>
        <v>183.84138154969807</v>
      </c>
    </row>
    <row r="76" spans="2:22">
      <c r="B76" s="333" t="s">
        <v>526</v>
      </c>
      <c r="C76" s="327"/>
      <c r="D76" s="327"/>
      <c r="E76" s="327"/>
      <c r="F76" s="327"/>
      <c r="G76" s="327"/>
      <c r="H76" s="317"/>
      <c r="I76" s="318">
        <v>0</v>
      </c>
      <c r="J76" s="318">
        <f>J49*0.75</f>
        <v>112.5</v>
      </c>
      <c r="K76" s="318">
        <f t="shared" ref="K76:T76" si="100">J76*(1+K74)</f>
        <v>110.25</v>
      </c>
      <c r="L76" s="318">
        <f t="shared" si="100"/>
        <v>108.045</v>
      </c>
      <c r="M76" s="318">
        <f t="shared" si="100"/>
        <v>105.8841</v>
      </c>
      <c r="N76" s="318">
        <f t="shared" si="100"/>
        <v>103.766418</v>
      </c>
      <c r="O76" s="318">
        <f t="shared" si="100"/>
        <v>101.69108964</v>
      </c>
      <c r="P76" s="318">
        <f t="shared" si="100"/>
        <v>99.657267847200004</v>
      </c>
      <c r="Q76" s="318">
        <f t="shared" si="100"/>
        <v>97.664122490256005</v>
      </c>
      <c r="R76" s="318">
        <f t="shared" si="100"/>
        <v>95.71084004045089</v>
      </c>
      <c r="S76" s="318">
        <f t="shared" si="100"/>
        <v>93.796623239641875</v>
      </c>
      <c r="T76" s="318">
        <f t="shared" si="100"/>
        <v>91.920690774849035</v>
      </c>
      <c r="V76" s="205" t="s">
        <v>182</v>
      </c>
    </row>
    <row r="77" spans="2:22">
      <c r="H77" s="334"/>
      <c r="I77" s="334"/>
      <c r="J77" s="334"/>
      <c r="K77" s="334"/>
      <c r="L77" s="334"/>
      <c r="M77" s="334"/>
      <c r="N77" s="334"/>
      <c r="O77" s="334"/>
      <c r="P77" s="334"/>
      <c r="Q77" s="334"/>
      <c r="R77" s="334"/>
      <c r="S77" s="334"/>
      <c r="T77" s="334"/>
    </row>
    <row r="78" spans="2:22">
      <c r="B78" s="335" t="s">
        <v>189</v>
      </c>
      <c r="C78" s="336"/>
      <c r="D78" s="336"/>
      <c r="E78" s="336"/>
      <c r="F78" s="337"/>
      <c r="G78" s="337"/>
      <c r="H78" s="338"/>
      <c r="I78" s="339">
        <f t="shared" ref="I78:J78" si="101">(((I68*I75)+(I71*I75))/1000+I65*I76/1000)*I81</f>
        <v>0</v>
      </c>
      <c r="J78" s="339">
        <f t="shared" si="101"/>
        <v>0</v>
      </c>
      <c r="K78" s="339">
        <f>(((K68*K75)+(K71*K75))/1000+K65*K76/1000)*K81</f>
        <v>51.505972021473212</v>
      </c>
      <c r="L78" s="339">
        <f t="shared" ref="L78:T78" si="102">(((L68*L75)+(L71*L75))/1000+L65*L76/1000)*L81</f>
        <v>87.449414596658301</v>
      </c>
      <c r="M78" s="339">
        <f t="shared" si="102"/>
        <v>144.84131044584325</v>
      </c>
      <c r="N78" s="339">
        <f t="shared" si="102"/>
        <v>225.13375184770621</v>
      </c>
      <c r="O78" s="339">
        <f t="shared" si="102"/>
        <v>334.33492811491124</v>
      </c>
      <c r="P78" s="339">
        <f t="shared" si="102"/>
        <v>437.08183909152871</v>
      </c>
      <c r="Q78" s="339">
        <f t="shared" si="102"/>
        <v>527.12259883441482</v>
      </c>
      <c r="R78" s="339">
        <f t="shared" si="102"/>
        <v>602.72881740542687</v>
      </c>
      <c r="S78" s="339">
        <f t="shared" si="102"/>
        <v>661.01227113635139</v>
      </c>
      <c r="T78" s="339">
        <f t="shared" si="102"/>
        <v>702.11940693159272</v>
      </c>
    </row>
    <row r="79" spans="2:22" s="323" customFormat="1">
      <c r="B79" s="319" t="s">
        <v>74</v>
      </c>
      <c r="H79" s="340"/>
      <c r="I79" s="341"/>
      <c r="J79" s="341"/>
      <c r="K79" s="341"/>
      <c r="L79" s="341">
        <f t="shared" ref="L79:P79" si="103">L78/K78-1</f>
        <v>0.69785000000000008</v>
      </c>
      <c r="M79" s="341">
        <f t="shared" si="103"/>
        <v>0.6562867929292926</v>
      </c>
      <c r="N79" s="341">
        <f t="shared" si="103"/>
        <v>0.55434765920517282</v>
      </c>
      <c r="O79" s="341">
        <f t="shared" si="103"/>
        <v>0.48505022179470969</v>
      </c>
      <c r="P79" s="341">
        <f t="shared" si="103"/>
        <v>0.30731731068583801</v>
      </c>
      <c r="Q79" s="341">
        <f t="shared" ref="Q79" si="104">Q78/P78-1</f>
        <v>0.20600434904830434</v>
      </c>
      <c r="R79" s="341">
        <f t="shared" ref="R79" si="105">R78/Q78-1</f>
        <v>0.14343194303980544</v>
      </c>
      <c r="S79" s="341">
        <f t="shared" ref="S79" si="106">S78/R78-1</f>
        <v>9.6699298337547424E-2</v>
      </c>
      <c r="T79" s="341">
        <f t="shared" ref="T79" si="107">T78/S78-1</f>
        <v>6.2188158359864909E-2</v>
      </c>
    </row>
    <row r="81" spans="2:28">
      <c r="B81" s="205" t="s">
        <v>528</v>
      </c>
      <c r="I81" s="566">
        <v>0.4</v>
      </c>
      <c r="J81" s="566">
        <f>I81</f>
        <v>0.4</v>
      </c>
      <c r="K81" s="566">
        <f t="shared" ref="K81:T81" si="108">J81</f>
        <v>0.4</v>
      </c>
      <c r="L81" s="566">
        <f t="shared" si="108"/>
        <v>0.4</v>
      </c>
      <c r="M81" s="566">
        <f t="shared" si="108"/>
        <v>0.4</v>
      </c>
      <c r="N81" s="566">
        <f t="shared" si="108"/>
        <v>0.4</v>
      </c>
      <c r="O81" s="566">
        <f t="shared" si="108"/>
        <v>0.4</v>
      </c>
      <c r="P81" s="566">
        <f t="shared" si="108"/>
        <v>0.4</v>
      </c>
      <c r="Q81" s="566">
        <f t="shared" si="108"/>
        <v>0.4</v>
      </c>
      <c r="R81" s="566">
        <f t="shared" si="108"/>
        <v>0.4</v>
      </c>
      <c r="S81" s="566">
        <f t="shared" si="108"/>
        <v>0.4</v>
      </c>
      <c r="T81" s="566">
        <f t="shared" si="108"/>
        <v>0.4</v>
      </c>
    </row>
    <row r="82" spans="2:28">
      <c r="B82" s="335" t="s">
        <v>180</v>
      </c>
      <c r="C82" s="336"/>
      <c r="D82" s="336"/>
      <c r="E82" s="336"/>
      <c r="F82" s="337"/>
      <c r="G82" s="337"/>
      <c r="H82" s="338"/>
      <c r="I82" s="339">
        <f>IF($I$5=2,I78+I51,0)</f>
        <v>0</v>
      </c>
      <c r="J82" s="339">
        <f t="shared" ref="J82:T82" si="109">IF($I$5=2,J78+J51,0)</f>
        <v>62.184274607778654</v>
      </c>
      <c r="K82" s="339">
        <f t="shared" si="109"/>
        <v>159.41278914148631</v>
      </c>
      <c r="L82" s="339">
        <f t="shared" si="109"/>
        <v>269.29416555911439</v>
      </c>
      <c r="M82" s="339">
        <f t="shared" si="109"/>
        <v>429.39094620139235</v>
      </c>
      <c r="N82" s="339">
        <f t="shared" si="109"/>
        <v>643.75014049473987</v>
      </c>
      <c r="O82" s="339">
        <f t="shared" si="109"/>
        <v>868.5037592049697</v>
      </c>
      <c r="P82" s="339">
        <f t="shared" si="109"/>
        <v>1062.2429627578983</v>
      </c>
      <c r="Q82" s="339">
        <f t="shared" si="109"/>
        <v>1221.7479381812416</v>
      </c>
      <c r="R82" s="339">
        <f t="shared" si="109"/>
        <v>1348.5547043361512</v>
      </c>
      <c r="S82" s="339">
        <f t="shared" si="109"/>
        <v>1445.6517951349747</v>
      </c>
      <c r="T82" s="339">
        <f t="shared" si="109"/>
        <v>1521.547553590879</v>
      </c>
    </row>
    <row r="83" spans="2:28" s="323" customFormat="1">
      <c r="B83" s="319" t="s">
        <v>74</v>
      </c>
      <c r="H83" s="340"/>
      <c r="I83" s="340"/>
      <c r="J83" s="341"/>
      <c r="K83" s="341">
        <f t="shared" ref="K83:P83" si="110">K82/J82-1</f>
        <v>1.5635546952499997</v>
      </c>
      <c r="L83" s="341">
        <f t="shared" si="110"/>
        <v>0.68928833758816688</v>
      </c>
      <c r="M83" s="341">
        <f t="shared" si="110"/>
        <v>0.59450519586966011</v>
      </c>
      <c r="N83" s="341">
        <f t="shared" si="110"/>
        <v>0.49921684700079605</v>
      </c>
      <c r="O83" s="341">
        <f t="shared" si="110"/>
        <v>0.34913175869367641</v>
      </c>
      <c r="P83" s="341">
        <f t="shared" si="110"/>
        <v>0.22307238339449209</v>
      </c>
      <c r="Q83" s="341">
        <f t="shared" ref="Q83" si="111">Q82/P82-1</f>
        <v>0.15015865580245502</v>
      </c>
      <c r="R83" s="341">
        <f t="shared" ref="R83" si="112">R82/Q82-1</f>
        <v>0.10379126675153705</v>
      </c>
      <c r="S83" s="341">
        <f t="shared" ref="S83" si="113">S82/R82-1</f>
        <v>7.2000854312114226E-2</v>
      </c>
      <c r="T83" s="341">
        <f t="shared" ref="T83" si="114">T82/S82-1</f>
        <v>5.2499335394121216E-2</v>
      </c>
    </row>
    <row r="86" spans="2:28" ht="13.5" thickBot="1">
      <c r="B86" s="674" t="s">
        <v>535</v>
      </c>
      <c r="C86" s="675"/>
      <c r="D86" s="675"/>
      <c r="E86" s="675"/>
      <c r="F86" s="675"/>
      <c r="G86" s="675"/>
      <c r="H86" s="675"/>
      <c r="I86" s="675"/>
      <c r="J86" s="676">
        <f>J7</f>
        <v>2020</v>
      </c>
      <c r="K86" s="676">
        <f t="shared" ref="K86:T86" si="115">K7</f>
        <v>2021</v>
      </c>
      <c r="L86" s="676">
        <f t="shared" si="115"/>
        <v>2022</v>
      </c>
      <c r="M86" s="676">
        <f t="shared" si="115"/>
        <v>2023</v>
      </c>
      <c r="N86" s="676">
        <f t="shared" si="115"/>
        <v>2024</v>
      </c>
      <c r="O86" s="676">
        <f t="shared" si="115"/>
        <v>2025</v>
      </c>
      <c r="P86" s="676">
        <f t="shared" si="115"/>
        <v>2026</v>
      </c>
      <c r="Q86" s="676">
        <f t="shared" si="115"/>
        <v>2027</v>
      </c>
      <c r="R86" s="676">
        <f t="shared" si="115"/>
        <v>2028</v>
      </c>
      <c r="S86" s="676">
        <f t="shared" si="115"/>
        <v>2029</v>
      </c>
      <c r="T86" s="676">
        <f t="shared" si="115"/>
        <v>2030</v>
      </c>
      <c r="U86" s="347"/>
      <c r="V86" s="347"/>
      <c r="W86" s="347"/>
      <c r="X86" s="347"/>
      <c r="Y86" s="347"/>
      <c r="Z86" s="347"/>
      <c r="AA86" s="347"/>
      <c r="AB86" s="347"/>
    </row>
    <row r="87" spans="2:28">
      <c r="B87" s="240"/>
      <c r="J87" s="345"/>
      <c r="K87" s="345"/>
      <c r="L87" s="345"/>
      <c r="M87" s="345"/>
      <c r="N87" s="345"/>
      <c r="O87" s="345"/>
      <c r="P87" s="347"/>
      <c r="Q87" s="347"/>
      <c r="R87" s="347"/>
      <c r="S87" s="347"/>
      <c r="T87" s="347"/>
      <c r="U87" s="347"/>
      <c r="V87" s="347"/>
      <c r="W87" s="347"/>
      <c r="X87" s="347"/>
      <c r="Y87" s="347"/>
      <c r="Z87" s="347"/>
      <c r="AA87" s="347"/>
      <c r="AB87" s="347"/>
    </row>
    <row r="88" spans="2:28">
      <c r="B88" s="240" t="s">
        <v>33</v>
      </c>
      <c r="J88" s="643">
        <f>'Rev-Exp'!AH172</f>
        <v>14.302383159789089</v>
      </c>
      <c r="K88" s="643">
        <f>'Rev-Exp'!AI172</f>
        <v>35.070813611126987</v>
      </c>
      <c r="L88" s="643">
        <f>'Rev-Exp'!AJ172</f>
        <v>56.55177476741401</v>
      </c>
      <c r="M88" s="643">
        <f>'Rev-Exp'!AK172</f>
        <v>85.878189240278445</v>
      </c>
      <c r="N88" s="643">
        <f>'Rev-Exp'!AL172</f>
        <v>122.31252669400054</v>
      </c>
      <c r="O88" s="643">
        <f>'Rev-Exp'!AM172</f>
        <v>156.33067665689458</v>
      </c>
      <c r="P88" s="643">
        <f>'Rev-Exp'!AN172</f>
        <v>191.20373329642175</v>
      </c>
      <c r="Q88" s="643">
        <f>'Rev-Exp'!AO172</f>
        <v>219.91462887262355</v>
      </c>
      <c r="R88" s="643">
        <f>'Rev-Exp'!AP172</f>
        <v>242.73984678050729</v>
      </c>
      <c r="S88" s="643">
        <f>'Rev-Exp'!AQ172</f>
        <v>260.21732312429549</v>
      </c>
      <c r="T88" s="643">
        <f>'Rev-Exp'!AR172</f>
        <v>273.87855964635833</v>
      </c>
      <c r="U88" s="347"/>
      <c r="V88" s="347"/>
      <c r="W88" s="347"/>
      <c r="X88" s="347"/>
      <c r="Y88" s="347"/>
      <c r="Z88" s="347"/>
      <c r="AA88" s="347"/>
      <c r="AB88" s="347"/>
    </row>
    <row r="89" spans="2:28">
      <c r="B89" s="240" t="s">
        <v>536</v>
      </c>
      <c r="J89" s="643">
        <f>15*4+90</f>
        <v>150</v>
      </c>
      <c r="K89" s="643">
        <f>15*4+90/2</f>
        <v>105</v>
      </c>
      <c r="L89" s="643">
        <f>20*4+90/3</f>
        <v>110</v>
      </c>
      <c r="M89" s="643">
        <f>25*4+20</f>
        <v>120</v>
      </c>
      <c r="N89" s="643">
        <f>M89*1.025</f>
        <v>122.99999999999999</v>
      </c>
      <c r="O89" s="643">
        <f t="shared" ref="O89:T89" si="116">N89*1.025</f>
        <v>126.07499999999997</v>
      </c>
      <c r="P89" s="643">
        <f t="shared" si="116"/>
        <v>129.22687499999995</v>
      </c>
      <c r="Q89" s="643">
        <f t="shared" si="116"/>
        <v>132.45754687499993</v>
      </c>
      <c r="R89" s="643">
        <f t="shared" si="116"/>
        <v>135.76898554687492</v>
      </c>
      <c r="S89" s="643">
        <f t="shared" si="116"/>
        <v>139.16321018554677</v>
      </c>
      <c r="T89" s="643">
        <f t="shared" si="116"/>
        <v>142.64229044018543</v>
      </c>
      <c r="U89" s="347"/>
      <c r="V89" s="347"/>
      <c r="W89" s="347"/>
      <c r="X89" s="347"/>
      <c r="Y89" s="347"/>
      <c r="Z89" s="347"/>
      <c r="AA89" s="347"/>
      <c r="AB89" s="347"/>
    </row>
    <row r="90" spans="2:28">
      <c r="B90" s="240"/>
      <c r="J90" s="345"/>
      <c r="K90" s="345"/>
      <c r="L90" s="345"/>
      <c r="M90" s="345"/>
      <c r="N90" s="345"/>
      <c r="O90" s="345"/>
      <c r="P90" s="347"/>
      <c r="Q90" s="347"/>
      <c r="R90" s="347"/>
      <c r="S90" s="347"/>
      <c r="T90" s="347"/>
      <c r="U90" s="347"/>
      <c r="V90" s="347"/>
      <c r="W90" s="347"/>
      <c r="X90" s="347"/>
      <c r="Y90" s="347"/>
      <c r="Z90" s="347"/>
      <c r="AA90" s="347"/>
      <c r="AB90" s="347"/>
    </row>
    <row r="91" spans="2:28">
      <c r="B91" s="240" t="s">
        <v>37</v>
      </c>
      <c r="J91" s="644">
        <f t="shared" ref="J91:T91" si="117">J82/J81-J88-J89</f>
        <v>-8.8416966403424624</v>
      </c>
      <c r="K91" s="644">
        <f t="shared" si="117"/>
        <v>258.46115924258879</v>
      </c>
      <c r="L91" s="644">
        <f t="shared" si="117"/>
        <v>506.68363913037194</v>
      </c>
      <c r="M91" s="644">
        <f t="shared" si="117"/>
        <v>867.59917626320237</v>
      </c>
      <c r="N91" s="644">
        <f t="shared" si="117"/>
        <v>1364.0628245428491</v>
      </c>
      <c r="O91" s="644">
        <f t="shared" si="117"/>
        <v>1888.8537213555296</v>
      </c>
      <c r="P91" s="644">
        <f t="shared" si="117"/>
        <v>2335.1767985983238</v>
      </c>
      <c r="Q91" s="644">
        <f t="shared" si="117"/>
        <v>2701.9976697054799</v>
      </c>
      <c r="R91" s="644">
        <f t="shared" si="117"/>
        <v>2992.8779285129958</v>
      </c>
      <c r="S91" s="644">
        <f t="shared" si="117"/>
        <v>3214.7489545275944</v>
      </c>
      <c r="T91" s="644">
        <f t="shared" si="117"/>
        <v>3387.3480338906538</v>
      </c>
      <c r="U91" s="347"/>
      <c r="V91" s="347"/>
      <c r="W91" s="347"/>
      <c r="X91" s="347"/>
      <c r="Y91" s="347"/>
      <c r="Z91" s="347"/>
      <c r="AA91" s="347"/>
      <c r="AB91" s="347"/>
    </row>
    <row r="92" spans="2:28" s="282" customFormat="1">
      <c r="B92" s="671" t="s">
        <v>537</v>
      </c>
      <c r="J92" s="672">
        <f t="shared" ref="J92:T92" si="118">J91/(J82/J81)</f>
        <v>-5.6874164383909701E-2</v>
      </c>
      <c r="K92" s="672">
        <f t="shared" si="118"/>
        <v>0.64853305844411868</v>
      </c>
      <c r="L92" s="672">
        <f t="shared" si="118"/>
        <v>0.75260990237702974</v>
      </c>
      <c r="M92" s="672">
        <f t="shared" si="118"/>
        <v>0.80821375852324773</v>
      </c>
      <c r="N92" s="672">
        <f t="shared" si="118"/>
        <v>0.847572832213771</v>
      </c>
      <c r="O92" s="672">
        <f t="shared" si="118"/>
        <v>0.86993462093225271</v>
      </c>
      <c r="P92" s="672">
        <f t="shared" si="118"/>
        <v>0.87933811019486963</v>
      </c>
      <c r="Q92" s="672">
        <f t="shared" si="118"/>
        <v>0.88463342896336428</v>
      </c>
      <c r="R92" s="672">
        <f t="shared" si="118"/>
        <v>0.88772903876711196</v>
      </c>
      <c r="S92" s="672">
        <f t="shared" si="118"/>
        <v>0.88949468062672632</v>
      </c>
      <c r="T92" s="672">
        <f t="shared" si="118"/>
        <v>0.89050073417592579</v>
      </c>
      <c r="U92" s="672"/>
      <c r="V92" s="672"/>
      <c r="W92" s="672"/>
      <c r="X92" s="672"/>
      <c r="Y92" s="672"/>
      <c r="Z92" s="672"/>
      <c r="AA92" s="672"/>
      <c r="AB92" s="672"/>
    </row>
    <row r="93" spans="2:28">
      <c r="B93" s="240"/>
      <c r="J93" s="347"/>
      <c r="K93" s="347"/>
      <c r="L93" s="347"/>
      <c r="M93" s="347"/>
      <c r="N93" s="347"/>
      <c r="O93" s="347"/>
      <c r="P93" s="347"/>
      <c r="Q93" s="347"/>
      <c r="R93" s="347"/>
      <c r="S93" s="347"/>
      <c r="T93" s="347"/>
      <c r="U93" s="347"/>
      <c r="V93" s="347"/>
      <c r="W93" s="347"/>
      <c r="X93" s="347"/>
      <c r="Y93" s="347"/>
      <c r="Z93" s="347"/>
      <c r="AA93" s="347"/>
      <c r="AB93" s="347"/>
    </row>
    <row r="94" spans="2:28">
      <c r="B94" s="240" t="s">
        <v>301</v>
      </c>
      <c r="J94" s="646">
        <f t="shared" ref="J94:T94" si="119">J95*J91</f>
        <v>-1.7683393280684923</v>
      </c>
      <c r="K94" s="646">
        <f t="shared" si="119"/>
        <v>51.692231848517764</v>
      </c>
      <c r="L94" s="646">
        <f t="shared" si="119"/>
        <v>101.33672782607439</v>
      </c>
      <c r="M94" s="646">
        <f t="shared" si="119"/>
        <v>173.51983525264049</v>
      </c>
      <c r="N94" s="646">
        <f t="shared" si="119"/>
        <v>272.81256490856981</v>
      </c>
      <c r="O94" s="646">
        <f t="shared" si="119"/>
        <v>377.77074427110597</v>
      </c>
      <c r="P94" s="646">
        <f t="shared" si="119"/>
        <v>467.03535971966477</v>
      </c>
      <c r="Q94" s="646">
        <f t="shared" si="119"/>
        <v>540.39953394109602</v>
      </c>
      <c r="R94" s="646">
        <f t="shared" si="119"/>
        <v>598.57558570259914</v>
      </c>
      <c r="S94" s="646">
        <f t="shared" si="119"/>
        <v>642.94979090551897</v>
      </c>
      <c r="T94" s="646">
        <f t="shared" si="119"/>
        <v>677.46960677813081</v>
      </c>
      <c r="U94" s="347"/>
      <c r="V94" s="347"/>
      <c r="W94" s="347"/>
      <c r="X94" s="347"/>
      <c r="Y94" s="347"/>
      <c r="Z94" s="347"/>
      <c r="AA94" s="347"/>
      <c r="AB94" s="347"/>
    </row>
    <row r="95" spans="2:28" s="323" customFormat="1">
      <c r="B95" s="227" t="s">
        <v>40</v>
      </c>
      <c r="J95" s="673">
        <f>Vimizim!BK83</f>
        <v>0.19999999999999998</v>
      </c>
      <c r="K95" s="673">
        <f>Vimizim!BL83</f>
        <v>0.2</v>
      </c>
      <c r="L95" s="673">
        <f>Vimizim!BM83</f>
        <v>0.2</v>
      </c>
      <c r="M95" s="673">
        <f>Vimizim!BN83</f>
        <v>0.2</v>
      </c>
      <c r="N95" s="673">
        <f>Vimizim!BO83</f>
        <v>0.2</v>
      </c>
      <c r="O95" s="673">
        <f>Vimizim!BP83</f>
        <v>0.2</v>
      </c>
      <c r="P95" s="673">
        <f>Vimizim!BQ83</f>
        <v>0.2</v>
      </c>
      <c r="Q95" s="673">
        <f>Vimizim!BR83</f>
        <v>0.2</v>
      </c>
      <c r="R95" s="673">
        <f>Vimizim!BS83</f>
        <v>0.2</v>
      </c>
      <c r="S95" s="673">
        <f>Vimizim!BT83</f>
        <v>0.20000000000000004</v>
      </c>
      <c r="T95" s="673">
        <f>Vimizim!BU83</f>
        <v>0.2</v>
      </c>
      <c r="U95" s="356"/>
      <c r="V95" s="356"/>
      <c r="W95" s="356"/>
      <c r="X95" s="356"/>
      <c r="Y95" s="356"/>
      <c r="Z95" s="356"/>
      <c r="AA95" s="356"/>
      <c r="AB95" s="356"/>
    </row>
    <row r="96" spans="2:28">
      <c r="B96" s="240"/>
      <c r="J96" s="347"/>
      <c r="K96" s="347"/>
      <c r="L96" s="347"/>
      <c r="M96" s="347"/>
      <c r="N96" s="347"/>
      <c r="O96" s="347"/>
      <c r="P96" s="347"/>
      <c r="Q96" s="347"/>
      <c r="R96" s="347"/>
      <c r="S96" s="347"/>
      <c r="T96" s="347"/>
      <c r="U96" s="347"/>
      <c r="V96" s="347"/>
      <c r="W96" s="347"/>
      <c r="X96" s="347"/>
      <c r="Y96" s="347"/>
      <c r="Z96" s="347"/>
      <c r="AA96" s="347"/>
      <c r="AB96" s="347"/>
    </row>
    <row r="97" spans="2:28">
      <c r="B97" s="240" t="s">
        <v>85</v>
      </c>
      <c r="J97" s="646">
        <f t="shared" ref="J97:T97" si="120">J91-J94</f>
        <v>-7.0733573122739699</v>
      </c>
      <c r="K97" s="646">
        <f t="shared" si="120"/>
        <v>206.76892739407103</v>
      </c>
      <c r="L97" s="646">
        <f t="shared" si="120"/>
        <v>405.34691130429758</v>
      </c>
      <c r="M97" s="646">
        <f t="shared" si="120"/>
        <v>694.07934101056185</v>
      </c>
      <c r="N97" s="646">
        <f t="shared" si="120"/>
        <v>1091.2502596342792</v>
      </c>
      <c r="O97" s="646">
        <f t="shared" si="120"/>
        <v>1511.0829770844236</v>
      </c>
      <c r="P97" s="646">
        <f t="shared" si="120"/>
        <v>1868.1414388786591</v>
      </c>
      <c r="Q97" s="646">
        <f t="shared" si="120"/>
        <v>2161.5981357643841</v>
      </c>
      <c r="R97" s="646">
        <f t="shared" si="120"/>
        <v>2394.3023428103966</v>
      </c>
      <c r="S97" s="646">
        <f t="shared" si="120"/>
        <v>2571.7991636220754</v>
      </c>
      <c r="T97" s="646">
        <f t="shared" si="120"/>
        <v>2709.8784271125232</v>
      </c>
      <c r="U97" s="347">
        <f>T97*(1+DCF!C25)/(J108-DCF!C25)</f>
        <v>15495.924526868794</v>
      </c>
      <c r="V97" s="347"/>
      <c r="W97" s="347"/>
      <c r="X97" s="347"/>
      <c r="Y97" s="347"/>
      <c r="Z97" s="347"/>
      <c r="AA97" s="347"/>
      <c r="AB97" s="347"/>
    </row>
    <row r="98" spans="2:28">
      <c r="B98" s="240"/>
      <c r="J98" s="345"/>
      <c r="K98" s="345"/>
      <c r="L98" s="345"/>
      <c r="M98" s="345"/>
      <c r="N98" s="345"/>
      <c r="O98" s="345"/>
      <c r="P98" s="347"/>
      <c r="Q98" s="347"/>
      <c r="R98" s="347"/>
      <c r="S98" s="347"/>
      <c r="T98" s="347"/>
      <c r="U98" s="347"/>
      <c r="V98" s="347"/>
      <c r="W98" s="347"/>
      <c r="X98" s="347"/>
      <c r="Y98" s="347"/>
      <c r="Z98" s="347"/>
      <c r="AA98" s="347"/>
      <c r="AB98" s="347"/>
    </row>
    <row r="99" spans="2:28" ht="13.5" thickBot="1">
      <c r="B99" s="240"/>
      <c r="J99" s="345"/>
      <c r="K99" s="345"/>
      <c r="L99" s="345"/>
      <c r="M99" s="345"/>
      <c r="N99" s="345"/>
      <c r="O99" s="345"/>
      <c r="P99" s="347"/>
      <c r="Q99" s="347"/>
      <c r="R99" s="347"/>
      <c r="S99" s="347"/>
      <c r="T99" s="347"/>
      <c r="U99" s="347"/>
      <c r="V99" s="347"/>
      <c r="W99" s="347"/>
      <c r="X99" s="347"/>
      <c r="Y99" s="347"/>
      <c r="Z99" s="347"/>
      <c r="AA99" s="347"/>
      <c r="AB99" s="347"/>
    </row>
    <row r="100" spans="2:28">
      <c r="B100" s="679" t="s">
        <v>556</v>
      </c>
      <c r="C100" s="679" t="s">
        <v>538</v>
      </c>
      <c r="D100" s="679" t="s">
        <v>538</v>
      </c>
      <c r="E100" s="679" t="s">
        <v>538</v>
      </c>
      <c r="F100" s="679" t="s">
        <v>538</v>
      </c>
      <c r="G100" s="679" t="s">
        <v>538</v>
      </c>
      <c r="H100" s="679" t="s">
        <v>538</v>
      </c>
      <c r="I100" s="680"/>
      <c r="J100" s="682">
        <f>SUM(J107:U107,Z108:AB108)/DCF!C27</f>
        <v>25.680257649547659</v>
      </c>
      <c r="K100" s="345"/>
      <c r="L100" s="345"/>
      <c r="M100" s="345"/>
      <c r="N100" s="345"/>
      <c r="O100" s="345"/>
      <c r="P100" s="347"/>
      <c r="Q100" s="347"/>
      <c r="R100" s="347"/>
      <c r="S100" s="347"/>
      <c r="T100" s="347"/>
      <c r="U100" s="347"/>
      <c r="V100" s="347"/>
      <c r="W100" s="347"/>
      <c r="X100" s="347"/>
      <c r="Y100" s="347"/>
      <c r="Z100" s="347"/>
      <c r="AA100" s="347"/>
      <c r="AB100" s="347"/>
    </row>
    <row r="101" spans="2:28" ht="13.5" thickBot="1">
      <c r="B101" s="677" t="s">
        <v>555</v>
      </c>
      <c r="C101" s="678"/>
      <c r="D101" s="678"/>
      <c r="E101" s="678"/>
      <c r="F101" s="678"/>
      <c r="G101" s="678"/>
      <c r="H101" s="678"/>
      <c r="I101" s="678"/>
      <c r="J101" s="681">
        <f>J109</f>
        <v>0.46338702528480075</v>
      </c>
      <c r="K101" s="345"/>
      <c r="L101" s="345"/>
      <c r="M101" s="345"/>
      <c r="N101" s="345"/>
      <c r="O101" s="345"/>
      <c r="P101" s="347"/>
      <c r="Q101" s="347"/>
      <c r="R101" s="347"/>
      <c r="S101" s="347"/>
      <c r="T101" s="347"/>
      <c r="U101" s="347"/>
      <c r="V101" s="347"/>
      <c r="W101" s="347"/>
      <c r="X101" s="347"/>
      <c r="Y101" s="347"/>
      <c r="Z101" s="347"/>
      <c r="AA101" s="347"/>
      <c r="AB101" s="347"/>
    </row>
    <row r="102" spans="2:28">
      <c r="B102" s="344"/>
      <c r="J102" s="345"/>
      <c r="K102" s="345"/>
      <c r="L102" s="345"/>
      <c r="M102" s="345"/>
      <c r="N102" s="345"/>
      <c r="O102" s="345"/>
      <c r="P102" s="347"/>
      <c r="Q102" s="347"/>
      <c r="R102" s="347"/>
      <c r="S102" s="347"/>
      <c r="T102" s="347"/>
      <c r="U102" s="347"/>
      <c r="V102" s="347"/>
      <c r="W102" s="347"/>
      <c r="X102" s="347"/>
      <c r="Y102" s="347"/>
      <c r="Z102" s="347"/>
      <c r="AA102" s="347"/>
      <c r="AB102" s="347"/>
    </row>
    <row r="103" spans="2:28">
      <c r="B103" s="344"/>
      <c r="J103" s="345"/>
      <c r="K103" s="345"/>
      <c r="L103" s="345"/>
      <c r="M103" s="345"/>
      <c r="N103" s="345"/>
      <c r="O103" s="345"/>
      <c r="P103" s="347"/>
      <c r="Q103" s="347"/>
      <c r="R103" s="347"/>
      <c r="S103" s="347"/>
      <c r="T103" s="347"/>
      <c r="U103" s="347"/>
      <c r="V103" s="347"/>
      <c r="W103" s="347"/>
      <c r="X103" s="347"/>
      <c r="Y103" s="347"/>
      <c r="Z103" s="347"/>
      <c r="AA103" s="347"/>
      <c r="AB103" s="347"/>
    </row>
    <row r="104" spans="2:28">
      <c r="B104" s="344"/>
      <c r="J104" s="345"/>
      <c r="K104" s="345"/>
      <c r="L104" s="345"/>
      <c r="M104" s="345"/>
      <c r="N104" s="345"/>
      <c r="O104" s="345"/>
      <c r="P104" s="347"/>
      <c r="Q104" s="347"/>
      <c r="R104" s="347"/>
      <c r="S104" s="347"/>
      <c r="T104" s="347"/>
      <c r="U104" s="347"/>
      <c r="V104" s="347"/>
      <c r="W104" s="347"/>
      <c r="X104" s="347"/>
      <c r="Y104" s="347"/>
      <c r="Z104" s="347"/>
      <c r="AA104" s="347"/>
      <c r="AB104" s="347"/>
    </row>
    <row r="105" spans="2:28">
      <c r="B105" s="344"/>
      <c r="J105" s="345"/>
      <c r="K105" s="345"/>
      <c r="L105" s="345"/>
      <c r="M105" s="345"/>
      <c r="N105" s="345"/>
      <c r="O105" s="345"/>
      <c r="P105" s="347"/>
      <c r="Q105" s="347"/>
      <c r="R105" s="347"/>
      <c r="S105" s="347"/>
      <c r="T105" s="347"/>
      <c r="U105" s="347"/>
      <c r="V105" s="347"/>
      <c r="W105" s="347"/>
      <c r="X105" s="347"/>
      <c r="Y105" s="347"/>
      <c r="Z105" s="347"/>
      <c r="AA105" s="347"/>
      <c r="AB105" s="347"/>
    </row>
    <row r="106" spans="2:28">
      <c r="J106" s="640">
        <f>1/(1+$J$108)^(J7-DCF!$C$26)</f>
        <v>0.73484851605556034</v>
      </c>
      <c r="K106" s="640">
        <f>1/(1+$J$108)^(K7-DCF!$C$26)</f>
        <v>0.61622517069648675</v>
      </c>
      <c r="L106" s="640">
        <f>1/(1+$J$108)^(L7-DCF!$C$26)</f>
        <v>0.51675066725072261</v>
      </c>
      <c r="M106" s="640">
        <f>1/(1+$J$108)^(M7-DCF!$C$26)</f>
        <v>0.43333389287272345</v>
      </c>
      <c r="N106" s="640">
        <f>1/(1+$J$108)^(N7-DCF!$C$26)</f>
        <v>0.36338271939012451</v>
      </c>
      <c r="O106" s="640">
        <f>1/(1+$J$108)^(O7-DCF!$C$26)</f>
        <v>0.30472345441519882</v>
      </c>
      <c r="P106" s="640">
        <f>1/(1+$J$108)^(P7-DCF!$C$26)</f>
        <v>0.25553329510708495</v>
      </c>
      <c r="Q106" s="640">
        <f>1/(1+$J$108)^(Q7-DCF!$C$26)</f>
        <v>0.2142836856243899</v>
      </c>
      <c r="R106" s="640">
        <f>1/(1+$J$108)^(R7-DCF!$C$26)</f>
        <v>0.17969281813366034</v>
      </c>
      <c r="S106" s="640">
        <f>1/(1+$J$108)^(S7-DCF!$C$26)</f>
        <v>0.1506858013699458</v>
      </c>
      <c r="T106" s="640">
        <f>1/(1+$J$108)^(T7-DCF!$C$26)</f>
        <v>0.12636125901043671</v>
      </c>
      <c r="U106" s="640">
        <f>1/(1+$J$108)^(U7-DCF!$C$26)</f>
        <v>0.10596331992489455</v>
      </c>
      <c r="V106" s="640">
        <f>U106*(1+DCF!C25)/(J108-DCF!C25)</f>
        <v>0.60593109703531245</v>
      </c>
      <c r="W106" s="640"/>
      <c r="X106" s="640"/>
      <c r="Y106" s="640"/>
      <c r="Z106" s="205">
        <v>2017</v>
      </c>
      <c r="AA106" s="205">
        <v>2018</v>
      </c>
      <c r="AB106" s="205">
        <v>2019</v>
      </c>
    </row>
    <row r="107" spans="2:28">
      <c r="J107" s="640">
        <f>J106*J97</f>
        <v>-5.1978461244552738</v>
      </c>
      <c r="K107" s="640">
        <f t="shared" ref="K107:U107" si="121">K106*K97</f>
        <v>127.41621757814089</v>
      </c>
      <c r="L107" s="640">
        <f t="shared" si="121"/>
        <v>209.46328688451524</v>
      </c>
      <c r="M107" s="640">
        <f t="shared" si="121"/>
        <v>300.76810280264129</v>
      </c>
      <c r="N107" s="640">
        <f t="shared" si="121"/>
        <v>396.54148688108381</v>
      </c>
      <c r="O107" s="640">
        <f t="shared" si="121"/>
        <v>460.46242468516829</v>
      </c>
      <c r="P107" s="640">
        <f t="shared" si="121"/>
        <v>477.37233760275467</v>
      </c>
      <c r="Q107" s="640">
        <f t="shared" si="121"/>
        <v>463.19521537040259</v>
      </c>
      <c r="R107" s="640">
        <f t="shared" si="121"/>
        <v>430.23893544362545</v>
      </c>
      <c r="S107" s="640">
        <f t="shared" si="121"/>
        <v>387.5336179329488</v>
      </c>
      <c r="T107" s="640">
        <f t="shared" si="121"/>
        <v>342.42364981516039</v>
      </c>
      <c r="U107" s="640">
        <f t="shared" si="121"/>
        <v>1641.9996081726183</v>
      </c>
      <c r="V107" s="640"/>
      <c r="W107" s="640"/>
      <c r="X107" s="640"/>
      <c r="Z107" s="205">
        <v>-300</v>
      </c>
      <c r="AA107" s="205">
        <v>-250</v>
      </c>
      <c r="AB107" s="205">
        <v>-200</v>
      </c>
    </row>
    <row r="108" spans="2:28">
      <c r="B108" s="205" t="s">
        <v>547</v>
      </c>
      <c r="J108" s="638">
        <v>0.1925</v>
      </c>
      <c r="Z108" s="205">
        <f>Z107*Vimizim!BH87*0.75</f>
        <v>-253.46813804840019</v>
      </c>
      <c r="AA108" s="205">
        <f>AA107*Vimizim!BI87</f>
        <v>-256.02842227111125</v>
      </c>
      <c r="AB108" s="205">
        <f>AB107*Vimizim!BJ87</f>
        <v>-186.20248892444457</v>
      </c>
    </row>
    <row r="109" spans="2:28">
      <c r="B109" s="205" t="s">
        <v>548</v>
      </c>
      <c r="J109" s="566">
        <f>SUM(J106:U106,V106)/SUM(PKU!L195:V195,PKU!X195)</f>
        <v>0.46338702528480075</v>
      </c>
    </row>
    <row r="111" spans="2:28">
      <c r="J111" s="205">
        <f>95-21</f>
        <v>74</v>
      </c>
    </row>
  </sheetData>
  <pageMargins left="0" right="0" top="0" bottom="0" header="0" footer="0"/>
  <pageSetup paperSize="5" scale="51" orientation="landscape"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AQ66"/>
  <sheetViews>
    <sheetView showGridLines="0" zoomScale="85" zoomScaleNormal="85" workbookViewId="0"/>
  </sheetViews>
  <sheetFormatPr defaultRowHeight="12.75" outlineLevelRow="1" outlineLevelCol="1"/>
  <cols>
    <col min="1" max="1" width="9" style="386"/>
    <col min="2" max="2" width="29.125" style="386" bestFit="1" customWidth="1"/>
    <col min="3" max="26" width="9" style="386" hidden="1" customWidth="1" outlineLevel="1"/>
    <col min="27" max="27" width="9" style="386" customWidth="1" collapsed="1"/>
    <col min="28" max="30" width="9" style="386" customWidth="1"/>
    <col min="31" max="16384" width="9" style="386"/>
  </cols>
  <sheetData>
    <row r="1" spans="2:42" ht="13.5" thickBot="1"/>
    <row r="2" spans="2:42" s="347" customFormat="1" ht="14.25" thickBot="1">
      <c r="B2" s="348" t="s">
        <v>171</v>
      </c>
      <c r="S2" s="345"/>
      <c r="T2" s="346"/>
      <c r="U2" s="346"/>
      <c r="V2" s="346"/>
      <c r="AA2" s="3">
        <f>DCF!C30</f>
        <v>2</v>
      </c>
      <c r="AC2" s="345"/>
      <c r="AD2" s="345"/>
      <c r="AE2" s="345"/>
    </row>
    <row r="3" spans="2:42" s="347" customFormat="1" ht="14.25" thickBot="1">
      <c r="B3" s="349"/>
      <c r="S3" s="345"/>
      <c r="T3" s="346"/>
      <c r="U3" s="346"/>
      <c r="V3" s="346"/>
      <c r="AA3" s="345"/>
      <c r="AC3" s="345"/>
      <c r="AD3" s="387" t="s">
        <v>172</v>
      </c>
      <c r="AE3" s="555">
        <f>DCF!C22</f>
        <v>112.13516010348316</v>
      </c>
    </row>
    <row r="4" spans="2:42" s="347" customFormat="1" ht="14.25" hidden="1" outlineLevel="1" thickBot="1">
      <c r="B4" s="348" t="s">
        <v>190</v>
      </c>
      <c r="S4" s="345"/>
      <c r="T4" s="346"/>
      <c r="U4" s="346"/>
      <c r="V4" s="346"/>
      <c r="AA4" s="708">
        <f>DCF!C36</f>
        <v>2</v>
      </c>
      <c r="AC4" s="345"/>
      <c r="AD4" s="345"/>
      <c r="AE4" s="345"/>
    </row>
    <row r="5" spans="2:42" collapsed="1"/>
    <row r="6" spans="2:42" s="388" customFormat="1">
      <c r="B6" s="352"/>
      <c r="C6" s="352">
        <v>1996</v>
      </c>
      <c r="D6" s="352">
        <f t="shared" ref="D6" si="0">C6+1</f>
        <v>1997</v>
      </c>
      <c r="E6" s="352">
        <v>1997</v>
      </c>
      <c r="F6" s="352">
        <f t="shared" ref="F6" si="1">E6+1</f>
        <v>1998</v>
      </c>
      <c r="G6" s="352">
        <v>1998</v>
      </c>
      <c r="H6" s="352">
        <f t="shared" ref="H6" si="2">G6+1</f>
        <v>1999</v>
      </c>
      <c r="I6" s="352">
        <v>1999</v>
      </c>
      <c r="J6" s="352">
        <f t="shared" ref="J6" si="3">I6+1</f>
        <v>2000</v>
      </c>
      <c r="K6" s="352">
        <v>2000</v>
      </c>
      <c r="L6" s="352">
        <f>K6+1</f>
        <v>2001</v>
      </c>
      <c r="M6" s="352">
        <f t="shared" ref="M6:AI6" si="4">L6+1</f>
        <v>2002</v>
      </c>
      <c r="N6" s="352">
        <f t="shared" si="4"/>
        <v>2003</v>
      </c>
      <c r="O6" s="352">
        <f t="shared" si="4"/>
        <v>2004</v>
      </c>
      <c r="P6" s="352">
        <f t="shared" si="4"/>
        <v>2005</v>
      </c>
      <c r="Q6" s="352">
        <f t="shared" si="4"/>
        <v>2006</v>
      </c>
      <c r="R6" s="352">
        <f t="shared" si="4"/>
        <v>2007</v>
      </c>
      <c r="S6" s="352">
        <f t="shared" si="4"/>
        <v>2008</v>
      </c>
      <c r="T6" s="352">
        <f t="shared" si="4"/>
        <v>2009</v>
      </c>
      <c r="U6" s="352">
        <f t="shared" si="4"/>
        <v>2010</v>
      </c>
      <c r="V6" s="352">
        <f t="shared" si="4"/>
        <v>2011</v>
      </c>
      <c r="W6" s="352">
        <f t="shared" si="4"/>
        <v>2012</v>
      </c>
      <c r="X6" s="352">
        <f t="shared" si="4"/>
        <v>2013</v>
      </c>
      <c r="Y6" s="352">
        <f>X6+1</f>
        <v>2014</v>
      </c>
      <c r="Z6" s="352">
        <f t="shared" si="4"/>
        <v>2015</v>
      </c>
      <c r="AA6" s="220">
        <f t="shared" si="4"/>
        <v>2016</v>
      </c>
      <c r="AB6" s="220">
        <f t="shared" si="4"/>
        <v>2017</v>
      </c>
      <c r="AC6" s="220">
        <f t="shared" si="4"/>
        <v>2018</v>
      </c>
      <c r="AD6" s="220">
        <f t="shared" si="4"/>
        <v>2019</v>
      </c>
      <c r="AE6" s="220">
        <f t="shared" si="4"/>
        <v>2020</v>
      </c>
      <c r="AF6" s="220">
        <f t="shared" si="4"/>
        <v>2021</v>
      </c>
      <c r="AG6" s="220">
        <f t="shared" si="4"/>
        <v>2022</v>
      </c>
      <c r="AH6" s="220">
        <f t="shared" si="4"/>
        <v>2023</v>
      </c>
      <c r="AI6" s="220">
        <f t="shared" si="4"/>
        <v>2024</v>
      </c>
      <c r="AJ6" s="220">
        <f>AI6+1</f>
        <v>2025</v>
      </c>
      <c r="AK6" s="220">
        <f t="shared" ref="AK6:AO6" si="5">AJ6+1</f>
        <v>2026</v>
      </c>
      <c r="AL6" s="220">
        <f t="shared" si="5"/>
        <v>2027</v>
      </c>
      <c r="AM6" s="220">
        <f t="shared" si="5"/>
        <v>2028</v>
      </c>
      <c r="AN6" s="220">
        <f t="shared" si="5"/>
        <v>2029</v>
      </c>
      <c r="AO6" s="220">
        <f t="shared" si="5"/>
        <v>2030</v>
      </c>
      <c r="AP6" s="388">
        <v>2031</v>
      </c>
    </row>
    <row r="7" spans="2:42">
      <c r="B7" s="389" t="s">
        <v>192</v>
      </c>
      <c r="C7" s="390">
        <f t="shared" ref="C7" si="6">D7/1.005</f>
        <v>3573633.9664821522</v>
      </c>
      <c r="D7" s="390">
        <f t="shared" ref="D7" si="7">E7/1.005</f>
        <v>3591502.1363145625</v>
      </c>
      <c r="E7" s="390">
        <f t="shared" ref="E7" si="8">F7/1.005</f>
        <v>3609459.6469961349</v>
      </c>
      <c r="F7" s="390">
        <f t="shared" ref="F7" si="9">G7/1.005</f>
        <v>3627506.945231115</v>
      </c>
      <c r="G7" s="390">
        <f t="shared" ref="G7" si="10">H7/1.005</f>
        <v>3645644.47995727</v>
      </c>
      <c r="H7" s="390">
        <f t="shared" ref="H7" si="11">I7/1.005</f>
        <v>3663872.7023570561</v>
      </c>
      <c r="I7" s="390">
        <f t="shared" ref="I7" si="12">J7/1.005</f>
        <v>3682192.065868841</v>
      </c>
      <c r="J7" s="390">
        <f t="shared" ref="J7" si="13">K7/1.005</f>
        <v>3700603.026198185</v>
      </c>
      <c r="K7" s="390">
        <f t="shared" ref="K7:W7" si="14">L7/1.005</f>
        <v>3719106.0413291757</v>
      </c>
      <c r="L7" s="390">
        <f t="shared" si="14"/>
        <v>3737701.5715358211</v>
      </c>
      <c r="M7" s="390">
        <f t="shared" si="14"/>
        <v>3756390.0793935</v>
      </c>
      <c r="N7" s="390">
        <f t="shared" si="14"/>
        <v>3775172.0297904671</v>
      </c>
      <c r="O7" s="390">
        <f t="shared" si="14"/>
        <v>3794047.889939419</v>
      </c>
      <c r="P7" s="390">
        <f t="shared" si="14"/>
        <v>3813018.1293891156</v>
      </c>
      <c r="Q7" s="390">
        <f t="shared" si="14"/>
        <v>3832083.220036061</v>
      </c>
      <c r="R7" s="390">
        <f t="shared" si="14"/>
        <v>3851243.6361362408</v>
      </c>
      <c r="S7" s="390">
        <f t="shared" si="14"/>
        <v>3870499.8543169214</v>
      </c>
      <c r="T7" s="390">
        <f t="shared" si="14"/>
        <v>3889852.3535885056</v>
      </c>
      <c r="U7" s="390">
        <f t="shared" si="14"/>
        <v>3909301.6153564476</v>
      </c>
      <c r="V7" s="390">
        <f t="shared" si="14"/>
        <v>3928848.1234332295</v>
      </c>
      <c r="W7" s="390">
        <f t="shared" si="14"/>
        <v>3948492.3640503953</v>
      </c>
      <c r="X7" s="390">
        <f>Y7/1.005</f>
        <v>3968234.8258706471</v>
      </c>
      <c r="Y7" s="390">
        <v>3988076</v>
      </c>
      <c r="Z7" s="390">
        <f>Y7*1.005</f>
        <v>4008016.3799999994</v>
      </c>
      <c r="AA7" s="354">
        <f t="shared" ref="AA7:AO7" si="15">Z7*1.005</f>
        <v>4028056.4618999991</v>
      </c>
      <c r="AB7" s="354">
        <f t="shared" si="15"/>
        <v>4048196.7442094986</v>
      </c>
      <c r="AC7" s="354">
        <f t="shared" si="15"/>
        <v>4068437.7279305458</v>
      </c>
      <c r="AD7" s="354">
        <f t="shared" si="15"/>
        <v>4088779.9165701983</v>
      </c>
      <c r="AE7" s="354">
        <f t="shared" si="15"/>
        <v>4109223.816153049</v>
      </c>
      <c r="AF7" s="354">
        <f t="shared" si="15"/>
        <v>4129769.9352338137</v>
      </c>
      <c r="AG7" s="354">
        <f t="shared" si="15"/>
        <v>4150418.7849099822</v>
      </c>
      <c r="AH7" s="354">
        <f t="shared" si="15"/>
        <v>4171170.8788345316</v>
      </c>
      <c r="AI7" s="354">
        <f t="shared" si="15"/>
        <v>4192026.733228704</v>
      </c>
      <c r="AJ7" s="354">
        <f t="shared" si="15"/>
        <v>4212986.8668948468</v>
      </c>
      <c r="AK7" s="354">
        <f t="shared" si="15"/>
        <v>4234051.8012293205</v>
      </c>
      <c r="AL7" s="354">
        <f t="shared" si="15"/>
        <v>4255222.0602354668</v>
      </c>
      <c r="AM7" s="354">
        <f t="shared" si="15"/>
        <v>4276498.1705366438</v>
      </c>
      <c r="AN7" s="354">
        <f t="shared" si="15"/>
        <v>4297880.6613893267</v>
      </c>
      <c r="AO7" s="354">
        <f t="shared" si="15"/>
        <v>4319370.0646962728</v>
      </c>
    </row>
    <row r="8" spans="2:42" hidden="1" outlineLevel="1">
      <c r="B8" s="389" t="s">
        <v>511</v>
      </c>
      <c r="C8" s="392">
        <f t="shared" ref="C8:I8" si="16">D8</f>
        <v>5.0000000000000004E-6</v>
      </c>
      <c r="D8" s="392">
        <f t="shared" si="16"/>
        <v>5.0000000000000004E-6</v>
      </c>
      <c r="E8" s="392">
        <f t="shared" si="16"/>
        <v>5.0000000000000004E-6</v>
      </c>
      <c r="F8" s="392">
        <f t="shared" si="16"/>
        <v>5.0000000000000004E-6</v>
      </c>
      <c r="G8" s="392">
        <f t="shared" si="16"/>
        <v>5.0000000000000004E-6</v>
      </c>
      <c r="H8" s="392">
        <f t="shared" si="16"/>
        <v>5.0000000000000004E-6</v>
      </c>
      <c r="I8" s="392">
        <f t="shared" si="16"/>
        <v>5.0000000000000004E-6</v>
      </c>
      <c r="J8" s="392">
        <f>K8</f>
        <v>5.0000000000000004E-6</v>
      </c>
      <c r="K8" s="607">
        <f>(1/200000)</f>
        <v>5.0000000000000004E-6</v>
      </c>
      <c r="L8" s="392">
        <f>K8</f>
        <v>5.0000000000000004E-6</v>
      </c>
      <c r="M8" s="392">
        <f t="shared" ref="M8:AO8" si="17">L8</f>
        <v>5.0000000000000004E-6</v>
      </c>
      <c r="N8" s="392">
        <f t="shared" si="17"/>
        <v>5.0000000000000004E-6</v>
      </c>
      <c r="O8" s="392">
        <f t="shared" si="17"/>
        <v>5.0000000000000004E-6</v>
      </c>
      <c r="P8" s="392">
        <f t="shared" si="17"/>
        <v>5.0000000000000004E-6</v>
      </c>
      <c r="Q8" s="392">
        <f t="shared" si="17"/>
        <v>5.0000000000000004E-6</v>
      </c>
      <c r="R8" s="392">
        <f t="shared" si="17"/>
        <v>5.0000000000000004E-6</v>
      </c>
      <c r="S8" s="392">
        <f t="shared" si="17"/>
        <v>5.0000000000000004E-6</v>
      </c>
      <c r="T8" s="392">
        <f t="shared" si="17"/>
        <v>5.0000000000000004E-6</v>
      </c>
      <c r="U8" s="392">
        <f t="shared" si="17"/>
        <v>5.0000000000000004E-6</v>
      </c>
      <c r="V8" s="392">
        <f t="shared" si="17"/>
        <v>5.0000000000000004E-6</v>
      </c>
      <c r="W8" s="392">
        <f t="shared" si="17"/>
        <v>5.0000000000000004E-6</v>
      </c>
      <c r="X8" s="392">
        <f t="shared" si="17"/>
        <v>5.0000000000000004E-6</v>
      </c>
      <c r="Y8" s="392">
        <f t="shared" si="17"/>
        <v>5.0000000000000004E-6</v>
      </c>
      <c r="Z8" s="392">
        <f t="shared" si="17"/>
        <v>5.0000000000000004E-6</v>
      </c>
      <c r="AA8" s="393">
        <f t="shared" si="17"/>
        <v>5.0000000000000004E-6</v>
      </c>
      <c r="AB8" s="393">
        <f t="shared" si="17"/>
        <v>5.0000000000000004E-6</v>
      </c>
      <c r="AC8" s="393">
        <f t="shared" si="17"/>
        <v>5.0000000000000004E-6</v>
      </c>
      <c r="AD8" s="393">
        <f t="shared" si="17"/>
        <v>5.0000000000000004E-6</v>
      </c>
      <c r="AE8" s="393">
        <f t="shared" si="17"/>
        <v>5.0000000000000004E-6</v>
      </c>
      <c r="AF8" s="393">
        <f t="shared" si="17"/>
        <v>5.0000000000000004E-6</v>
      </c>
      <c r="AG8" s="393">
        <f t="shared" si="17"/>
        <v>5.0000000000000004E-6</v>
      </c>
      <c r="AH8" s="393">
        <f t="shared" si="17"/>
        <v>5.0000000000000004E-6</v>
      </c>
      <c r="AI8" s="393">
        <f t="shared" si="17"/>
        <v>5.0000000000000004E-6</v>
      </c>
      <c r="AJ8" s="393">
        <f t="shared" si="17"/>
        <v>5.0000000000000004E-6</v>
      </c>
      <c r="AK8" s="393">
        <f t="shared" si="17"/>
        <v>5.0000000000000004E-6</v>
      </c>
      <c r="AL8" s="393">
        <f t="shared" si="17"/>
        <v>5.0000000000000004E-6</v>
      </c>
      <c r="AM8" s="393">
        <f t="shared" si="17"/>
        <v>5.0000000000000004E-6</v>
      </c>
      <c r="AN8" s="393">
        <f t="shared" si="17"/>
        <v>5.0000000000000004E-6</v>
      </c>
      <c r="AO8" s="393">
        <f t="shared" si="17"/>
        <v>5.0000000000000004E-6</v>
      </c>
    </row>
    <row r="9" spans="2:42" collapsed="1">
      <c r="B9" s="389" t="s">
        <v>111</v>
      </c>
      <c r="C9" s="390">
        <f t="shared" ref="C9:J9" si="18">C8*C7</f>
        <v>17.868169832410764</v>
      </c>
      <c r="D9" s="390">
        <f t="shared" si="18"/>
        <v>17.957510681572813</v>
      </c>
      <c r="E9" s="390">
        <f t="shared" si="18"/>
        <v>18.047298234980676</v>
      </c>
      <c r="F9" s="390">
        <f t="shared" si="18"/>
        <v>18.137534726155575</v>
      </c>
      <c r="G9" s="390">
        <f t="shared" si="18"/>
        <v>18.22822239978635</v>
      </c>
      <c r="H9" s="390">
        <f t="shared" si="18"/>
        <v>18.319363511785284</v>
      </c>
      <c r="I9" s="390">
        <f t="shared" si="18"/>
        <v>18.410960329344206</v>
      </c>
      <c r="J9" s="390">
        <f t="shared" si="18"/>
        <v>18.503015130990928</v>
      </c>
      <c r="K9" s="390">
        <f>K8*K7</f>
        <v>18.595530206645879</v>
      </c>
      <c r="L9" s="390">
        <f>L8*L7</f>
        <v>18.688507857679106</v>
      </c>
      <c r="M9" s="390">
        <f t="shared" ref="M9:AO9" si="19">M8*M7</f>
        <v>18.781950396967503</v>
      </c>
      <c r="N9" s="390">
        <f t="shared" si="19"/>
        <v>18.875860148952338</v>
      </c>
      <c r="O9" s="390">
        <f t="shared" si="19"/>
        <v>18.970239449697097</v>
      </c>
      <c r="P9" s="390">
        <f t="shared" si="19"/>
        <v>19.065090646945581</v>
      </c>
      <c r="Q9" s="390">
        <f t="shared" si="19"/>
        <v>19.160416100180306</v>
      </c>
      <c r="R9" s="390">
        <f t="shared" si="19"/>
        <v>19.256218180681206</v>
      </c>
      <c r="S9" s="390">
        <f t="shared" si="19"/>
        <v>19.352499271584609</v>
      </c>
      <c r="T9" s="390">
        <f t="shared" si="19"/>
        <v>19.449261767942531</v>
      </c>
      <c r="U9" s="390">
        <f t="shared" si="19"/>
        <v>19.546508076782239</v>
      </c>
      <c r="V9" s="390">
        <f t="shared" si="19"/>
        <v>19.644240617166147</v>
      </c>
      <c r="W9" s="390">
        <f t="shared" si="19"/>
        <v>19.742461820251979</v>
      </c>
      <c r="X9" s="390">
        <f t="shared" si="19"/>
        <v>19.841174129353238</v>
      </c>
      <c r="Y9" s="390">
        <f t="shared" si="19"/>
        <v>19.940380000000001</v>
      </c>
      <c r="Z9" s="390">
        <f t="shared" si="19"/>
        <v>20.040081899999997</v>
      </c>
      <c r="AA9" s="390">
        <f t="shared" si="19"/>
        <v>20.140282309499998</v>
      </c>
      <c r="AB9" s="390">
        <f t="shared" si="19"/>
        <v>20.240983721047495</v>
      </c>
      <c r="AC9" s="390">
        <f t="shared" si="19"/>
        <v>20.342188639652729</v>
      </c>
      <c r="AD9" s="390">
        <f t="shared" si="19"/>
        <v>20.443899582850992</v>
      </c>
      <c r="AE9" s="390">
        <f t="shared" si="19"/>
        <v>20.546119080765248</v>
      </c>
      <c r="AF9" s="390">
        <f t="shared" si="19"/>
        <v>20.648849676169071</v>
      </c>
      <c r="AG9" s="390">
        <f t="shared" si="19"/>
        <v>20.752093924549914</v>
      </c>
      <c r="AH9" s="390">
        <f t="shared" si="19"/>
        <v>20.85585439417266</v>
      </c>
      <c r="AI9" s="390">
        <f t="shared" si="19"/>
        <v>20.96013366614352</v>
      </c>
      <c r="AJ9" s="390">
        <f t="shared" si="19"/>
        <v>21.064934334474234</v>
      </c>
      <c r="AK9" s="390">
        <f t="shared" si="19"/>
        <v>21.170259006146605</v>
      </c>
      <c r="AL9" s="390">
        <f t="shared" si="19"/>
        <v>21.276110301177336</v>
      </c>
      <c r="AM9" s="390">
        <f t="shared" si="19"/>
        <v>21.382490852683222</v>
      </c>
      <c r="AN9" s="390">
        <f t="shared" si="19"/>
        <v>21.489403306946635</v>
      </c>
      <c r="AO9" s="390">
        <f t="shared" si="19"/>
        <v>21.596850323481366</v>
      </c>
    </row>
    <row r="10" spans="2:42">
      <c r="B10" s="389" t="s">
        <v>512</v>
      </c>
      <c r="C10" s="390"/>
      <c r="D10" s="390"/>
      <c r="E10" s="390"/>
      <c r="F10" s="390"/>
      <c r="G10" s="390"/>
      <c r="H10" s="390"/>
      <c r="I10" s="390"/>
      <c r="J10" s="390"/>
      <c r="K10" s="390"/>
      <c r="L10" s="390"/>
      <c r="M10" s="390"/>
      <c r="N10" s="390"/>
      <c r="O10" s="390"/>
      <c r="P10" s="390"/>
      <c r="Q10" s="390"/>
      <c r="R10" s="390"/>
      <c r="S10" s="390"/>
      <c r="T10" s="390"/>
      <c r="U10" s="390"/>
      <c r="V10" s="390"/>
      <c r="W10" s="390"/>
      <c r="X10" s="390">
        <f>SUM(C9:X9)</f>
        <v>414.44203351785643</v>
      </c>
      <c r="Y10" s="390">
        <f t="shared" ref="Y10:AO10" si="20">SUM(D9:Y9)</f>
        <v>416.51424368544565</v>
      </c>
      <c r="Z10" s="390">
        <f t="shared" si="20"/>
        <v>418.59681490387283</v>
      </c>
      <c r="AA10" s="390">
        <f t="shared" si="20"/>
        <v>420.6897989783921</v>
      </c>
      <c r="AB10" s="390">
        <f t="shared" si="20"/>
        <v>422.793247973284</v>
      </c>
      <c r="AC10" s="390">
        <f t="shared" si="20"/>
        <v>424.90721421315033</v>
      </c>
      <c r="AD10" s="390">
        <f t="shared" si="20"/>
        <v>427.03175028421606</v>
      </c>
      <c r="AE10" s="390">
        <f t="shared" si="20"/>
        <v>429.1669090356371</v>
      </c>
      <c r="AF10" s="390">
        <f t="shared" si="20"/>
        <v>431.31274358081521</v>
      </c>
      <c r="AG10" s="390">
        <f t="shared" si="20"/>
        <v>433.46930729871923</v>
      </c>
      <c r="AH10" s="390">
        <f t="shared" si="20"/>
        <v>435.63665383521277</v>
      </c>
      <c r="AI10" s="390">
        <f t="shared" si="20"/>
        <v>437.81483710438874</v>
      </c>
      <c r="AJ10" s="390">
        <f t="shared" si="20"/>
        <v>440.00391128991077</v>
      </c>
      <c r="AK10" s="390">
        <f t="shared" si="20"/>
        <v>442.20393084636021</v>
      </c>
      <c r="AL10" s="390">
        <f t="shared" si="20"/>
        <v>444.41495050059194</v>
      </c>
      <c r="AM10" s="390">
        <f t="shared" si="20"/>
        <v>446.63702525309492</v>
      </c>
      <c r="AN10" s="390">
        <f t="shared" si="20"/>
        <v>448.87021037936034</v>
      </c>
      <c r="AO10" s="390">
        <f t="shared" si="20"/>
        <v>451.11456143125713</v>
      </c>
    </row>
    <row r="11" spans="2:42" hidden="1" outlineLevel="1">
      <c r="B11" s="395" t="s">
        <v>108</v>
      </c>
      <c r="C11" s="396"/>
      <c r="D11" s="396"/>
      <c r="E11" s="396"/>
      <c r="F11" s="396"/>
      <c r="G11" s="396"/>
      <c r="H11" s="396"/>
      <c r="I11" s="396"/>
      <c r="J11" s="396"/>
      <c r="K11" s="396"/>
      <c r="L11" s="396"/>
      <c r="M11" s="396"/>
      <c r="N11" s="396"/>
      <c r="O11" s="396"/>
      <c r="P11" s="396"/>
      <c r="Q11" s="396"/>
      <c r="R11" s="396"/>
      <c r="S11" s="396"/>
      <c r="T11" s="396"/>
      <c r="U11" s="396"/>
      <c r="V11" s="396"/>
      <c r="W11" s="396"/>
      <c r="X11" s="397"/>
      <c r="Y11" s="397"/>
      <c r="Z11" s="397"/>
      <c r="AA11" s="398">
        <v>0</v>
      </c>
      <c r="AB11" s="398">
        <v>0</v>
      </c>
      <c r="AC11" s="398">
        <v>0</v>
      </c>
      <c r="AD11" s="398">
        <v>0</v>
      </c>
      <c r="AE11" s="398">
        <v>0</v>
      </c>
      <c r="AF11" s="398">
        <v>0</v>
      </c>
      <c r="AG11" s="398">
        <v>0</v>
      </c>
      <c r="AH11" s="398">
        <v>0</v>
      </c>
      <c r="AI11" s="398">
        <v>0</v>
      </c>
      <c r="AJ11" s="398">
        <v>0</v>
      </c>
      <c r="AK11" s="398">
        <v>0</v>
      </c>
      <c r="AL11" s="398">
        <v>0</v>
      </c>
      <c r="AM11" s="398">
        <v>0</v>
      </c>
      <c r="AN11" s="398">
        <v>0</v>
      </c>
      <c r="AO11" s="398">
        <v>0</v>
      </c>
    </row>
    <row r="12" spans="2:42" hidden="1" outlineLevel="1">
      <c r="B12" s="395" t="s">
        <v>109</v>
      </c>
      <c r="C12" s="396"/>
      <c r="D12" s="396"/>
      <c r="E12" s="396"/>
      <c r="F12" s="396"/>
      <c r="G12" s="396"/>
      <c r="H12" s="396"/>
      <c r="I12" s="396"/>
      <c r="J12" s="396"/>
      <c r="K12" s="396"/>
      <c r="L12" s="396"/>
      <c r="M12" s="396"/>
      <c r="N12" s="396"/>
      <c r="O12" s="396"/>
      <c r="P12" s="396"/>
      <c r="Q12" s="396"/>
      <c r="R12" s="396"/>
      <c r="S12" s="396"/>
      <c r="T12" s="396"/>
      <c r="U12" s="396"/>
      <c r="V12" s="396"/>
      <c r="W12" s="396"/>
      <c r="X12" s="397"/>
      <c r="Y12" s="397"/>
      <c r="Z12" s="397"/>
      <c r="AA12" s="398">
        <v>0</v>
      </c>
      <c r="AB12" s="398">
        <v>0</v>
      </c>
      <c r="AC12" s="398">
        <v>0</v>
      </c>
      <c r="AD12" s="398">
        <v>0</v>
      </c>
      <c r="AE12" s="398">
        <v>0.05</v>
      </c>
      <c r="AF12" s="398">
        <v>0.1</v>
      </c>
      <c r="AG12" s="398">
        <v>0.15</v>
      </c>
      <c r="AH12" s="398">
        <v>0.2</v>
      </c>
      <c r="AI12" s="398">
        <v>0.25</v>
      </c>
      <c r="AJ12" s="398">
        <v>0.3</v>
      </c>
      <c r="AK12" s="398">
        <v>0.4</v>
      </c>
      <c r="AL12" s="398">
        <v>0.5</v>
      </c>
      <c r="AM12" s="398">
        <v>0.5</v>
      </c>
      <c r="AN12" s="398">
        <v>0.5</v>
      </c>
      <c r="AO12" s="398">
        <v>0.5</v>
      </c>
    </row>
    <row r="13" spans="2:42" hidden="1" outlineLevel="1">
      <c r="B13" s="395" t="s">
        <v>110</v>
      </c>
      <c r="C13" s="396"/>
      <c r="D13" s="396"/>
      <c r="E13" s="396"/>
      <c r="F13" s="396"/>
      <c r="G13" s="396"/>
      <c r="H13" s="396"/>
      <c r="I13" s="396"/>
      <c r="J13" s="396"/>
      <c r="K13" s="396"/>
      <c r="L13" s="396"/>
      <c r="M13" s="396"/>
      <c r="N13" s="396"/>
      <c r="O13" s="396"/>
      <c r="P13" s="396"/>
      <c r="Q13" s="396"/>
      <c r="R13" s="396"/>
      <c r="S13" s="396"/>
      <c r="T13" s="396"/>
      <c r="U13" s="396"/>
      <c r="V13" s="396"/>
      <c r="W13" s="396"/>
      <c r="X13" s="397"/>
      <c r="Y13" s="397"/>
      <c r="Z13" s="397"/>
      <c r="AA13" s="398">
        <v>0</v>
      </c>
      <c r="AB13" s="398">
        <v>0</v>
      </c>
      <c r="AC13" s="398">
        <v>0</v>
      </c>
      <c r="AD13" s="398">
        <v>0</v>
      </c>
      <c r="AE13" s="398">
        <v>0</v>
      </c>
      <c r="AF13" s="398">
        <v>0</v>
      </c>
      <c r="AG13" s="398">
        <v>0</v>
      </c>
      <c r="AH13" s="398">
        <v>0</v>
      </c>
      <c r="AI13" s="398">
        <v>0</v>
      </c>
      <c r="AJ13" s="398">
        <v>0</v>
      </c>
      <c r="AK13" s="398">
        <v>0</v>
      </c>
      <c r="AL13" s="398">
        <v>0</v>
      </c>
      <c r="AM13" s="398">
        <v>0</v>
      </c>
      <c r="AN13" s="398">
        <v>0</v>
      </c>
      <c r="AO13" s="398">
        <v>0</v>
      </c>
    </row>
    <row r="14" spans="2:42" collapsed="1">
      <c r="B14" s="389" t="s">
        <v>81</v>
      </c>
      <c r="Z14" s="399"/>
      <c r="AA14" s="400">
        <f t="shared" ref="AA14:AO14" si="21">CHOOSE($AA$2,AA11,AA12,AA13)</f>
        <v>0</v>
      </c>
      <c r="AB14" s="400">
        <f t="shared" si="21"/>
        <v>0</v>
      </c>
      <c r="AC14" s="400">
        <f t="shared" si="21"/>
        <v>0</v>
      </c>
      <c r="AD14" s="400">
        <f t="shared" si="21"/>
        <v>0</v>
      </c>
      <c r="AE14" s="400">
        <f t="shared" si="21"/>
        <v>0.05</v>
      </c>
      <c r="AF14" s="400">
        <f t="shared" si="21"/>
        <v>0.1</v>
      </c>
      <c r="AG14" s="400">
        <f t="shared" si="21"/>
        <v>0.15</v>
      </c>
      <c r="AH14" s="400">
        <f t="shared" si="21"/>
        <v>0.2</v>
      </c>
      <c r="AI14" s="400">
        <f t="shared" si="21"/>
        <v>0.25</v>
      </c>
      <c r="AJ14" s="400">
        <f t="shared" si="21"/>
        <v>0.3</v>
      </c>
      <c r="AK14" s="400">
        <f t="shared" si="21"/>
        <v>0.4</v>
      </c>
      <c r="AL14" s="400">
        <f t="shared" si="21"/>
        <v>0.5</v>
      </c>
      <c r="AM14" s="400">
        <f t="shared" si="21"/>
        <v>0.5</v>
      </c>
      <c r="AN14" s="400">
        <f t="shared" si="21"/>
        <v>0.5</v>
      </c>
      <c r="AO14" s="400">
        <f t="shared" si="21"/>
        <v>0.5</v>
      </c>
    </row>
    <row r="15" spans="2:42">
      <c r="B15" s="389" t="s">
        <v>191</v>
      </c>
      <c r="Z15" s="394">
        <f>Z14*Z10</f>
        <v>0</v>
      </c>
      <c r="AA15" s="354">
        <f t="shared" ref="AA15:AO15" si="22">AA14*AA10</f>
        <v>0</v>
      </c>
      <c r="AB15" s="354">
        <f t="shared" si="22"/>
        <v>0</v>
      </c>
      <c r="AC15" s="354">
        <f t="shared" si="22"/>
        <v>0</v>
      </c>
      <c r="AD15" s="354">
        <f t="shared" si="22"/>
        <v>0</v>
      </c>
      <c r="AE15" s="354">
        <f t="shared" si="22"/>
        <v>21.458345451781856</v>
      </c>
      <c r="AF15" s="354">
        <f t="shared" si="22"/>
        <v>43.131274358081527</v>
      </c>
      <c r="AG15" s="354">
        <f t="shared" si="22"/>
        <v>65.020396094807879</v>
      </c>
      <c r="AH15" s="354">
        <f t="shared" si="22"/>
        <v>87.127330767042565</v>
      </c>
      <c r="AI15" s="354">
        <f t="shared" si="22"/>
        <v>109.45370927609719</v>
      </c>
      <c r="AJ15" s="354">
        <f t="shared" si="22"/>
        <v>132.00117338697322</v>
      </c>
      <c r="AK15" s="354">
        <f t="shared" si="22"/>
        <v>176.88157233854409</v>
      </c>
      <c r="AL15" s="354">
        <f t="shared" si="22"/>
        <v>222.20747525029597</v>
      </c>
      <c r="AM15" s="354">
        <f t="shared" si="22"/>
        <v>223.31851262654746</v>
      </c>
      <c r="AN15" s="354">
        <f t="shared" si="22"/>
        <v>224.43510518968017</v>
      </c>
      <c r="AO15" s="354">
        <f t="shared" si="22"/>
        <v>225.55728071562856</v>
      </c>
    </row>
    <row r="16" spans="2:42">
      <c r="B16" s="389" t="s">
        <v>193</v>
      </c>
      <c r="Z16" s="608">
        <v>450000</v>
      </c>
      <c r="AA16" s="402">
        <f>Z16</f>
        <v>450000</v>
      </c>
      <c r="AB16" s="402">
        <f>AA16</f>
        <v>450000</v>
      </c>
      <c r="AC16" s="402">
        <f t="shared" ref="AC16:AO16" si="23">AB16*1.03</f>
        <v>463500</v>
      </c>
      <c r="AD16" s="402">
        <f t="shared" si="23"/>
        <v>477405</v>
      </c>
      <c r="AE16" s="402">
        <f t="shared" si="23"/>
        <v>491727.15</v>
      </c>
      <c r="AF16" s="402">
        <f t="shared" si="23"/>
        <v>506478.96450000006</v>
      </c>
      <c r="AG16" s="402">
        <f t="shared" si="23"/>
        <v>521673.3334350001</v>
      </c>
      <c r="AH16" s="402">
        <f t="shared" si="23"/>
        <v>537323.53343805007</v>
      </c>
      <c r="AI16" s="402">
        <f t="shared" si="23"/>
        <v>553443.23944119154</v>
      </c>
      <c r="AJ16" s="402">
        <f t="shared" si="23"/>
        <v>570046.5366244273</v>
      </c>
      <c r="AK16" s="402">
        <f t="shared" si="23"/>
        <v>587147.93272316013</v>
      </c>
      <c r="AL16" s="402">
        <f t="shared" si="23"/>
        <v>604762.37070485495</v>
      </c>
      <c r="AM16" s="402">
        <f t="shared" si="23"/>
        <v>622905.24182600062</v>
      </c>
      <c r="AN16" s="402">
        <f t="shared" si="23"/>
        <v>641592.39908078068</v>
      </c>
      <c r="AO16" s="402">
        <f t="shared" si="23"/>
        <v>660840.1710532041</v>
      </c>
    </row>
    <row r="17" spans="2:41">
      <c r="B17" s="403" t="s">
        <v>513</v>
      </c>
      <c r="C17" s="404"/>
      <c r="D17" s="404"/>
      <c r="E17" s="404"/>
      <c r="F17" s="404"/>
      <c r="G17" s="404"/>
      <c r="H17" s="404"/>
      <c r="I17" s="404"/>
      <c r="J17" s="404"/>
      <c r="K17" s="404"/>
      <c r="L17" s="404"/>
      <c r="M17" s="404"/>
      <c r="N17" s="404"/>
      <c r="O17" s="404"/>
      <c r="P17" s="404"/>
      <c r="Q17" s="404"/>
      <c r="R17" s="404"/>
      <c r="S17" s="404"/>
      <c r="T17" s="404"/>
      <c r="U17" s="404"/>
      <c r="V17" s="404"/>
      <c r="W17" s="404"/>
      <c r="X17" s="404"/>
      <c r="Y17" s="404"/>
      <c r="Z17" s="405">
        <f>Z16*Z15/1000000</f>
        <v>0</v>
      </c>
      <c r="AA17" s="406">
        <f t="shared" ref="AA17:AO17" si="24">AA16*AA15/1000000</f>
        <v>0</v>
      </c>
      <c r="AB17" s="406">
        <f t="shared" si="24"/>
        <v>0</v>
      </c>
      <c r="AC17" s="406">
        <f t="shared" si="24"/>
        <v>0</v>
      </c>
      <c r="AD17" s="406">
        <f t="shared" si="24"/>
        <v>0</v>
      </c>
      <c r="AE17" s="406">
        <f t="shared" si="24"/>
        <v>10.551651052720155</v>
      </c>
      <c r="AF17" s="406">
        <f t="shared" si="24"/>
        <v>21.84508317444654</v>
      </c>
      <c r="AG17" s="406">
        <f t="shared" si="24"/>
        <v>33.919406772042493</v>
      </c>
      <c r="AH17" s="406">
        <f t="shared" si="24"/>
        <v>46.815565226773046</v>
      </c>
      <c r="AI17" s="406">
        <f t="shared" si="24"/>
        <v>60.576415430617622</v>
      </c>
      <c r="AJ17" s="406">
        <f t="shared" si="24"/>
        <v>75.246811719604608</v>
      </c>
      <c r="AK17" s="406">
        <f t="shared" si="24"/>
        <v>103.85564953539827</v>
      </c>
      <c r="AL17" s="406">
        <f t="shared" si="24"/>
        <v>134.38271952070937</v>
      </c>
      <c r="AM17" s="406">
        <f t="shared" si="24"/>
        <v>139.10627211186232</v>
      </c>
      <c r="AN17" s="406">
        <f t="shared" si="24"/>
        <v>143.99585757659426</v>
      </c>
      <c r="AO17" s="406">
        <f t="shared" si="24"/>
        <v>149.05731197041158</v>
      </c>
    </row>
    <row r="18" spans="2:41" ht="3.75" customHeight="1"/>
    <row r="19" spans="2:41">
      <c r="B19" s="389" t="s">
        <v>518</v>
      </c>
      <c r="C19" s="394"/>
      <c r="D19" s="394"/>
      <c r="E19" s="394"/>
      <c r="F19" s="394"/>
      <c r="G19" s="394"/>
      <c r="H19" s="394"/>
      <c r="I19" s="394"/>
      <c r="J19" s="394"/>
      <c r="K19" s="394"/>
      <c r="L19" s="394"/>
      <c r="M19" s="394"/>
      <c r="N19" s="394"/>
      <c r="O19" s="394"/>
      <c r="P19" s="394"/>
      <c r="Q19" s="394"/>
      <c r="R19" s="394"/>
      <c r="S19" s="394"/>
      <c r="T19" s="394"/>
      <c r="U19" s="394"/>
      <c r="V19" s="394"/>
      <c r="W19" s="394"/>
      <c r="X19" s="394"/>
      <c r="Y19" s="394"/>
      <c r="Z19" s="394"/>
      <c r="AA19" s="394">
        <f>AA10*1.5</f>
        <v>631.03469846758821</v>
      </c>
      <c r="AB19" s="394">
        <f t="shared" ref="AB19:AO19" si="25">AB10*1.5</f>
        <v>634.18987195992599</v>
      </c>
      <c r="AC19" s="394">
        <f t="shared" si="25"/>
        <v>637.36082131972546</v>
      </c>
      <c r="AD19" s="394">
        <f t="shared" si="25"/>
        <v>640.54762542632409</v>
      </c>
      <c r="AE19" s="394">
        <f t="shared" si="25"/>
        <v>643.7503635534556</v>
      </c>
      <c r="AF19" s="394">
        <f t="shared" si="25"/>
        <v>646.96911537122287</v>
      </c>
      <c r="AG19" s="394">
        <f t="shared" si="25"/>
        <v>650.20396094807882</v>
      </c>
      <c r="AH19" s="394">
        <f t="shared" si="25"/>
        <v>653.45498075281921</v>
      </c>
      <c r="AI19" s="394">
        <f t="shared" si="25"/>
        <v>656.72225565658312</v>
      </c>
      <c r="AJ19" s="394">
        <f t="shared" si="25"/>
        <v>660.00586693486616</v>
      </c>
      <c r="AK19" s="394">
        <f t="shared" si="25"/>
        <v>663.30589626954031</v>
      </c>
      <c r="AL19" s="394">
        <f t="shared" si="25"/>
        <v>666.62242575088794</v>
      </c>
      <c r="AM19" s="394">
        <f t="shared" si="25"/>
        <v>669.95553787964241</v>
      </c>
      <c r="AN19" s="394">
        <f t="shared" si="25"/>
        <v>673.30531556904054</v>
      </c>
      <c r="AO19" s="394">
        <f t="shared" si="25"/>
        <v>676.67184214688564</v>
      </c>
    </row>
    <row r="20" spans="2:41" hidden="1" outlineLevel="1">
      <c r="B20" s="395" t="s">
        <v>108</v>
      </c>
      <c r="C20" s="396"/>
      <c r="D20" s="396"/>
      <c r="E20" s="396"/>
      <c r="F20" s="396"/>
      <c r="G20" s="396"/>
      <c r="H20" s="396"/>
      <c r="I20" s="396"/>
      <c r="J20" s="396"/>
      <c r="K20" s="396"/>
      <c r="L20" s="396"/>
      <c r="M20" s="396"/>
      <c r="N20" s="396"/>
      <c r="O20" s="396"/>
      <c r="P20" s="396"/>
      <c r="Q20" s="396"/>
      <c r="R20" s="396"/>
      <c r="S20" s="396"/>
      <c r="T20" s="396"/>
      <c r="U20" s="396"/>
      <c r="V20" s="396"/>
      <c r="W20" s="396"/>
      <c r="X20" s="397"/>
      <c r="Y20" s="397"/>
      <c r="Z20" s="397"/>
      <c r="AA20" s="398">
        <v>0</v>
      </c>
      <c r="AB20" s="398">
        <v>0</v>
      </c>
      <c r="AC20" s="398">
        <v>0</v>
      </c>
      <c r="AD20" s="398">
        <v>0</v>
      </c>
      <c r="AE20" s="398">
        <v>0</v>
      </c>
      <c r="AF20" s="398">
        <v>0</v>
      </c>
      <c r="AG20" s="398">
        <v>0</v>
      </c>
      <c r="AH20" s="398">
        <v>0</v>
      </c>
      <c r="AI20" s="398">
        <v>0</v>
      </c>
      <c r="AJ20" s="398">
        <v>0</v>
      </c>
      <c r="AK20" s="398">
        <v>0</v>
      </c>
      <c r="AL20" s="398">
        <v>0</v>
      </c>
      <c r="AM20" s="398">
        <v>0</v>
      </c>
      <c r="AN20" s="398">
        <v>0</v>
      </c>
      <c r="AO20" s="398">
        <v>0</v>
      </c>
    </row>
    <row r="21" spans="2:41" hidden="1" outlineLevel="1">
      <c r="B21" s="395" t="s">
        <v>109</v>
      </c>
      <c r="C21" s="396"/>
      <c r="D21" s="396"/>
      <c r="E21" s="396"/>
      <c r="F21" s="396"/>
      <c r="G21" s="396"/>
      <c r="H21" s="396"/>
      <c r="I21" s="396"/>
      <c r="J21" s="396"/>
      <c r="K21" s="396"/>
      <c r="L21" s="396"/>
      <c r="M21" s="396"/>
      <c r="N21" s="396"/>
      <c r="O21" s="396"/>
      <c r="P21" s="396"/>
      <c r="Q21" s="396"/>
      <c r="R21" s="396"/>
      <c r="S21" s="396"/>
      <c r="T21" s="396"/>
      <c r="U21" s="396"/>
      <c r="V21" s="396"/>
      <c r="W21" s="396"/>
      <c r="X21" s="397"/>
      <c r="Y21" s="397"/>
      <c r="Z21" s="397"/>
      <c r="AA21" s="398">
        <v>0</v>
      </c>
      <c r="AB21" s="398">
        <v>0</v>
      </c>
      <c r="AC21" s="398">
        <v>0</v>
      </c>
      <c r="AD21" s="398">
        <v>0</v>
      </c>
      <c r="AE21" s="398">
        <v>0</v>
      </c>
      <c r="AF21" s="398">
        <v>0.05</v>
      </c>
      <c r="AG21" s="398">
        <v>7.4999999999999997E-2</v>
      </c>
      <c r="AH21" s="398">
        <v>0.1125</v>
      </c>
      <c r="AI21" s="398">
        <v>0.14330000000000001</v>
      </c>
      <c r="AJ21" s="398">
        <v>0.17749999999999999</v>
      </c>
      <c r="AK21" s="398">
        <v>0.21249999999999999</v>
      </c>
      <c r="AL21" s="398">
        <v>0.245</v>
      </c>
      <c r="AM21" s="398">
        <v>0.28000000000000003</v>
      </c>
      <c r="AN21" s="398">
        <v>0.31</v>
      </c>
      <c r="AO21" s="398">
        <v>0.34399999999999997</v>
      </c>
    </row>
    <row r="22" spans="2:41" hidden="1" outlineLevel="1">
      <c r="B22" s="395" t="s">
        <v>110</v>
      </c>
      <c r="C22" s="396"/>
      <c r="D22" s="396"/>
      <c r="E22" s="396"/>
      <c r="F22" s="396"/>
      <c r="G22" s="396"/>
      <c r="H22" s="396"/>
      <c r="I22" s="396"/>
      <c r="J22" s="396"/>
      <c r="K22" s="396"/>
      <c r="L22" s="396"/>
      <c r="M22" s="396"/>
      <c r="N22" s="396"/>
      <c r="O22" s="396"/>
      <c r="P22" s="396"/>
      <c r="Q22" s="396"/>
      <c r="R22" s="396"/>
      <c r="S22" s="396"/>
      <c r="T22" s="396"/>
      <c r="U22" s="396"/>
      <c r="V22" s="396"/>
      <c r="W22" s="396"/>
      <c r="X22" s="397"/>
      <c r="Y22" s="397"/>
      <c r="Z22" s="397"/>
      <c r="AA22" s="398">
        <v>0</v>
      </c>
      <c r="AB22" s="398">
        <v>0</v>
      </c>
      <c r="AC22" s="398">
        <v>0</v>
      </c>
      <c r="AD22" s="398">
        <v>0</v>
      </c>
      <c r="AE22" s="398">
        <v>0</v>
      </c>
      <c r="AF22" s="398">
        <v>0</v>
      </c>
      <c r="AG22" s="398">
        <v>0</v>
      </c>
      <c r="AH22" s="398">
        <v>0</v>
      </c>
      <c r="AI22" s="398">
        <v>0</v>
      </c>
      <c r="AJ22" s="398">
        <v>0</v>
      </c>
      <c r="AK22" s="398">
        <v>0</v>
      </c>
      <c r="AL22" s="398">
        <v>0</v>
      </c>
      <c r="AM22" s="398">
        <v>0</v>
      </c>
      <c r="AN22" s="398">
        <v>0</v>
      </c>
      <c r="AO22" s="398">
        <v>0</v>
      </c>
    </row>
    <row r="23" spans="2:41" collapsed="1">
      <c r="B23" s="389" t="s">
        <v>81</v>
      </c>
      <c r="AA23" s="400">
        <f t="shared" ref="AA23:AO23" si="26">CHOOSE($AA$2,AA20,AA21,AA22)</f>
        <v>0</v>
      </c>
      <c r="AB23" s="400">
        <f t="shared" si="26"/>
        <v>0</v>
      </c>
      <c r="AC23" s="400">
        <f t="shared" si="26"/>
        <v>0</v>
      </c>
      <c r="AD23" s="400">
        <f t="shared" si="26"/>
        <v>0</v>
      </c>
      <c r="AE23" s="400">
        <f t="shared" si="26"/>
        <v>0</v>
      </c>
      <c r="AF23" s="400">
        <f t="shared" si="26"/>
        <v>0.05</v>
      </c>
      <c r="AG23" s="400">
        <f t="shared" si="26"/>
        <v>7.4999999999999997E-2</v>
      </c>
      <c r="AH23" s="400">
        <f t="shared" si="26"/>
        <v>0.1125</v>
      </c>
      <c r="AI23" s="400">
        <f t="shared" si="26"/>
        <v>0.14330000000000001</v>
      </c>
      <c r="AJ23" s="400">
        <f t="shared" si="26"/>
        <v>0.17749999999999999</v>
      </c>
      <c r="AK23" s="400">
        <f t="shared" si="26"/>
        <v>0.21249999999999999</v>
      </c>
      <c r="AL23" s="400">
        <f t="shared" si="26"/>
        <v>0.245</v>
      </c>
      <c r="AM23" s="400">
        <f t="shared" si="26"/>
        <v>0.28000000000000003</v>
      </c>
      <c r="AN23" s="400">
        <f t="shared" si="26"/>
        <v>0.31</v>
      </c>
      <c r="AO23" s="400">
        <f t="shared" si="26"/>
        <v>0.34399999999999997</v>
      </c>
    </row>
    <row r="24" spans="2:41">
      <c r="B24" s="389" t="s">
        <v>519</v>
      </c>
      <c r="Z24" s="394"/>
      <c r="AA24" s="354">
        <f>AA23*AA19</f>
        <v>0</v>
      </c>
      <c r="AB24" s="354">
        <f t="shared" ref="AB24:AO24" si="27">AB23*AB19</f>
        <v>0</v>
      </c>
      <c r="AC24" s="354">
        <f t="shared" si="27"/>
        <v>0</v>
      </c>
      <c r="AD24" s="354">
        <f t="shared" si="27"/>
        <v>0</v>
      </c>
      <c r="AE24" s="354">
        <f t="shared" si="27"/>
        <v>0</v>
      </c>
      <c r="AF24" s="354">
        <f t="shared" si="27"/>
        <v>32.348455768561145</v>
      </c>
      <c r="AG24" s="354">
        <f t="shared" si="27"/>
        <v>48.765297071105913</v>
      </c>
      <c r="AH24" s="354">
        <f t="shared" si="27"/>
        <v>73.51368533469217</v>
      </c>
      <c r="AI24" s="354">
        <f t="shared" si="27"/>
        <v>94.108299235588362</v>
      </c>
      <c r="AJ24" s="354">
        <f t="shared" si="27"/>
        <v>117.15104138093874</v>
      </c>
      <c r="AK24" s="354">
        <f t="shared" si="27"/>
        <v>140.95250295727732</v>
      </c>
      <c r="AL24" s="354">
        <f t="shared" si="27"/>
        <v>163.32249430896755</v>
      </c>
      <c r="AM24" s="354">
        <f t="shared" si="27"/>
        <v>187.58755060629989</v>
      </c>
      <c r="AN24" s="354">
        <f t="shared" si="27"/>
        <v>208.72464782640256</v>
      </c>
      <c r="AO24" s="354">
        <f t="shared" si="27"/>
        <v>232.77511369852863</v>
      </c>
    </row>
    <row r="25" spans="2:41">
      <c r="B25" s="389" t="s">
        <v>520</v>
      </c>
      <c r="Z25" s="401"/>
      <c r="AA25" s="402">
        <f>AA16*0.75</f>
        <v>337500</v>
      </c>
      <c r="AB25" s="402">
        <f>AA25</f>
        <v>337500</v>
      </c>
      <c r="AC25" s="402">
        <f t="shared" ref="AC25" si="28">AB25</f>
        <v>337500</v>
      </c>
      <c r="AD25" s="402">
        <f t="shared" ref="AD25" si="29">AC25</f>
        <v>337500</v>
      </c>
      <c r="AE25" s="402">
        <f t="shared" ref="AE25" si="30">AD25</f>
        <v>337500</v>
      </c>
      <c r="AF25" s="402">
        <f t="shared" ref="AF25" si="31">AE25</f>
        <v>337500</v>
      </c>
      <c r="AG25" s="402">
        <f t="shared" ref="AG25" si="32">AF25</f>
        <v>337500</v>
      </c>
      <c r="AH25" s="402">
        <f t="shared" ref="AH25" si="33">AG25</f>
        <v>337500</v>
      </c>
      <c r="AI25" s="402">
        <f t="shared" ref="AI25" si="34">AH25</f>
        <v>337500</v>
      </c>
      <c r="AJ25" s="402">
        <f t="shared" ref="AJ25" si="35">AI25</f>
        <v>337500</v>
      </c>
      <c r="AK25" s="402">
        <f t="shared" ref="AK25" si="36">AJ25</f>
        <v>337500</v>
      </c>
      <c r="AL25" s="402">
        <f t="shared" ref="AL25" si="37">AK25</f>
        <v>337500</v>
      </c>
      <c r="AM25" s="402">
        <f t="shared" ref="AM25" si="38">AL25</f>
        <v>337500</v>
      </c>
      <c r="AN25" s="402">
        <f t="shared" ref="AN25" si="39">AM25</f>
        <v>337500</v>
      </c>
      <c r="AO25" s="402">
        <f t="shared" ref="AO25" si="40">AN25</f>
        <v>337500</v>
      </c>
    </row>
    <row r="26" spans="2:41">
      <c r="B26" s="403" t="s">
        <v>517</v>
      </c>
      <c r="C26" s="404"/>
      <c r="D26" s="404"/>
      <c r="E26" s="404"/>
      <c r="F26" s="404"/>
      <c r="G26" s="404"/>
      <c r="H26" s="404"/>
      <c r="I26" s="404"/>
      <c r="J26" s="404"/>
      <c r="K26" s="404"/>
      <c r="L26" s="404"/>
      <c r="M26" s="404"/>
      <c r="N26" s="404"/>
      <c r="O26" s="404"/>
      <c r="P26" s="404"/>
      <c r="Q26" s="404"/>
      <c r="R26" s="404"/>
      <c r="S26" s="404"/>
      <c r="T26" s="404"/>
      <c r="U26" s="404"/>
      <c r="V26" s="404"/>
      <c r="W26" s="404"/>
      <c r="X26" s="404"/>
      <c r="Y26" s="404"/>
      <c r="Z26" s="405"/>
      <c r="AA26" s="406">
        <f>AA25*AA24/1000000</f>
        <v>0</v>
      </c>
      <c r="AB26" s="406">
        <f t="shared" ref="AB26:AO26" si="41">AB25*AB24/1000000</f>
        <v>0</v>
      </c>
      <c r="AC26" s="406">
        <f t="shared" si="41"/>
        <v>0</v>
      </c>
      <c r="AD26" s="406">
        <f t="shared" si="41"/>
        <v>0</v>
      </c>
      <c r="AE26" s="406">
        <f t="shared" si="41"/>
        <v>0</v>
      </c>
      <c r="AF26" s="406">
        <f t="shared" si="41"/>
        <v>10.917603821889385</v>
      </c>
      <c r="AG26" s="406">
        <f t="shared" si="41"/>
        <v>16.458287761498248</v>
      </c>
      <c r="AH26" s="406">
        <f t="shared" si="41"/>
        <v>24.810868800458607</v>
      </c>
      <c r="AI26" s="406">
        <f t="shared" si="41"/>
        <v>31.761550992011074</v>
      </c>
      <c r="AJ26" s="406">
        <f t="shared" si="41"/>
        <v>39.538476466066825</v>
      </c>
      <c r="AK26" s="406">
        <f t="shared" si="41"/>
        <v>47.571469748081093</v>
      </c>
      <c r="AL26" s="406">
        <f t="shared" si="41"/>
        <v>55.121341829276545</v>
      </c>
      <c r="AM26" s="406">
        <f t="shared" si="41"/>
        <v>63.310798329626209</v>
      </c>
      <c r="AN26" s="406">
        <f t="shared" si="41"/>
        <v>70.444568641410854</v>
      </c>
      <c r="AO26" s="406">
        <f t="shared" si="41"/>
        <v>78.561600873253411</v>
      </c>
    </row>
    <row r="27" spans="2:41" ht="3.75" customHeight="1"/>
    <row r="28" spans="2:41">
      <c r="B28" s="389" t="s">
        <v>521</v>
      </c>
      <c r="C28" s="394"/>
      <c r="D28" s="394"/>
      <c r="E28" s="394"/>
      <c r="F28" s="394"/>
      <c r="G28" s="394"/>
      <c r="H28" s="394"/>
      <c r="I28" s="394"/>
      <c r="J28" s="394"/>
      <c r="K28" s="394"/>
      <c r="L28" s="394"/>
      <c r="M28" s="394"/>
      <c r="N28" s="394"/>
      <c r="O28" s="394"/>
      <c r="P28" s="394"/>
      <c r="Q28" s="394"/>
      <c r="R28" s="394"/>
      <c r="S28" s="394"/>
      <c r="T28" s="394"/>
      <c r="U28" s="394"/>
      <c r="V28" s="394"/>
      <c r="W28" s="394"/>
      <c r="X28" s="394"/>
      <c r="Y28" s="394"/>
      <c r="Z28" s="394">
        <f>Z10*4</f>
        <v>1674.3872596154913</v>
      </c>
      <c r="AA28" s="394">
        <f>AA19*1.8</f>
        <v>1135.8624572416588</v>
      </c>
      <c r="AB28" s="394">
        <f t="shared" ref="AB28:AO28" si="42">AB10*4</f>
        <v>1691.172991893136</v>
      </c>
      <c r="AC28" s="394">
        <f t="shared" si="42"/>
        <v>1699.6288568526013</v>
      </c>
      <c r="AD28" s="394">
        <f t="shared" si="42"/>
        <v>1708.1270011368642</v>
      </c>
      <c r="AE28" s="394">
        <f t="shared" si="42"/>
        <v>1716.6676361425484</v>
      </c>
      <c r="AF28" s="394">
        <f t="shared" si="42"/>
        <v>1725.2509743232608</v>
      </c>
      <c r="AG28" s="394">
        <f t="shared" si="42"/>
        <v>1733.8772291948769</v>
      </c>
      <c r="AH28" s="394">
        <f t="shared" si="42"/>
        <v>1742.5466153408511</v>
      </c>
      <c r="AI28" s="394">
        <f t="shared" si="42"/>
        <v>1751.259348417555</v>
      </c>
      <c r="AJ28" s="394">
        <f t="shared" si="42"/>
        <v>1760.0156451596431</v>
      </c>
      <c r="AK28" s="394">
        <f t="shared" si="42"/>
        <v>1768.8157233854408</v>
      </c>
      <c r="AL28" s="394">
        <f t="shared" si="42"/>
        <v>1777.6598020023678</v>
      </c>
      <c r="AM28" s="394">
        <f t="shared" si="42"/>
        <v>1786.5481010123797</v>
      </c>
      <c r="AN28" s="394">
        <f t="shared" si="42"/>
        <v>1795.4808415174414</v>
      </c>
      <c r="AO28" s="394">
        <f t="shared" si="42"/>
        <v>1804.4582457250285</v>
      </c>
    </row>
    <row r="29" spans="2:41" hidden="1" outlineLevel="1">
      <c r="B29" s="395" t="s">
        <v>108</v>
      </c>
      <c r="C29" s="396"/>
      <c r="D29" s="396"/>
      <c r="E29" s="396"/>
      <c r="F29" s="396"/>
      <c r="G29" s="396"/>
      <c r="H29" s="396"/>
      <c r="I29" s="396"/>
      <c r="J29" s="396"/>
      <c r="K29" s="396"/>
      <c r="L29" s="396"/>
      <c r="M29" s="396"/>
      <c r="N29" s="396"/>
      <c r="O29" s="396"/>
      <c r="P29" s="396"/>
      <c r="Q29" s="396"/>
      <c r="R29" s="396"/>
      <c r="S29" s="396"/>
      <c r="T29" s="396"/>
      <c r="U29" s="396"/>
      <c r="V29" s="396"/>
      <c r="W29" s="396"/>
      <c r="X29" s="397"/>
      <c r="Y29" s="397"/>
      <c r="Z29" s="397"/>
      <c r="AA29" s="398">
        <v>0</v>
      </c>
      <c r="AB29" s="398">
        <v>0</v>
      </c>
      <c r="AC29" s="398">
        <v>0</v>
      </c>
      <c r="AD29" s="398">
        <v>0</v>
      </c>
      <c r="AE29" s="398">
        <v>0</v>
      </c>
      <c r="AF29" s="398">
        <v>0</v>
      </c>
      <c r="AG29" s="398">
        <v>0</v>
      </c>
      <c r="AH29" s="398">
        <v>0</v>
      </c>
      <c r="AI29" s="398">
        <v>0</v>
      </c>
      <c r="AJ29" s="398">
        <v>0</v>
      </c>
      <c r="AK29" s="398">
        <v>0</v>
      </c>
      <c r="AL29" s="398">
        <v>0</v>
      </c>
      <c r="AM29" s="398">
        <v>0</v>
      </c>
      <c r="AN29" s="398">
        <v>0</v>
      </c>
      <c r="AO29" s="398">
        <v>0</v>
      </c>
    </row>
    <row r="30" spans="2:41" hidden="1" outlineLevel="1">
      <c r="B30" s="395" t="s">
        <v>109</v>
      </c>
      <c r="C30" s="396"/>
      <c r="D30" s="396"/>
      <c r="E30" s="396"/>
      <c r="F30" s="396"/>
      <c r="G30" s="396"/>
      <c r="H30" s="396"/>
      <c r="I30" s="396"/>
      <c r="J30" s="396"/>
      <c r="K30" s="396"/>
      <c r="L30" s="396"/>
      <c r="M30" s="396"/>
      <c r="N30" s="396"/>
      <c r="O30" s="396"/>
      <c r="P30" s="396"/>
      <c r="Q30" s="396"/>
      <c r="R30" s="396"/>
      <c r="S30" s="396"/>
      <c r="T30" s="396"/>
      <c r="U30" s="396"/>
      <c r="V30" s="396"/>
      <c r="W30" s="396"/>
      <c r="X30" s="397"/>
      <c r="Y30" s="397"/>
      <c r="Z30" s="397"/>
      <c r="AA30" s="398">
        <v>0</v>
      </c>
      <c r="AB30" s="398">
        <v>0</v>
      </c>
      <c r="AC30" s="398">
        <v>0</v>
      </c>
      <c r="AD30" s="398">
        <v>0</v>
      </c>
      <c r="AE30" s="398">
        <v>0</v>
      </c>
      <c r="AF30" s="398">
        <v>0</v>
      </c>
      <c r="AG30" s="398">
        <f>AF21*0.25</f>
        <v>1.2500000000000001E-2</v>
      </c>
      <c r="AH30" s="398">
        <f t="shared" ref="AH30:AO30" si="43">AG21*0.25</f>
        <v>1.8749999999999999E-2</v>
      </c>
      <c r="AI30" s="398">
        <f t="shared" si="43"/>
        <v>2.8125000000000001E-2</v>
      </c>
      <c r="AJ30" s="398">
        <f t="shared" si="43"/>
        <v>3.5825000000000003E-2</v>
      </c>
      <c r="AK30" s="398">
        <f t="shared" si="43"/>
        <v>4.4374999999999998E-2</v>
      </c>
      <c r="AL30" s="398">
        <f t="shared" si="43"/>
        <v>5.3124999999999999E-2</v>
      </c>
      <c r="AM30" s="398">
        <f t="shared" si="43"/>
        <v>6.1249999999999999E-2</v>
      </c>
      <c r="AN30" s="398">
        <f t="shared" si="43"/>
        <v>7.0000000000000007E-2</v>
      </c>
      <c r="AO30" s="398">
        <f t="shared" si="43"/>
        <v>7.7499999999999999E-2</v>
      </c>
    </row>
    <row r="31" spans="2:41" hidden="1" outlineLevel="1">
      <c r="B31" s="395" t="s">
        <v>110</v>
      </c>
      <c r="C31" s="396"/>
      <c r="D31" s="396"/>
      <c r="E31" s="396"/>
      <c r="F31" s="396"/>
      <c r="G31" s="396"/>
      <c r="H31" s="396"/>
      <c r="I31" s="396"/>
      <c r="J31" s="396"/>
      <c r="K31" s="396"/>
      <c r="L31" s="396"/>
      <c r="M31" s="396"/>
      <c r="N31" s="396"/>
      <c r="O31" s="396"/>
      <c r="P31" s="396"/>
      <c r="Q31" s="396"/>
      <c r="R31" s="396"/>
      <c r="S31" s="396"/>
      <c r="T31" s="396"/>
      <c r="U31" s="396"/>
      <c r="V31" s="396"/>
      <c r="W31" s="396"/>
      <c r="X31" s="397"/>
      <c r="Y31" s="397"/>
      <c r="Z31" s="397"/>
      <c r="AA31" s="398">
        <v>0</v>
      </c>
      <c r="AB31" s="398">
        <v>0</v>
      </c>
      <c r="AC31" s="398">
        <v>0</v>
      </c>
      <c r="AD31" s="398">
        <v>0</v>
      </c>
      <c r="AE31" s="398">
        <v>0</v>
      </c>
      <c r="AF31" s="398">
        <v>0</v>
      </c>
      <c r="AG31" s="398">
        <v>0</v>
      </c>
      <c r="AH31" s="398">
        <v>0</v>
      </c>
      <c r="AI31" s="398">
        <v>0</v>
      </c>
      <c r="AJ31" s="398">
        <v>0</v>
      </c>
      <c r="AK31" s="398">
        <v>0</v>
      </c>
      <c r="AL31" s="398">
        <v>0</v>
      </c>
      <c r="AM31" s="398">
        <v>0</v>
      </c>
      <c r="AN31" s="398">
        <v>0</v>
      </c>
      <c r="AO31" s="398">
        <v>0</v>
      </c>
    </row>
    <row r="32" spans="2:41" collapsed="1">
      <c r="B32" s="389" t="s">
        <v>81</v>
      </c>
      <c r="AA32" s="400">
        <f t="shared" ref="AA32:AO32" si="44">CHOOSE($AA$2,AA29,AA30,AA31)</f>
        <v>0</v>
      </c>
      <c r="AB32" s="400">
        <f t="shared" si="44"/>
        <v>0</v>
      </c>
      <c r="AC32" s="400">
        <f t="shared" si="44"/>
        <v>0</v>
      </c>
      <c r="AD32" s="400">
        <f t="shared" si="44"/>
        <v>0</v>
      </c>
      <c r="AE32" s="400">
        <f t="shared" si="44"/>
        <v>0</v>
      </c>
      <c r="AF32" s="400">
        <f t="shared" si="44"/>
        <v>0</v>
      </c>
      <c r="AG32" s="400">
        <f t="shared" si="44"/>
        <v>1.2500000000000001E-2</v>
      </c>
      <c r="AH32" s="400">
        <f t="shared" si="44"/>
        <v>1.8749999999999999E-2</v>
      </c>
      <c r="AI32" s="400">
        <f t="shared" si="44"/>
        <v>2.8125000000000001E-2</v>
      </c>
      <c r="AJ32" s="400">
        <f t="shared" si="44"/>
        <v>3.5825000000000003E-2</v>
      </c>
      <c r="AK32" s="400">
        <f t="shared" si="44"/>
        <v>4.4374999999999998E-2</v>
      </c>
      <c r="AL32" s="400">
        <f t="shared" si="44"/>
        <v>5.3124999999999999E-2</v>
      </c>
      <c r="AM32" s="400">
        <f t="shared" si="44"/>
        <v>6.1249999999999999E-2</v>
      </c>
      <c r="AN32" s="400">
        <f t="shared" si="44"/>
        <v>7.0000000000000007E-2</v>
      </c>
      <c r="AO32" s="400">
        <f t="shared" si="44"/>
        <v>7.7499999999999999E-2</v>
      </c>
    </row>
    <row r="33" spans="2:41">
      <c r="B33" s="389" t="s">
        <v>522</v>
      </c>
      <c r="Z33" s="394"/>
      <c r="AA33" s="354">
        <f>AA32*AA28</f>
        <v>0</v>
      </c>
      <c r="AB33" s="354">
        <f t="shared" ref="AB33:AO33" si="45">AB32*AB28</f>
        <v>0</v>
      </c>
      <c r="AC33" s="354">
        <f t="shared" si="45"/>
        <v>0</v>
      </c>
      <c r="AD33" s="354">
        <f t="shared" si="45"/>
        <v>0</v>
      </c>
      <c r="AE33" s="354">
        <f t="shared" si="45"/>
        <v>0</v>
      </c>
      <c r="AF33" s="354">
        <f t="shared" si="45"/>
        <v>0</v>
      </c>
      <c r="AG33" s="354">
        <f t="shared" si="45"/>
        <v>21.673465364935964</v>
      </c>
      <c r="AH33" s="354">
        <f t="shared" si="45"/>
        <v>32.672749037640955</v>
      </c>
      <c r="AI33" s="354">
        <f t="shared" si="45"/>
        <v>49.254169174243735</v>
      </c>
      <c r="AJ33" s="354">
        <f t="shared" si="45"/>
        <v>63.052560487844218</v>
      </c>
      <c r="AK33" s="354">
        <f t="shared" si="45"/>
        <v>78.491197725228929</v>
      </c>
      <c r="AL33" s="354">
        <f t="shared" si="45"/>
        <v>94.43817698137579</v>
      </c>
      <c r="AM33" s="354">
        <f t="shared" si="45"/>
        <v>109.42607118700825</v>
      </c>
      <c r="AN33" s="354">
        <f t="shared" si="45"/>
        <v>125.68365890622091</v>
      </c>
      <c r="AO33" s="354">
        <f t="shared" si="45"/>
        <v>139.84551404368972</v>
      </c>
    </row>
    <row r="34" spans="2:41">
      <c r="B34" s="389" t="s">
        <v>523</v>
      </c>
      <c r="Z34" s="401"/>
      <c r="AA34" s="402">
        <f>AA25*0.75</f>
        <v>253125</v>
      </c>
      <c r="AB34" s="402">
        <f>AA34</f>
        <v>253125</v>
      </c>
      <c r="AC34" s="402">
        <f t="shared" ref="AC34:AO34" si="46">AB34</f>
        <v>253125</v>
      </c>
      <c r="AD34" s="402">
        <f t="shared" si="46"/>
        <v>253125</v>
      </c>
      <c r="AE34" s="402">
        <f t="shared" si="46"/>
        <v>253125</v>
      </c>
      <c r="AF34" s="402">
        <f t="shared" si="46"/>
        <v>253125</v>
      </c>
      <c r="AG34" s="402">
        <f t="shared" si="46"/>
        <v>253125</v>
      </c>
      <c r="AH34" s="402">
        <f t="shared" si="46"/>
        <v>253125</v>
      </c>
      <c r="AI34" s="402">
        <f t="shared" si="46"/>
        <v>253125</v>
      </c>
      <c r="AJ34" s="402">
        <f t="shared" si="46"/>
        <v>253125</v>
      </c>
      <c r="AK34" s="402">
        <f t="shared" si="46"/>
        <v>253125</v>
      </c>
      <c r="AL34" s="402">
        <f t="shared" si="46"/>
        <v>253125</v>
      </c>
      <c r="AM34" s="402">
        <f t="shared" si="46"/>
        <v>253125</v>
      </c>
      <c r="AN34" s="402">
        <f t="shared" si="46"/>
        <v>253125</v>
      </c>
      <c r="AO34" s="402">
        <f t="shared" si="46"/>
        <v>253125</v>
      </c>
    </row>
    <row r="35" spans="2:41">
      <c r="B35" s="403" t="s">
        <v>524</v>
      </c>
      <c r="C35" s="404"/>
      <c r="D35" s="404"/>
      <c r="E35" s="404"/>
      <c r="F35" s="404"/>
      <c r="G35" s="404"/>
      <c r="H35" s="404"/>
      <c r="I35" s="404"/>
      <c r="J35" s="404"/>
      <c r="K35" s="404"/>
      <c r="L35" s="404"/>
      <c r="M35" s="404"/>
      <c r="N35" s="404"/>
      <c r="O35" s="404"/>
      <c r="P35" s="404"/>
      <c r="Q35" s="404"/>
      <c r="R35" s="404"/>
      <c r="S35" s="404"/>
      <c r="T35" s="404"/>
      <c r="U35" s="404"/>
      <c r="V35" s="404"/>
      <c r="W35" s="404"/>
      <c r="X35" s="404"/>
      <c r="Y35" s="404"/>
      <c r="Z35" s="405"/>
      <c r="AA35" s="406">
        <f>AA34*AA33/1000000</f>
        <v>0</v>
      </c>
      <c r="AB35" s="406">
        <f t="shared" ref="AB35:AO35" si="47">AB34*AB33/1000000</f>
        <v>0</v>
      </c>
      <c r="AC35" s="406">
        <f t="shared" si="47"/>
        <v>0</v>
      </c>
      <c r="AD35" s="406">
        <f t="shared" si="47"/>
        <v>0</v>
      </c>
      <c r="AE35" s="406">
        <f t="shared" si="47"/>
        <v>0</v>
      </c>
      <c r="AF35" s="406">
        <f t="shared" si="47"/>
        <v>0</v>
      </c>
      <c r="AG35" s="406">
        <f t="shared" si="47"/>
        <v>5.486095920499416</v>
      </c>
      <c r="AH35" s="406">
        <f t="shared" si="47"/>
        <v>8.2702896001528661</v>
      </c>
      <c r="AI35" s="406">
        <f t="shared" si="47"/>
        <v>12.467461572230444</v>
      </c>
      <c r="AJ35" s="406">
        <f t="shared" si="47"/>
        <v>15.960179373485568</v>
      </c>
      <c r="AK35" s="406">
        <f t="shared" si="47"/>
        <v>19.868084424198571</v>
      </c>
      <c r="AL35" s="406">
        <f t="shared" si="47"/>
        <v>23.904663548410745</v>
      </c>
      <c r="AM35" s="406">
        <f t="shared" si="47"/>
        <v>27.698474269211463</v>
      </c>
      <c r="AN35" s="406">
        <f t="shared" si="47"/>
        <v>31.813676160637169</v>
      </c>
      <c r="AO35" s="406">
        <f t="shared" si="47"/>
        <v>35.398395742308956</v>
      </c>
    </row>
    <row r="36" spans="2:41">
      <c r="AF36" s="386" t="s">
        <v>194</v>
      </c>
    </row>
    <row r="37" spans="2:41">
      <c r="B37" s="403" t="s">
        <v>514</v>
      </c>
      <c r="C37" s="404"/>
      <c r="D37" s="404"/>
      <c r="E37" s="404"/>
      <c r="F37" s="404"/>
      <c r="G37" s="404"/>
      <c r="H37" s="404"/>
      <c r="I37" s="404"/>
      <c r="J37" s="404"/>
      <c r="K37" s="404"/>
      <c r="L37" s="404"/>
      <c r="M37" s="404"/>
      <c r="N37" s="404"/>
      <c r="O37" s="404"/>
      <c r="P37" s="404"/>
      <c r="Q37" s="404"/>
      <c r="R37" s="404"/>
      <c r="S37" s="404"/>
      <c r="T37" s="404"/>
      <c r="U37" s="404"/>
      <c r="V37" s="404"/>
      <c r="W37" s="404"/>
      <c r="X37" s="404"/>
      <c r="Y37" s="404"/>
      <c r="Z37" s="406">
        <f>IF($AA$4=2,Z35+Z17,0)</f>
        <v>0</v>
      </c>
      <c r="AA37" s="406">
        <f>IF($AA$4=2,AA35+AA17+AA26,0)</f>
        <v>0</v>
      </c>
      <c r="AB37" s="406">
        <f t="shared" ref="AB37:AO37" si="48">IF($AA$4=2,AB35+AB17+AB26,0)</f>
        <v>0</v>
      </c>
      <c r="AC37" s="406">
        <f t="shared" si="48"/>
        <v>0</v>
      </c>
      <c r="AD37" s="406">
        <f t="shared" si="48"/>
        <v>0</v>
      </c>
      <c r="AE37" s="406">
        <f t="shared" si="48"/>
        <v>10.551651052720155</v>
      </c>
      <c r="AF37" s="406">
        <f t="shared" si="48"/>
        <v>32.762686996335923</v>
      </c>
      <c r="AG37" s="406">
        <f t="shared" si="48"/>
        <v>55.863790454040156</v>
      </c>
      <c r="AH37" s="406">
        <f t="shared" si="48"/>
        <v>79.896723627384517</v>
      </c>
      <c r="AI37" s="406">
        <f t="shared" si="48"/>
        <v>104.80542799485914</v>
      </c>
      <c r="AJ37" s="406">
        <f t="shared" si="48"/>
        <v>130.74546755915702</v>
      </c>
      <c r="AK37" s="406">
        <f t="shared" si="48"/>
        <v>171.29520370767793</v>
      </c>
      <c r="AL37" s="406">
        <f t="shared" si="48"/>
        <v>213.40872489839666</v>
      </c>
      <c r="AM37" s="406">
        <f t="shared" si="48"/>
        <v>230.11554471069999</v>
      </c>
      <c r="AN37" s="406">
        <f t="shared" si="48"/>
        <v>246.25410237864227</v>
      </c>
      <c r="AO37" s="406">
        <f t="shared" si="48"/>
        <v>263.01730858597398</v>
      </c>
    </row>
    <row r="41" spans="2:41" ht="13.5" thickBot="1">
      <c r="B41" s="674" t="s">
        <v>535</v>
      </c>
      <c r="C41" s="675"/>
      <c r="D41" s="675"/>
      <c r="E41" s="675"/>
      <c r="F41" s="675"/>
      <c r="G41" s="675"/>
      <c r="H41" s="675"/>
      <c r="I41" s="675"/>
      <c r="J41" s="675"/>
      <c r="K41" s="675"/>
      <c r="L41" s="675"/>
      <c r="M41" s="675"/>
      <c r="N41" s="675"/>
      <c r="O41" s="675"/>
      <c r="P41" s="675"/>
      <c r="Q41" s="675"/>
      <c r="R41" s="675"/>
      <c r="S41" s="675"/>
      <c r="T41" s="675"/>
      <c r="U41" s="675"/>
      <c r="V41" s="675"/>
      <c r="W41" s="675"/>
      <c r="X41" s="675"/>
      <c r="Y41" s="675"/>
      <c r="Z41" s="675"/>
      <c r="AA41" s="695">
        <f t="shared" ref="AA41:AO41" si="49">AA6</f>
        <v>2016</v>
      </c>
      <c r="AB41" s="695">
        <f t="shared" si="49"/>
        <v>2017</v>
      </c>
      <c r="AC41" s="695">
        <f t="shared" si="49"/>
        <v>2018</v>
      </c>
      <c r="AD41" s="695">
        <f t="shared" si="49"/>
        <v>2019</v>
      </c>
      <c r="AE41" s="695">
        <f t="shared" si="49"/>
        <v>2020</v>
      </c>
      <c r="AF41" s="695">
        <f t="shared" si="49"/>
        <v>2021</v>
      </c>
      <c r="AG41" s="695">
        <f t="shared" si="49"/>
        <v>2022</v>
      </c>
      <c r="AH41" s="695">
        <f t="shared" si="49"/>
        <v>2023</v>
      </c>
      <c r="AI41" s="695">
        <f t="shared" si="49"/>
        <v>2024</v>
      </c>
      <c r="AJ41" s="695">
        <f t="shared" si="49"/>
        <v>2025</v>
      </c>
      <c r="AK41" s="695">
        <f t="shared" si="49"/>
        <v>2026</v>
      </c>
      <c r="AL41" s="695">
        <f t="shared" si="49"/>
        <v>2027</v>
      </c>
      <c r="AM41" s="695">
        <f t="shared" si="49"/>
        <v>2028</v>
      </c>
      <c r="AN41" s="695">
        <f t="shared" si="49"/>
        <v>2029</v>
      </c>
      <c r="AO41" s="695">
        <f t="shared" si="49"/>
        <v>2030</v>
      </c>
    </row>
    <row r="42" spans="2:41">
      <c r="B42" s="240"/>
    </row>
    <row r="43" spans="2:41">
      <c r="B43" s="240" t="s">
        <v>33</v>
      </c>
      <c r="AA43" s="632">
        <f>'Rev-Exp'!V190</f>
        <v>0</v>
      </c>
      <c r="AB43" s="632">
        <f>'Rev-Exp'!W190</f>
        <v>0</v>
      </c>
      <c r="AC43" s="632">
        <f>'Rev-Exp'!X190</f>
        <v>0</v>
      </c>
      <c r="AD43" s="632">
        <f>'Rev-Exp'!Y190</f>
        <v>0</v>
      </c>
      <c r="AE43" s="632">
        <f>'Rev-Exp'!AH190</f>
        <v>2.6379127631800388</v>
      </c>
      <c r="AF43" s="632">
        <f>'Rev-Exp'!AI190</f>
        <v>8.1906717490839807</v>
      </c>
      <c r="AG43" s="632">
        <f>'Rev-Exp'!AJ190</f>
        <v>13.965947613510039</v>
      </c>
      <c r="AH43" s="632">
        <f>'Rev-Exp'!AK190</f>
        <v>19.974180906846129</v>
      </c>
      <c r="AI43" s="632">
        <f>'Rev-Exp'!AL190</f>
        <v>26.201356998714786</v>
      </c>
      <c r="AJ43" s="632">
        <f>'Rev-Exp'!AM190</f>
        <v>32.686366889789255</v>
      </c>
      <c r="AK43" s="632">
        <f>'Rev-Exp'!AN190</f>
        <v>42.823800926919482</v>
      </c>
      <c r="AL43" s="632">
        <f>'Rev-Exp'!AO190</f>
        <v>53.352181224599164</v>
      </c>
      <c r="AM43" s="632">
        <f>'Rev-Exp'!AP190</f>
        <v>57.528886177674998</v>
      </c>
      <c r="AN43" s="632">
        <f>'Rev-Exp'!AQ190</f>
        <v>61.563525594660568</v>
      </c>
      <c r="AO43" s="632">
        <f>'Rev-Exp'!AR190</f>
        <v>65.754327146493495</v>
      </c>
    </row>
    <row r="44" spans="2:41">
      <c r="B44" s="240" t="s">
        <v>536</v>
      </c>
      <c r="AA44" s="386">
        <v>20</v>
      </c>
      <c r="AB44" s="386">
        <v>20</v>
      </c>
      <c r="AC44" s="386">
        <v>40</v>
      </c>
      <c r="AD44" s="386">
        <v>50</v>
      </c>
      <c r="AE44" s="386">
        <v>50</v>
      </c>
      <c r="AF44" s="386">
        <f>25+12*4</f>
        <v>73</v>
      </c>
      <c r="AG44" s="386">
        <f>13*4+20</f>
        <v>72</v>
      </c>
      <c r="AH44" s="386">
        <f>13*4+12.5</f>
        <v>64.5</v>
      </c>
      <c r="AI44" s="632">
        <f t="shared" ref="AI44:AO44" si="50">AH44*1.015</f>
        <v>65.467499999999987</v>
      </c>
      <c r="AJ44" s="632">
        <f t="shared" si="50"/>
        <v>66.449512499999983</v>
      </c>
      <c r="AK44" s="632">
        <f t="shared" si="50"/>
        <v>67.446255187499972</v>
      </c>
      <c r="AL44" s="632">
        <f t="shared" si="50"/>
        <v>68.457949015312465</v>
      </c>
      <c r="AM44" s="632">
        <f t="shared" si="50"/>
        <v>69.484818250542148</v>
      </c>
      <c r="AN44" s="632">
        <f t="shared" si="50"/>
        <v>70.527090524300277</v>
      </c>
      <c r="AO44" s="632">
        <f t="shared" si="50"/>
        <v>71.584996882164774</v>
      </c>
    </row>
    <row r="45" spans="2:41">
      <c r="B45" s="240"/>
    </row>
    <row r="46" spans="2:41">
      <c r="B46" s="240" t="s">
        <v>37</v>
      </c>
      <c r="AA46" s="648">
        <f t="shared" ref="AA46:AO46" si="51">AA37-AA43-AA44</f>
        <v>-20</v>
      </c>
      <c r="AB46" s="648">
        <f t="shared" si="51"/>
        <v>-20</v>
      </c>
      <c r="AC46" s="648">
        <f t="shared" si="51"/>
        <v>-40</v>
      </c>
      <c r="AD46" s="648">
        <f t="shared" si="51"/>
        <v>-50</v>
      </c>
      <c r="AE46" s="648">
        <f t="shared" si="51"/>
        <v>-42.08626171045988</v>
      </c>
      <c r="AF46" s="648">
        <f t="shared" si="51"/>
        <v>-48.42798475274806</v>
      </c>
      <c r="AG46" s="648">
        <f t="shared" si="51"/>
        <v>-30.102157159469883</v>
      </c>
      <c r="AH46" s="648">
        <f t="shared" si="51"/>
        <v>-4.577457279461612</v>
      </c>
      <c r="AI46" s="648">
        <f t="shared" si="51"/>
        <v>13.136570996144371</v>
      </c>
      <c r="AJ46" s="648">
        <f t="shared" si="51"/>
        <v>31.609588169367782</v>
      </c>
      <c r="AK46" s="648">
        <f t="shared" si="51"/>
        <v>61.025147593258467</v>
      </c>
      <c r="AL46" s="648">
        <f t="shared" si="51"/>
        <v>91.598594658485013</v>
      </c>
      <c r="AM46" s="648">
        <f t="shared" si="51"/>
        <v>103.10184028248285</v>
      </c>
      <c r="AN46" s="648">
        <f t="shared" si="51"/>
        <v>114.16348625968142</v>
      </c>
      <c r="AO46" s="648">
        <f t="shared" si="51"/>
        <v>125.67798455731571</v>
      </c>
    </row>
    <row r="47" spans="2:41" s="696" customFormat="1">
      <c r="B47" s="227" t="s">
        <v>537</v>
      </c>
      <c r="AA47" s="698"/>
      <c r="AB47" s="698"/>
      <c r="AC47" s="698"/>
      <c r="AD47" s="698"/>
      <c r="AE47" s="698">
        <f t="shared" ref="AE47:AO47" si="52">AE46/AE37</f>
        <v>-3.9885949127942668</v>
      </c>
      <c r="AF47" s="698">
        <f t="shared" si="52"/>
        <v>-1.4781444744798891</v>
      </c>
      <c r="AG47" s="698">
        <f t="shared" si="52"/>
        <v>-0.53884917072061744</v>
      </c>
      <c r="AH47" s="698">
        <f t="shared" si="52"/>
        <v>-5.7292177596788126E-2</v>
      </c>
      <c r="AI47" s="698">
        <f t="shared" si="52"/>
        <v>0.12534246791863432</v>
      </c>
      <c r="AJ47" s="698">
        <f t="shared" si="52"/>
        <v>0.24176431320700068</v>
      </c>
      <c r="AK47" s="698">
        <f t="shared" si="52"/>
        <v>0.35625718801444262</v>
      </c>
      <c r="AL47" s="698">
        <f t="shared" si="52"/>
        <v>0.4292167281449944</v>
      </c>
      <c r="AM47" s="698">
        <f t="shared" si="52"/>
        <v>0.44804378779409243</v>
      </c>
      <c r="AN47" s="698">
        <f t="shared" si="52"/>
        <v>0.46360034272299244</v>
      </c>
      <c r="AO47" s="698">
        <f t="shared" si="52"/>
        <v>0.47783161204478153</v>
      </c>
    </row>
    <row r="48" spans="2:41">
      <c r="B48" s="240"/>
    </row>
    <row r="49" spans="2:43">
      <c r="B49" s="240" t="s">
        <v>301</v>
      </c>
      <c r="AA49" s="647">
        <f t="shared" ref="AA49:AO49" si="53">AA46*AA50</f>
        <v>0</v>
      </c>
      <c r="AB49" s="647">
        <f t="shared" si="53"/>
        <v>3.5063113604487865E-3</v>
      </c>
      <c r="AC49" s="647">
        <f t="shared" si="53"/>
        <v>-8.0000000000000018</v>
      </c>
      <c r="AD49" s="647">
        <f t="shared" si="53"/>
        <v>-10</v>
      </c>
      <c r="AE49" s="647">
        <f t="shared" si="53"/>
        <v>-8.4172523420919756</v>
      </c>
      <c r="AF49" s="647">
        <f t="shared" si="53"/>
        <v>-9.6855969505496127</v>
      </c>
      <c r="AG49" s="647">
        <f t="shared" si="53"/>
        <v>-6.0204314318939769</v>
      </c>
      <c r="AH49" s="647">
        <f t="shared" si="53"/>
        <v>-0.91549145589232239</v>
      </c>
      <c r="AI49" s="647">
        <f t="shared" si="53"/>
        <v>2.6273141992288744</v>
      </c>
      <c r="AJ49" s="647">
        <f t="shared" si="53"/>
        <v>6.3219176338735572</v>
      </c>
      <c r="AK49" s="647">
        <f t="shared" si="53"/>
        <v>12.205029518651694</v>
      </c>
      <c r="AL49" s="647">
        <f t="shared" si="53"/>
        <v>18.319718931697004</v>
      </c>
      <c r="AM49" s="647">
        <f t="shared" si="53"/>
        <v>20.620368056496574</v>
      </c>
      <c r="AN49" s="647">
        <f t="shared" si="53"/>
        <v>22.832697251936288</v>
      </c>
      <c r="AO49" s="647">
        <f t="shared" si="53"/>
        <v>25.135596911463143</v>
      </c>
    </row>
    <row r="50" spans="2:43" s="696" customFormat="1">
      <c r="B50" s="227" t="s">
        <v>40</v>
      </c>
      <c r="AA50" s="697">
        <f>Vimizim!BG83</f>
        <v>0</v>
      </c>
      <c r="AB50" s="697">
        <f>Vimizim!BH83</f>
        <v>-1.7531556802243933E-4</v>
      </c>
      <c r="AC50" s="697">
        <f>Vimizim!BI83</f>
        <v>0.20000000000000004</v>
      </c>
      <c r="AD50" s="697">
        <f>Vimizim!BJ83</f>
        <v>0.2</v>
      </c>
      <c r="AE50" s="697">
        <f>Vimizim!BK83</f>
        <v>0.19999999999999998</v>
      </c>
      <c r="AF50" s="697">
        <f>Vimizim!BL83</f>
        <v>0.2</v>
      </c>
      <c r="AG50" s="697">
        <f>Vimizim!BM83</f>
        <v>0.2</v>
      </c>
      <c r="AH50" s="697">
        <f>Vimizim!BN83</f>
        <v>0.2</v>
      </c>
      <c r="AI50" s="697">
        <f>Vimizim!BO83</f>
        <v>0.2</v>
      </c>
      <c r="AJ50" s="697">
        <f>Vimizim!BP83</f>
        <v>0.2</v>
      </c>
      <c r="AK50" s="697">
        <f>Vimizim!BQ83</f>
        <v>0.2</v>
      </c>
      <c r="AL50" s="697">
        <f>Vimizim!BR83</f>
        <v>0.2</v>
      </c>
      <c r="AM50" s="697">
        <f>Vimizim!BS83</f>
        <v>0.2</v>
      </c>
      <c r="AN50" s="697">
        <f>Vimizim!BT83</f>
        <v>0.20000000000000004</v>
      </c>
      <c r="AO50" s="697">
        <f>Vimizim!BU83</f>
        <v>0.2</v>
      </c>
    </row>
    <row r="51" spans="2:43">
      <c r="B51" s="240"/>
    </row>
    <row r="52" spans="2:43">
      <c r="B52" s="240" t="s">
        <v>85</v>
      </c>
      <c r="AA52" s="647">
        <f t="shared" ref="AA52:AO52" si="54">AA46-AA49</f>
        <v>-20</v>
      </c>
      <c r="AB52" s="647">
        <f t="shared" si="54"/>
        <v>-20.00350631136045</v>
      </c>
      <c r="AC52" s="647">
        <f t="shared" si="54"/>
        <v>-32</v>
      </c>
      <c r="AD52" s="647">
        <f t="shared" si="54"/>
        <v>-40</v>
      </c>
      <c r="AE52" s="647">
        <f t="shared" si="54"/>
        <v>-33.669009368367902</v>
      </c>
      <c r="AF52" s="647">
        <f t="shared" si="54"/>
        <v>-38.742387802198451</v>
      </c>
      <c r="AG52" s="647">
        <f t="shared" si="54"/>
        <v>-24.081725727575908</v>
      </c>
      <c r="AH52" s="647">
        <f t="shared" si="54"/>
        <v>-3.6619658235692896</v>
      </c>
      <c r="AI52" s="647">
        <f t="shared" si="54"/>
        <v>10.509256796915498</v>
      </c>
      <c r="AJ52" s="647">
        <f t="shared" si="54"/>
        <v>25.287670535494225</v>
      </c>
      <c r="AK52" s="647">
        <f t="shared" si="54"/>
        <v>48.820118074606775</v>
      </c>
      <c r="AL52" s="647">
        <f t="shared" si="54"/>
        <v>73.278875726788016</v>
      </c>
      <c r="AM52" s="647">
        <f t="shared" si="54"/>
        <v>82.48147222598628</v>
      </c>
      <c r="AN52" s="647">
        <f t="shared" si="54"/>
        <v>91.330789007745125</v>
      </c>
      <c r="AO52" s="647">
        <f t="shared" si="54"/>
        <v>100.54238764585257</v>
      </c>
      <c r="AP52" s="386">
        <f>AO52*(1+DCF!D66)/(AA65-DCF!D66)</f>
        <v>314.1949613932893</v>
      </c>
    </row>
    <row r="53" spans="2:43">
      <c r="B53" s="240"/>
    </row>
    <row r="54" spans="2:43" ht="13.5" thickBot="1">
      <c r="B54" s="240"/>
    </row>
    <row r="55" spans="2:43">
      <c r="B55" s="679" t="s">
        <v>556</v>
      </c>
      <c r="C55" s="692"/>
      <c r="D55" s="692"/>
      <c r="E55" s="692"/>
      <c r="F55" s="692"/>
      <c r="G55" s="692"/>
      <c r="H55" s="692"/>
      <c r="I55" s="692"/>
      <c r="J55" s="692"/>
      <c r="K55" s="692"/>
      <c r="L55" s="692"/>
      <c r="M55" s="692"/>
      <c r="N55" s="692"/>
      <c r="O55" s="692"/>
      <c r="P55" s="692"/>
      <c r="Q55" s="692"/>
      <c r="R55" s="692"/>
      <c r="S55" s="692"/>
      <c r="T55" s="692"/>
      <c r="U55" s="692"/>
      <c r="V55" s="692"/>
      <c r="W55" s="692"/>
      <c r="X55" s="692"/>
      <c r="Y55" s="692"/>
      <c r="Z55" s="692"/>
      <c r="AA55" s="693">
        <f>SUM(AB62:AP62)/DCF!C27</f>
        <v>-0.5378916140631248</v>
      </c>
    </row>
    <row r="56" spans="2:43" ht="13.5" thickBot="1">
      <c r="B56" s="677" t="s">
        <v>557</v>
      </c>
      <c r="C56" s="678"/>
      <c r="D56" s="678"/>
      <c r="E56" s="678"/>
      <c r="F56" s="678"/>
      <c r="G56" s="678"/>
      <c r="H56" s="678"/>
      <c r="I56" s="678"/>
      <c r="J56" s="678"/>
      <c r="K56" s="678"/>
      <c r="L56" s="678"/>
      <c r="M56" s="678"/>
      <c r="N56" s="678"/>
      <c r="O56" s="678"/>
      <c r="P56" s="678"/>
      <c r="Q56" s="678"/>
      <c r="R56" s="678"/>
      <c r="S56" s="678"/>
      <c r="T56" s="678"/>
      <c r="U56" s="678"/>
      <c r="V56" s="678"/>
      <c r="W56" s="678"/>
      <c r="X56" s="678"/>
      <c r="Y56" s="678"/>
      <c r="Z56" s="678"/>
      <c r="AA56" s="694">
        <f>AA66</f>
        <v>0.44630520340760893</v>
      </c>
    </row>
    <row r="57" spans="2:43">
      <c r="B57" s="344"/>
    </row>
    <row r="58" spans="2:43">
      <c r="B58" s="344"/>
    </row>
    <row r="59" spans="2:43">
      <c r="B59" s="344"/>
    </row>
    <row r="60" spans="2:43">
      <c r="B60" s="344"/>
    </row>
    <row r="61" spans="2:43">
      <c r="B61" s="205"/>
    </row>
    <row r="62" spans="2:43">
      <c r="B62" s="205"/>
      <c r="AB62" s="649">
        <f>AB52*AB63*0.75</f>
        <v>-21.226813538388978</v>
      </c>
      <c r="AC62" s="649">
        <f>AC63*AC52</f>
        <v>-34.299947959304376</v>
      </c>
      <c r="AD62" s="649">
        <f t="shared" ref="AD62:AP62" si="55">AD63*AD52</f>
        <v>-32.481011325098834</v>
      </c>
      <c r="AE62" s="649">
        <f t="shared" si="55"/>
        <v>-20.712187018916978</v>
      </c>
      <c r="AF62" s="649">
        <f t="shared" si="55"/>
        <v>-18.055439866916018</v>
      </c>
      <c r="AG62" s="649">
        <f t="shared" si="55"/>
        <v>-8.5022792282905346</v>
      </c>
      <c r="AH62" s="649">
        <f t="shared" si="55"/>
        <v>-0.97946317760592749</v>
      </c>
      <c r="AI62" s="649">
        <f t="shared" si="55"/>
        <v>2.1294718325821651</v>
      </c>
      <c r="AJ62" s="649">
        <f t="shared" si="55"/>
        <v>3.8818145983653674</v>
      </c>
      <c r="AK62" s="649">
        <f t="shared" si="55"/>
        <v>5.6774178465905232</v>
      </c>
      <c r="AL62" s="649">
        <f t="shared" si="55"/>
        <v>6.4559015589479207</v>
      </c>
      <c r="AM62" s="649">
        <f t="shared" si="55"/>
        <v>5.5050412162663038</v>
      </c>
      <c r="AN62" s="649">
        <f t="shared" si="55"/>
        <v>4.6179311017489351</v>
      </c>
      <c r="AO62" s="649">
        <f t="shared" si="55"/>
        <v>3.8512836224915259</v>
      </c>
      <c r="AP62" s="649">
        <f t="shared" si="55"/>
        <v>9.1176222123378956</v>
      </c>
    </row>
    <row r="63" spans="2:43">
      <c r="AA63" s="386">
        <f>1/(1+$AA$65)^(AA6-DCF!$C$26)</f>
        <v>1.8676321663841235</v>
      </c>
      <c r="AB63" s="386">
        <f>1/(1+$AA$65)^(AB6-DCF!$C$26)</f>
        <v>1.4148728533213055</v>
      </c>
      <c r="AC63" s="386">
        <f>1/(1+$AA$65)^(AC6-DCF!$C$26)</f>
        <v>1.0718733737282617</v>
      </c>
      <c r="AD63" s="386">
        <f>1/(1+$AA$65)^(AD6-DCF!$C$26)</f>
        <v>0.81202528312747091</v>
      </c>
      <c r="AE63" s="386">
        <f>1/(1+$AA$65)^(AE6-DCF!$C$26)</f>
        <v>0.61517066903596274</v>
      </c>
      <c r="AF63" s="386">
        <f>1/(1+$AA$65)^(AF6-DCF!$C$26)</f>
        <v>0.46603838563330513</v>
      </c>
      <c r="AG63" s="386">
        <f>1/(1+$AA$65)^(AG6-DCF!$C$26)</f>
        <v>0.35305938305553414</v>
      </c>
      <c r="AH63" s="386">
        <f>1/(1+$AA$65)^(AH6-DCF!$C$26)</f>
        <v>0.26746922958752584</v>
      </c>
      <c r="AI63" s="386">
        <f>1/(1+$AA$65)^(AI6-DCF!$C$26)</f>
        <v>0.20262820423297412</v>
      </c>
      <c r="AJ63" s="386">
        <f>1/(1+$AA$65)^(AJ6-DCF!$C$26)</f>
        <v>0.15350621532801068</v>
      </c>
      <c r="AK63" s="386">
        <f>1/(1+$AA$65)^(AK6-DCF!$C$26)</f>
        <v>0.11629258736970502</v>
      </c>
      <c r="AL63" s="386">
        <f>1/(1+$AA$65)^(AL6-DCF!$C$26)</f>
        <v>8.8100444977049289E-2</v>
      </c>
      <c r="AM63" s="386">
        <f>1/(1+$AA$65)^(AM6-DCF!$C$26)</f>
        <v>6.6742761346249443E-2</v>
      </c>
      <c r="AN63" s="386">
        <f>1/(1+$AA$65)^(AN6-DCF!$C$26)</f>
        <v>5.0562697989582905E-2</v>
      </c>
      <c r="AO63" s="386">
        <f>1/(1+$AA$65)^(AO6-DCF!$C$26)</f>
        <v>3.8305074234532499E-2</v>
      </c>
      <c r="AP63" s="386">
        <f>1/(1+$AA$65)^(AP6-DCF!$C$26)</f>
        <v>2.9018995632221597E-2</v>
      </c>
      <c r="AQ63" s="386">
        <f>AP63*(1+DCF!C25)/(AA65-DCF!C25)</f>
        <v>9.6571411694114484E-2</v>
      </c>
    </row>
    <row r="65" spans="2:27">
      <c r="B65" s="205" t="s">
        <v>547</v>
      </c>
      <c r="AA65" s="634">
        <v>0.32</v>
      </c>
    </row>
    <row r="66" spans="2:27">
      <c r="B66" s="205" t="s">
        <v>548</v>
      </c>
      <c r="AA66" s="637">
        <f>SUM(AB63:AO63,AQ63)/SUM(Vimizim!BH87:BU87,PKU!X195)</f>
        <v>0.44630520340760893</v>
      </c>
    </row>
  </sheetData>
  <pageMargins left="0" right="0" top="0" bottom="0" header="0" footer="0"/>
  <pageSetup paperSize="5" scale="86"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5.875" style="1" bestFit="1" customWidth="1"/>
    <col min="2" max="2" width="17.375" style="764" customWidth="1"/>
    <col min="3" max="3" width="10.5" style="1" bestFit="1" customWidth="1"/>
    <col min="4" max="256" width="9" style="1"/>
    <col min="257" max="257" width="25.875" style="1" bestFit="1" customWidth="1"/>
    <col min="258" max="258" width="17.375" style="1" customWidth="1"/>
    <col min="259" max="259" width="10.5" style="1" bestFit="1" customWidth="1"/>
    <col min="260" max="512" width="9" style="1"/>
    <col min="513" max="513" width="25.875" style="1" bestFit="1" customWidth="1"/>
    <col min="514" max="514" width="17.375" style="1" customWidth="1"/>
    <col min="515" max="515" width="10.5" style="1" bestFit="1" customWidth="1"/>
    <col min="516" max="768" width="9" style="1"/>
    <col min="769" max="769" width="25.875" style="1" bestFit="1" customWidth="1"/>
    <col min="770" max="770" width="17.375" style="1" customWidth="1"/>
    <col min="771" max="771" width="10.5" style="1" bestFit="1" customWidth="1"/>
    <col min="772" max="1024" width="9" style="1"/>
    <col min="1025" max="1025" width="25.875" style="1" bestFit="1" customWidth="1"/>
    <col min="1026" max="1026" width="17.375" style="1" customWidth="1"/>
    <col min="1027" max="1027" width="10.5" style="1" bestFit="1" customWidth="1"/>
    <col min="1028" max="1280" width="9" style="1"/>
    <col min="1281" max="1281" width="25.875" style="1" bestFit="1" customWidth="1"/>
    <col min="1282" max="1282" width="17.375" style="1" customWidth="1"/>
    <col min="1283" max="1283" width="10.5" style="1" bestFit="1" customWidth="1"/>
    <col min="1284" max="1536" width="9" style="1"/>
    <col min="1537" max="1537" width="25.875" style="1" bestFit="1" customWidth="1"/>
    <col min="1538" max="1538" width="17.375" style="1" customWidth="1"/>
    <col min="1539" max="1539" width="10.5" style="1" bestFit="1" customWidth="1"/>
    <col min="1540" max="1792" width="9" style="1"/>
    <col min="1793" max="1793" width="25.875" style="1" bestFit="1" customWidth="1"/>
    <col min="1794" max="1794" width="17.375" style="1" customWidth="1"/>
    <col min="1795" max="1795" width="10.5" style="1" bestFit="1" customWidth="1"/>
    <col min="1796" max="2048" width="9" style="1"/>
    <col min="2049" max="2049" width="25.875" style="1" bestFit="1" customWidth="1"/>
    <col min="2050" max="2050" width="17.375" style="1" customWidth="1"/>
    <col min="2051" max="2051" width="10.5" style="1" bestFit="1" customWidth="1"/>
    <col min="2052" max="2304" width="9" style="1"/>
    <col min="2305" max="2305" width="25.875" style="1" bestFit="1" customWidth="1"/>
    <col min="2306" max="2306" width="17.375" style="1" customWidth="1"/>
    <col min="2307" max="2307" width="10.5" style="1" bestFit="1" customWidth="1"/>
    <col min="2308" max="2560" width="9" style="1"/>
    <col min="2561" max="2561" width="25.875" style="1" bestFit="1" customWidth="1"/>
    <col min="2562" max="2562" width="17.375" style="1" customWidth="1"/>
    <col min="2563" max="2563" width="10.5" style="1" bestFit="1" customWidth="1"/>
    <col min="2564" max="2816" width="9" style="1"/>
    <col min="2817" max="2817" width="25.875" style="1" bestFit="1" customWidth="1"/>
    <col min="2818" max="2818" width="17.375" style="1" customWidth="1"/>
    <col min="2819" max="2819" width="10.5" style="1" bestFit="1" customWidth="1"/>
    <col min="2820" max="3072" width="9" style="1"/>
    <col min="3073" max="3073" width="25.875" style="1" bestFit="1" customWidth="1"/>
    <col min="3074" max="3074" width="17.375" style="1" customWidth="1"/>
    <col min="3075" max="3075" width="10.5" style="1" bestFit="1" customWidth="1"/>
    <col min="3076" max="3328" width="9" style="1"/>
    <col min="3329" max="3329" width="25.875" style="1" bestFit="1" customWidth="1"/>
    <col min="3330" max="3330" width="17.375" style="1" customWidth="1"/>
    <col min="3331" max="3331" width="10.5" style="1" bestFit="1" customWidth="1"/>
    <col min="3332" max="3584" width="9" style="1"/>
    <col min="3585" max="3585" width="25.875" style="1" bestFit="1" customWidth="1"/>
    <col min="3586" max="3586" width="17.375" style="1" customWidth="1"/>
    <col min="3587" max="3587" width="10.5" style="1" bestFit="1" customWidth="1"/>
    <col min="3588" max="3840" width="9" style="1"/>
    <col min="3841" max="3841" width="25.875" style="1" bestFit="1" customWidth="1"/>
    <col min="3842" max="3842" width="17.375" style="1" customWidth="1"/>
    <col min="3843" max="3843" width="10.5" style="1" bestFit="1" customWidth="1"/>
    <col min="3844" max="4096" width="9" style="1"/>
    <col min="4097" max="4097" width="25.875" style="1" bestFit="1" customWidth="1"/>
    <col min="4098" max="4098" width="17.375" style="1" customWidth="1"/>
    <col min="4099" max="4099" width="10.5" style="1" bestFit="1" customWidth="1"/>
    <col min="4100" max="4352" width="9" style="1"/>
    <col min="4353" max="4353" width="25.875" style="1" bestFit="1" customWidth="1"/>
    <col min="4354" max="4354" width="17.375" style="1" customWidth="1"/>
    <col min="4355" max="4355" width="10.5" style="1" bestFit="1" customWidth="1"/>
    <col min="4356" max="4608" width="9" style="1"/>
    <col min="4609" max="4609" width="25.875" style="1" bestFit="1" customWidth="1"/>
    <col min="4610" max="4610" width="17.375" style="1" customWidth="1"/>
    <col min="4611" max="4611" width="10.5" style="1" bestFit="1" customWidth="1"/>
    <col min="4612" max="4864" width="9" style="1"/>
    <col min="4865" max="4865" width="25.875" style="1" bestFit="1" customWidth="1"/>
    <col min="4866" max="4866" width="17.375" style="1" customWidth="1"/>
    <col min="4867" max="4867" width="10.5" style="1" bestFit="1" customWidth="1"/>
    <col min="4868" max="5120" width="9" style="1"/>
    <col min="5121" max="5121" width="25.875" style="1" bestFit="1" customWidth="1"/>
    <col min="5122" max="5122" width="17.375" style="1" customWidth="1"/>
    <col min="5123" max="5123" width="10.5" style="1" bestFit="1" customWidth="1"/>
    <col min="5124" max="5376" width="9" style="1"/>
    <col min="5377" max="5377" width="25.875" style="1" bestFit="1" customWidth="1"/>
    <col min="5378" max="5378" width="17.375" style="1" customWidth="1"/>
    <col min="5379" max="5379" width="10.5" style="1" bestFit="1" customWidth="1"/>
    <col min="5380" max="5632" width="9" style="1"/>
    <col min="5633" max="5633" width="25.875" style="1" bestFit="1" customWidth="1"/>
    <col min="5634" max="5634" width="17.375" style="1" customWidth="1"/>
    <col min="5635" max="5635" width="10.5" style="1" bestFit="1" customWidth="1"/>
    <col min="5636" max="5888" width="9" style="1"/>
    <col min="5889" max="5889" width="25.875" style="1" bestFit="1" customWidth="1"/>
    <col min="5890" max="5890" width="17.375" style="1" customWidth="1"/>
    <col min="5891" max="5891" width="10.5" style="1" bestFit="1" customWidth="1"/>
    <col min="5892" max="6144" width="9" style="1"/>
    <col min="6145" max="6145" width="25.875" style="1" bestFit="1" customWidth="1"/>
    <col min="6146" max="6146" width="17.375" style="1" customWidth="1"/>
    <col min="6147" max="6147" width="10.5" style="1" bestFit="1" customWidth="1"/>
    <col min="6148" max="6400" width="9" style="1"/>
    <col min="6401" max="6401" width="25.875" style="1" bestFit="1" customWidth="1"/>
    <col min="6402" max="6402" width="17.375" style="1" customWidth="1"/>
    <col min="6403" max="6403" width="10.5" style="1" bestFit="1" customWidth="1"/>
    <col min="6404" max="6656" width="9" style="1"/>
    <col min="6657" max="6657" width="25.875" style="1" bestFit="1" customWidth="1"/>
    <col min="6658" max="6658" width="17.375" style="1" customWidth="1"/>
    <col min="6659" max="6659" width="10.5" style="1" bestFit="1" customWidth="1"/>
    <col min="6660" max="6912" width="9" style="1"/>
    <col min="6913" max="6913" width="25.875" style="1" bestFit="1" customWidth="1"/>
    <col min="6914" max="6914" width="17.375" style="1" customWidth="1"/>
    <col min="6915" max="6915" width="10.5" style="1" bestFit="1" customWidth="1"/>
    <col min="6916" max="7168" width="9" style="1"/>
    <col min="7169" max="7169" width="25.875" style="1" bestFit="1" customWidth="1"/>
    <col min="7170" max="7170" width="17.375" style="1" customWidth="1"/>
    <col min="7171" max="7171" width="10.5" style="1" bestFit="1" customWidth="1"/>
    <col min="7172" max="7424" width="9" style="1"/>
    <col min="7425" max="7425" width="25.875" style="1" bestFit="1" customWidth="1"/>
    <col min="7426" max="7426" width="17.375" style="1" customWidth="1"/>
    <col min="7427" max="7427" width="10.5" style="1" bestFit="1" customWidth="1"/>
    <col min="7428" max="7680" width="9" style="1"/>
    <col min="7681" max="7681" width="25.875" style="1" bestFit="1" customWidth="1"/>
    <col min="7682" max="7682" width="17.375" style="1" customWidth="1"/>
    <col min="7683" max="7683" width="10.5" style="1" bestFit="1" customWidth="1"/>
    <col min="7684" max="7936" width="9" style="1"/>
    <col min="7937" max="7937" width="25.875" style="1" bestFit="1" customWidth="1"/>
    <col min="7938" max="7938" width="17.375" style="1" customWidth="1"/>
    <col min="7939" max="7939" width="10.5" style="1" bestFit="1" customWidth="1"/>
    <col min="7940" max="8192" width="9" style="1"/>
    <col min="8193" max="8193" width="25.875" style="1" bestFit="1" customWidth="1"/>
    <col min="8194" max="8194" width="17.375" style="1" customWidth="1"/>
    <col min="8195" max="8195" width="10.5" style="1" bestFit="1" customWidth="1"/>
    <col min="8196" max="8448" width="9" style="1"/>
    <col min="8449" max="8449" width="25.875" style="1" bestFit="1" customWidth="1"/>
    <col min="8450" max="8450" width="17.375" style="1" customWidth="1"/>
    <col min="8451" max="8451" width="10.5" style="1" bestFit="1" customWidth="1"/>
    <col min="8452" max="8704" width="9" style="1"/>
    <col min="8705" max="8705" width="25.875" style="1" bestFit="1" customWidth="1"/>
    <col min="8706" max="8706" width="17.375" style="1" customWidth="1"/>
    <col min="8707" max="8707" width="10.5" style="1" bestFit="1" customWidth="1"/>
    <col min="8708" max="8960" width="9" style="1"/>
    <col min="8961" max="8961" width="25.875" style="1" bestFit="1" customWidth="1"/>
    <col min="8962" max="8962" width="17.375" style="1" customWidth="1"/>
    <col min="8963" max="8963" width="10.5" style="1" bestFit="1" customWidth="1"/>
    <col min="8964" max="9216" width="9" style="1"/>
    <col min="9217" max="9217" width="25.875" style="1" bestFit="1" customWidth="1"/>
    <col min="9218" max="9218" width="17.375" style="1" customWidth="1"/>
    <col min="9219" max="9219" width="10.5" style="1" bestFit="1" customWidth="1"/>
    <col min="9220" max="9472" width="9" style="1"/>
    <col min="9473" max="9473" width="25.875" style="1" bestFit="1" customWidth="1"/>
    <col min="9474" max="9474" width="17.375" style="1" customWidth="1"/>
    <col min="9475" max="9475" width="10.5" style="1" bestFit="1" customWidth="1"/>
    <col min="9476" max="9728" width="9" style="1"/>
    <col min="9729" max="9729" width="25.875" style="1" bestFit="1" customWidth="1"/>
    <col min="9730" max="9730" width="17.375" style="1" customWidth="1"/>
    <col min="9731" max="9731" width="10.5" style="1" bestFit="1" customWidth="1"/>
    <col min="9732" max="9984" width="9" style="1"/>
    <col min="9985" max="9985" width="25.875" style="1" bestFit="1" customWidth="1"/>
    <col min="9986" max="9986" width="17.375" style="1" customWidth="1"/>
    <col min="9987" max="9987" width="10.5" style="1" bestFit="1" customWidth="1"/>
    <col min="9988" max="10240" width="9" style="1"/>
    <col min="10241" max="10241" width="25.875" style="1" bestFit="1" customWidth="1"/>
    <col min="10242" max="10242" width="17.375" style="1" customWidth="1"/>
    <col min="10243" max="10243" width="10.5" style="1" bestFit="1" customWidth="1"/>
    <col min="10244" max="10496" width="9" style="1"/>
    <col min="10497" max="10497" width="25.875" style="1" bestFit="1" customWidth="1"/>
    <col min="10498" max="10498" width="17.375" style="1" customWidth="1"/>
    <col min="10499" max="10499" width="10.5" style="1" bestFit="1" customWidth="1"/>
    <col min="10500" max="10752" width="9" style="1"/>
    <col min="10753" max="10753" width="25.875" style="1" bestFit="1" customWidth="1"/>
    <col min="10754" max="10754" width="17.375" style="1" customWidth="1"/>
    <col min="10755" max="10755" width="10.5" style="1" bestFit="1" customWidth="1"/>
    <col min="10756" max="11008" width="9" style="1"/>
    <col min="11009" max="11009" width="25.875" style="1" bestFit="1" customWidth="1"/>
    <col min="11010" max="11010" width="17.375" style="1" customWidth="1"/>
    <col min="11011" max="11011" width="10.5" style="1" bestFit="1" customWidth="1"/>
    <col min="11012" max="11264" width="9" style="1"/>
    <col min="11265" max="11265" width="25.875" style="1" bestFit="1" customWidth="1"/>
    <col min="11266" max="11266" width="17.375" style="1" customWidth="1"/>
    <col min="11267" max="11267" width="10.5" style="1" bestFit="1" customWidth="1"/>
    <col min="11268" max="11520" width="9" style="1"/>
    <col min="11521" max="11521" width="25.875" style="1" bestFit="1" customWidth="1"/>
    <col min="11522" max="11522" width="17.375" style="1" customWidth="1"/>
    <col min="11523" max="11523" width="10.5" style="1" bestFit="1" customWidth="1"/>
    <col min="11524" max="11776" width="9" style="1"/>
    <col min="11777" max="11777" width="25.875" style="1" bestFit="1" customWidth="1"/>
    <col min="11778" max="11778" width="17.375" style="1" customWidth="1"/>
    <col min="11779" max="11779" width="10.5" style="1" bestFit="1" customWidth="1"/>
    <col min="11780" max="12032" width="9" style="1"/>
    <col min="12033" max="12033" width="25.875" style="1" bestFit="1" customWidth="1"/>
    <col min="12034" max="12034" width="17.375" style="1" customWidth="1"/>
    <col min="12035" max="12035" width="10.5" style="1" bestFit="1" customWidth="1"/>
    <col min="12036" max="12288" width="9" style="1"/>
    <col min="12289" max="12289" width="25.875" style="1" bestFit="1" customWidth="1"/>
    <col min="12290" max="12290" width="17.375" style="1" customWidth="1"/>
    <col min="12291" max="12291" width="10.5" style="1" bestFit="1" customWidth="1"/>
    <col min="12292" max="12544" width="9" style="1"/>
    <col min="12545" max="12545" width="25.875" style="1" bestFit="1" customWidth="1"/>
    <col min="12546" max="12546" width="17.375" style="1" customWidth="1"/>
    <col min="12547" max="12547" width="10.5" style="1" bestFit="1" customWidth="1"/>
    <col min="12548" max="12800" width="9" style="1"/>
    <col min="12801" max="12801" width="25.875" style="1" bestFit="1" customWidth="1"/>
    <col min="12802" max="12802" width="17.375" style="1" customWidth="1"/>
    <col min="12803" max="12803" width="10.5" style="1" bestFit="1" customWidth="1"/>
    <col min="12804" max="13056" width="9" style="1"/>
    <col min="13057" max="13057" width="25.875" style="1" bestFit="1" customWidth="1"/>
    <col min="13058" max="13058" width="17.375" style="1" customWidth="1"/>
    <col min="13059" max="13059" width="10.5" style="1" bestFit="1" customWidth="1"/>
    <col min="13060" max="13312" width="9" style="1"/>
    <col min="13313" max="13313" width="25.875" style="1" bestFit="1" customWidth="1"/>
    <col min="13314" max="13314" width="17.375" style="1" customWidth="1"/>
    <col min="13315" max="13315" width="10.5" style="1" bestFit="1" customWidth="1"/>
    <col min="13316" max="13568" width="9" style="1"/>
    <col min="13569" max="13569" width="25.875" style="1" bestFit="1" customWidth="1"/>
    <col min="13570" max="13570" width="17.375" style="1" customWidth="1"/>
    <col min="13571" max="13571" width="10.5" style="1" bestFit="1" customWidth="1"/>
    <col min="13572" max="13824" width="9" style="1"/>
    <col min="13825" max="13825" width="25.875" style="1" bestFit="1" customWidth="1"/>
    <col min="13826" max="13826" width="17.375" style="1" customWidth="1"/>
    <col min="13827" max="13827" width="10.5" style="1" bestFit="1" customWidth="1"/>
    <col min="13828" max="14080" width="9" style="1"/>
    <col min="14081" max="14081" width="25.875" style="1" bestFit="1" customWidth="1"/>
    <col min="14082" max="14082" width="17.375" style="1" customWidth="1"/>
    <col min="14083" max="14083" width="10.5" style="1" bestFit="1" customWidth="1"/>
    <col min="14084" max="14336" width="9" style="1"/>
    <col min="14337" max="14337" width="25.875" style="1" bestFit="1" customWidth="1"/>
    <col min="14338" max="14338" width="17.375" style="1" customWidth="1"/>
    <col min="14339" max="14339" width="10.5" style="1" bestFit="1" customWidth="1"/>
    <col min="14340" max="14592" width="9" style="1"/>
    <col min="14593" max="14593" width="25.875" style="1" bestFit="1" customWidth="1"/>
    <col min="14594" max="14594" width="17.375" style="1" customWidth="1"/>
    <col min="14595" max="14595" width="10.5" style="1" bestFit="1" customWidth="1"/>
    <col min="14596" max="14848" width="9" style="1"/>
    <col min="14849" max="14849" width="25.875" style="1" bestFit="1" customWidth="1"/>
    <col min="14850" max="14850" width="17.375" style="1" customWidth="1"/>
    <col min="14851" max="14851" width="10.5" style="1" bestFit="1" customWidth="1"/>
    <col min="14852" max="15104" width="9" style="1"/>
    <col min="15105" max="15105" width="25.875" style="1" bestFit="1" customWidth="1"/>
    <col min="15106" max="15106" width="17.375" style="1" customWidth="1"/>
    <col min="15107" max="15107" width="10.5" style="1" bestFit="1" customWidth="1"/>
    <col min="15108" max="15360" width="9" style="1"/>
    <col min="15361" max="15361" width="25.875" style="1" bestFit="1" customWidth="1"/>
    <col min="15362" max="15362" width="17.375" style="1" customWidth="1"/>
    <col min="15363" max="15363" width="10.5" style="1" bestFit="1" customWidth="1"/>
    <col min="15364" max="15616" width="9" style="1"/>
    <col min="15617" max="15617" width="25.875" style="1" bestFit="1" customWidth="1"/>
    <col min="15618" max="15618" width="17.375" style="1" customWidth="1"/>
    <col min="15619" max="15619" width="10.5" style="1" bestFit="1" customWidth="1"/>
    <col min="15620" max="15872" width="9" style="1"/>
    <col min="15873" max="15873" width="25.875" style="1" bestFit="1" customWidth="1"/>
    <col min="15874" max="15874" width="17.375" style="1" customWidth="1"/>
    <col min="15875" max="15875" width="10.5" style="1" bestFit="1" customWidth="1"/>
    <col min="15876" max="16128" width="9" style="1"/>
    <col min="16129" max="16129" width="25.875" style="1" bestFit="1" customWidth="1"/>
    <col min="16130" max="16130" width="17.375" style="1" customWidth="1"/>
    <col min="16131" max="16131" width="10.5" style="1" bestFit="1" customWidth="1"/>
    <col min="16132" max="16384" width="9" style="1"/>
  </cols>
  <sheetData>
    <row r="1" spans="1:2">
      <c r="A1" s="1" t="s">
        <v>920</v>
      </c>
      <c r="B1" s="763">
        <v>6.1</v>
      </c>
    </row>
    <row r="2" spans="1:2">
      <c r="A2" s="1" t="s">
        <v>921</v>
      </c>
      <c r="B2" s="767">
        <v>43203.443784722222</v>
      </c>
    </row>
    <row r="3" spans="1:2">
      <c r="A3" s="1" t="s">
        <v>922</v>
      </c>
      <c r="B3" s="764" t="s">
        <v>624</v>
      </c>
    </row>
    <row r="4" spans="1:2">
      <c r="A4" s="1" t="s">
        <v>923</v>
      </c>
      <c r="B4" s="764" t="s">
        <v>566</v>
      </c>
    </row>
    <row r="5" spans="1:2">
      <c r="A5" s="1" t="s">
        <v>924</v>
      </c>
      <c r="B5" s="764" t="s">
        <v>925</v>
      </c>
    </row>
    <row r="6" spans="1:2">
      <c r="A6" s="1" t="s">
        <v>926</v>
      </c>
    </row>
    <row r="7" spans="1:2">
      <c r="A7" s="1" t="s">
        <v>927</v>
      </c>
      <c r="B7" s="764" t="s">
        <v>151</v>
      </c>
    </row>
    <row r="8" spans="1:2">
      <c r="A8" s="1" t="s">
        <v>928</v>
      </c>
      <c r="B8" s="764" t="s">
        <v>929</v>
      </c>
    </row>
    <row r="9" spans="1:2">
      <c r="A9" s="1" t="s">
        <v>930</v>
      </c>
      <c r="B9" s="764" t="s">
        <v>967</v>
      </c>
    </row>
    <row r="10" spans="1:2">
      <c r="A10" s="1" t="s">
        <v>931</v>
      </c>
    </row>
    <row r="11" spans="1:2">
      <c r="A11" s="1" t="s">
        <v>932</v>
      </c>
    </row>
    <row r="12" spans="1:2">
      <c r="A12" s="1" t="s">
        <v>933</v>
      </c>
    </row>
    <row r="13" spans="1:2">
      <c r="A13" s="1" t="s">
        <v>934</v>
      </c>
    </row>
    <row r="14" spans="1:2">
      <c r="A14" s="1" t="s">
        <v>935</v>
      </c>
    </row>
    <row r="15" spans="1:2">
      <c r="A15" s="1" t="s">
        <v>936</v>
      </c>
    </row>
    <row r="16" spans="1:2">
      <c r="A16" s="1" t="s">
        <v>937</v>
      </c>
    </row>
    <row r="17" spans="1:4">
      <c r="A17" s="1" t="s">
        <v>938</v>
      </c>
      <c r="B17" s="764" t="s">
        <v>968</v>
      </c>
    </row>
    <row r="18" spans="1:4">
      <c r="A18" s="1" t="s">
        <v>939</v>
      </c>
      <c r="B18" s="764" t="s">
        <v>971</v>
      </c>
    </row>
    <row r="19" spans="1:4">
      <c r="A19" s="1" t="s">
        <v>940</v>
      </c>
      <c r="B19" s="764" t="s">
        <v>150</v>
      </c>
    </row>
    <row r="20" spans="1:4">
      <c r="A20" s="1" t="s">
        <v>941</v>
      </c>
      <c r="B20" s="765" t="s">
        <v>972</v>
      </c>
    </row>
    <row r="21" spans="1:4">
      <c r="A21" s="1" t="s">
        <v>575</v>
      </c>
      <c r="B21" s="764" t="s">
        <v>150</v>
      </c>
    </row>
    <row r="22" spans="1:4">
      <c r="A22" s="1" t="s">
        <v>942</v>
      </c>
      <c r="B22" s="765">
        <v>2437071</v>
      </c>
    </row>
    <row r="23" spans="1:4">
      <c r="A23" s="1" t="s">
        <v>532</v>
      </c>
      <c r="B23" s="763">
        <v>83.58</v>
      </c>
    </row>
    <row r="24" spans="1:4">
      <c r="A24" s="1" t="s">
        <v>531</v>
      </c>
      <c r="B24" s="764" t="s">
        <v>149</v>
      </c>
      <c r="D24" s="1" t="s">
        <v>943</v>
      </c>
    </row>
    <row r="25" spans="1:4">
      <c r="A25" s="1" t="s">
        <v>944</v>
      </c>
      <c r="B25" s="764" t="s">
        <v>973</v>
      </c>
    </row>
    <row r="26" spans="1:4">
      <c r="A26" s="1" t="s">
        <v>945</v>
      </c>
      <c r="B26" s="764">
        <v>0</v>
      </c>
    </row>
    <row r="27" spans="1:4">
      <c r="A27" s="1" t="s">
        <v>946</v>
      </c>
      <c r="B27" s="764" t="s">
        <v>947</v>
      </c>
    </row>
    <row r="28" spans="1:4">
      <c r="A28" s="1" t="s">
        <v>948</v>
      </c>
      <c r="B28" s="764" t="s">
        <v>949</v>
      </c>
    </row>
    <row r="29" spans="1:4">
      <c r="A29" s="1" t="s">
        <v>950</v>
      </c>
    </row>
    <row r="30" spans="1:4">
      <c r="A30" s="1" t="s">
        <v>951</v>
      </c>
    </row>
    <row r="31" spans="1:4">
      <c r="A31" s="1" t="s">
        <v>952</v>
      </c>
    </row>
    <row r="32" spans="1:4">
      <c r="A32" s="1" t="s">
        <v>953</v>
      </c>
      <c r="B32" s="763"/>
    </row>
    <row r="33" spans="1:2">
      <c r="A33" s="1" t="s">
        <v>954</v>
      </c>
      <c r="B33" s="763"/>
    </row>
    <row r="34" spans="1:2">
      <c r="A34" s="1" t="s">
        <v>955</v>
      </c>
      <c r="B34" s="763"/>
    </row>
    <row r="35" spans="1:2">
      <c r="A35" s="1" t="s">
        <v>956</v>
      </c>
      <c r="B35" s="764">
        <v>1000000</v>
      </c>
    </row>
    <row r="36" spans="1:2">
      <c r="A36" s="1" t="s">
        <v>957</v>
      </c>
      <c r="B36" s="764" t="s">
        <v>969</v>
      </c>
    </row>
    <row r="37" spans="1:2">
      <c r="A37" s="1" t="s">
        <v>958</v>
      </c>
      <c r="B37" s="764" t="s">
        <v>959</v>
      </c>
    </row>
    <row r="38" spans="1:2">
      <c r="A38" s="1" t="s">
        <v>960</v>
      </c>
      <c r="B38" s="764" t="s">
        <v>961</v>
      </c>
    </row>
    <row r="39" spans="1:2">
      <c r="A39" s="1" t="s">
        <v>962</v>
      </c>
      <c r="B39" s="764" t="s">
        <v>970</v>
      </c>
    </row>
    <row r="40" spans="1:2">
      <c r="A40" s="1" t="s">
        <v>963</v>
      </c>
      <c r="B40" s="764">
        <v>1500004768</v>
      </c>
    </row>
    <row r="41" spans="1:2">
      <c r="A41" s="1" t="s">
        <v>964</v>
      </c>
      <c r="B41" s="764">
        <v>1</v>
      </c>
    </row>
    <row r="42" spans="1:2">
      <c r="A42" s="766" t="s">
        <v>965</v>
      </c>
    </row>
    <row r="43" spans="1:2">
      <c r="A43" s="1" t="s">
        <v>966</v>
      </c>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13"/>
  <sheetViews>
    <sheetView workbookViewId="0">
      <selection activeCell="E11" sqref="E11"/>
    </sheetView>
  </sheetViews>
  <sheetFormatPr defaultRowHeight="12.75"/>
  <cols>
    <col min="1" max="1" width="25" style="1" bestFit="1" customWidth="1"/>
    <col min="2" max="256" width="9" style="1"/>
    <col min="257" max="257" width="25" style="1" bestFit="1" customWidth="1"/>
    <col min="258" max="512" width="9" style="1"/>
    <col min="513" max="513" width="25" style="1" bestFit="1" customWidth="1"/>
    <col min="514" max="768" width="9" style="1"/>
    <col min="769" max="769" width="25" style="1" bestFit="1" customWidth="1"/>
    <col min="770" max="1024" width="9" style="1"/>
    <col min="1025" max="1025" width="25" style="1" bestFit="1" customWidth="1"/>
    <col min="1026" max="1280" width="9" style="1"/>
    <col min="1281" max="1281" width="25" style="1" bestFit="1" customWidth="1"/>
    <col min="1282" max="1536" width="9" style="1"/>
    <col min="1537" max="1537" width="25" style="1" bestFit="1" customWidth="1"/>
    <col min="1538" max="1792" width="9" style="1"/>
    <col min="1793" max="1793" width="25" style="1" bestFit="1" customWidth="1"/>
    <col min="1794" max="2048" width="9" style="1"/>
    <col min="2049" max="2049" width="25" style="1" bestFit="1" customWidth="1"/>
    <col min="2050" max="2304" width="9" style="1"/>
    <col min="2305" max="2305" width="25" style="1" bestFit="1" customWidth="1"/>
    <col min="2306" max="2560" width="9" style="1"/>
    <col min="2561" max="2561" width="25" style="1" bestFit="1" customWidth="1"/>
    <col min="2562" max="2816" width="9" style="1"/>
    <col min="2817" max="2817" width="25" style="1" bestFit="1" customWidth="1"/>
    <col min="2818" max="3072" width="9" style="1"/>
    <col min="3073" max="3073" width="25" style="1" bestFit="1" customWidth="1"/>
    <col min="3074" max="3328" width="9" style="1"/>
    <col min="3329" max="3329" width="25" style="1" bestFit="1" customWidth="1"/>
    <col min="3330" max="3584" width="9" style="1"/>
    <col min="3585" max="3585" width="25" style="1" bestFit="1" customWidth="1"/>
    <col min="3586" max="3840" width="9" style="1"/>
    <col min="3841" max="3841" width="25" style="1" bestFit="1" customWidth="1"/>
    <col min="3842" max="4096" width="9" style="1"/>
    <col min="4097" max="4097" width="25" style="1" bestFit="1" customWidth="1"/>
    <col min="4098" max="4352" width="9" style="1"/>
    <col min="4353" max="4353" width="25" style="1" bestFit="1" customWidth="1"/>
    <col min="4354" max="4608" width="9" style="1"/>
    <col min="4609" max="4609" width="25" style="1" bestFit="1" customWidth="1"/>
    <col min="4610" max="4864" width="9" style="1"/>
    <col min="4865" max="4865" width="25" style="1" bestFit="1" customWidth="1"/>
    <col min="4866" max="5120" width="9" style="1"/>
    <col min="5121" max="5121" width="25" style="1" bestFit="1" customWidth="1"/>
    <col min="5122" max="5376" width="9" style="1"/>
    <col min="5377" max="5377" width="25" style="1" bestFit="1" customWidth="1"/>
    <col min="5378" max="5632" width="9" style="1"/>
    <col min="5633" max="5633" width="25" style="1" bestFit="1" customWidth="1"/>
    <col min="5634" max="5888" width="9" style="1"/>
    <col min="5889" max="5889" width="25" style="1" bestFit="1" customWidth="1"/>
    <col min="5890" max="6144" width="9" style="1"/>
    <col min="6145" max="6145" width="25" style="1" bestFit="1" customWidth="1"/>
    <col min="6146" max="6400" width="9" style="1"/>
    <col min="6401" max="6401" width="25" style="1" bestFit="1" customWidth="1"/>
    <col min="6402" max="6656" width="9" style="1"/>
    <col min="6657" max="6657" width="25" style="1" bestFit="1" customWidth="1"/>
    <col min="6658" max="6912" width="9" style="1"/>
    <col min="6913" max="6913" width="25" style="1" bestFit="1" customWidth="1"/>
    <col min="6914" max="7168" width="9" style="1"/>
    <col min="7169" max="7169" width="25" style="1" bestFit="1" customWidth="1"/>
    <col min="7170" max="7424" width="9" style="1"/>
    <col min="7425" max="7425" width="25" style="1" bestFit="1" customWidth="1"/>
    <col min="7426" max="7680" width="9" style="1"/>
    <col min="7681" max="7681" width="25" style="1" bestFit="1" customWidth="1"/>
    <col min="7682" max="7936" width="9" style="1"/>
    <col min="7937" max="7937" width="25" style="1" bestFit="1" customWidth="1"/>
    <col min="7938" max="8192" width="9" style="1"/>
    <col min="8193" max="8193" width="25" style="1" bestFit="1" customWidth="1"/>
    <col min="8194" max="8448" width="9" style="1"/>
    <col min="8449" max="8449" width="25" style="1" bestFit="1" customWidth="1"/>
    <col min="8450" max="8704" width="9" style="1"/>
    <col min="8705" max="8705" width="25" style="1" bestFit="1" customWidth="1"/>
    <col min="8706" max="8960" width="9" style="1"/>
    <col min="8961" max="8961" width="25" style="1" bestFit="1" customWidth="1"/>
    <col min="8962" max="9216" width="9" style="1"/>
    <col min="9217" max="9217" width="25" style="1" bestFit="1" customWidth="1"/>
    <col min="9218" max="9472" width="9" style="1"/>
    <col min="9473" max="9473" width="25" style="1" bestFit="1" customWidth="1"/>
    <col min="9474" max="9728" width="9" style="1"/>
    <col min="9729" max="9729" width="25" style="1" bestFit="1" customWidth="1"/>
    <col min="9730" max="9984" width="9" style="1"/>
    <col min="9985" max="9985" width="25" style="1" bestFit="1" customWidth="1"/>
    <col min="9986" max="10240" width="9" style="1"/>
    <col min="10241" max="10241" width="25" style="1" bestFit="1" customWidth="1"/>
    <col min="10242" max="10496" width="9" style="1"/>
    <col min="10497" max="10497" width="25" style="1" bestFit="1" customWidth="1"/>
    <col min="10498" max="10752" width="9" style="1"/>
    <col min="10753" max="10753" width="25" style="1" bestFit="1" customWidth="1"/>
    <col min="10754" max="11008" width="9" style="1"/>
    <col min="11009" max="11009" width="25" style="1" bestFit="1" customWidth="1"/>
    <col min="11010" max="11264" width="9" style="1"/>
    <col min="11265" max="11265" width="25" style="1" bestFit="1" customWidth="1"/>
    <col min="11266" max="11520" width="9" style="1"/>
    <col min="11521" max="11521" width="25" style="1" bestFit="1" customWidth="1"/>
    <col min="11522" max="11776" width="9" style="1"/>
    <col min="11777" max="11777" width="25" style="1" bestFit="1" customWidth="1"/>
    <col min="11778" max="12032" width="9" style="1"/>
    <col min="12033" max="12033" width="25" style="1" bestFit="1" customWidth="1"/>
    <col min="12034" max="12288" width="9" style="1"/>
    <col min="12289" max="12289" width="25" style="1" bestFit="1" customWidth="1"/>
    <col min="12290" max="12544" width="9" style="1"/>
    <col min="12545" max="12545" width="25" style="1" bestFit="1" customWidth="1"/>
    <col min="12546" max="12800" width="9" style="1"/>
    <col min="12801" max="12801" width="25" style="1" bestFit="1" customWidth="1"/>
    <col min="12802" max="13056" width="9" style="1"/>
    <col min="13057" max="13057" width="25" style="1" bestFit="1" customWidth="1"/>
    <col min="13058" max="13312" width="9" style="1"/>
    <col min="13313" max="13313" width="25" style="1" bestFit="1" customWidth="1"/>
    <col min="13314" max="13568" width="9" style="1"/>
    <col min="13569" max="13569" width="25" style="1" bestFit="1" customWidth="1"/>
    <col min="13570" max="13824" width="9" style="1"/>
    <col min="13825" max="13825" width="25" style="1" bestFit="1" customWidth="1"/>
    <col min="13826" max="14080" width="9" style="1"/>
    <col min="14081" max="14081" width="25" style="1" bestFit="1" customWidth="1"/>
    <col min="14082" max="14336" width="9" style="1"/>
    <col min="14337" max="14337" width="25" style="1" bestFit="1" customWidth="1"/>
    <col min="14338" max="14592" width="9" style="1"/>
    <col min="14593" max="14593" width="25" style="1" bestFit="1" customWidth="1"/>
    <col min="14594" max="14848" width="9" style="1"/>
    <col min="14849" max="14849" width="25" style="1" bestFit="1" customWidth="1"/>
    <col min="14850" max="15104" width="9" style="1"/>
    <col min="15105" max="15105" width="25" style="1" bestFit="1" customWidth="1"/>
    <col min="15106" max="15360" width="9" style="1"/>
    <col min="15361" max="15361" width="25" style="1" bestFit="1" customWidth="1"/>
    <col min="15362" max="15616" width="9" style="1"/>
    <col min="15617" max="15617" width="25" style="1" bestFit="1" customWidth="1"/>
    <col min="15618" max="15872" width="9" style="1"/>
    <col min="15873" max="15873" width="25" style="1" bestFit="1" customWidth="1"/>
    <col min="15874" max="16128" width="9" style="1"/>
    <col min="16129" max="16129" width="25" style="1" bestFit="1" customWidth="1"/>
    <col min="16130" max="16384" width="9" style="1"/>
  </cols>
  <sheetData>
    <row r="1" spans="1:1">
      <c r="A1" s="768" t="s">
        <v>974</v>
      </c>
    </row>
    <row r="2" spans="1:1">
      <c r="A2" s="768" t="s">
        <v>979</v>
      </c>
    </row>
    <row r="3" spans="1:1">
      <c r="A3" s="768" t="s">
        <v>980</v>
      </c>
    </row>
    <row r="4" spans="1:1">
      <c r="A4" s="768" t="s">
        <v>981</v>
      </c>
    </row>
    <row r="5" spans="1:1">
      <c r="A5" s="768" t="s">
        <v>982</v>
      </c>
    </row>
    <row r="6" spans="1:1">
      <c r="A6" s="768" t="s">
        <v>975</v>
      </c>
    </row>
    <row r="7" spans="1:1">
      <c r="A7" s="768" t="s">
        <v>983</v>
      </c>
    </row>
    <row r="8" spans="1:1">
      <c r="A8" s="768" t="s">
        <v>984</v>
      </c>
    </row>
    <row r="9" spans="1:1">
      <c r="A9" s="768" t="s">
        <v>985</v>
      </c>
    </row>
    <row r="10" spans="1:1">
      <c r="A10" s="768" t="s">
        <v>976</v>
      </c>
    </row>
    <row r="11" spans="1:1">
      <c r="A11" s="768" t="s">
        <v>986</v>
      </c>
    </row>
    <row r="12" spans="1:1">
      <c r="A12" s="768" t="s">
        <v>977</v>
      </c>
    </row>
    <row r="13" spans="1:1">
      <c r="A13" s="768" t="s">
        <v>978</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283B76A8-5742-43F1-A0B9-31E7F7FB55B3}">
  <ds:schemaRefs>
    <ds:schemaRef ds:uri="thomsonreuters.linking.metadatachange"/>
  </ds:schemaRefs>
</ds:datastoreItem>
</file>

<file path=customXml/itemProps2.xml><?xml version="1.0" encoding="utf-8"?>
<ds:datastoreItem xmlns:ds="http://schemas.openxmlformats.org/officeDocument/2006/customXml" ds:itemID="{C0CAA531-91C7-499C-9B29-406527A383D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97</vt:i4>
      </vt:variant>
    </vt:vector>
  </HeadingPairs>
  <TitlesOfParts>
    <vt:vector size="116" baseType="lpstr">
      <vt:lpstr>ImportantDisclosures</vt:lpstr>
      <vt:lpstr>SOP</vt:lpstr>
      <vt:lpstr>DCF</vt:lpstr>
      <vt:lpstr>IS</vt:lpstr>
      <vt:lpstr>Rev-Exp</vt:lpstr>
      <vt:lpstr>BS</vt:lpstr>
      <vt:lpstr>CS</vt:lpstr>
      <vt:lpstr>Marketed ---&gt;</vt:lpstr>
      <vt:lpstr>Vimizim</vt:lpstr>
      <vt:lpstr>Naglazyme</vt:lpstr>
      <vt:lpstr>PKU</vt:lpstr>
      <vt:lpstr>Aldurazyme</vt:lpstr>
      <vt:lpstr>Brineura (BMN 190)</vt:lpstr>
      <vt:lpstr>Pipeline ---&gt;</vt:lpstr>
      <vt:lpstr> Vosoritide (BMN 111)</vt:lpstr>
      <vt:lpstr>BMN 270</vt:lpstr>
      <vt:lpstr>BMN 250</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vt:lpstr>
      <vt:lpstr>Linking_10</vt:lpstr>
      <vt:lpstr>Linking_16</vt:lpstr>
      <vt:lpstr>Linking_18</vt:lpstr>
      <vt:lpstr>Linking_19</vt:lpstr>
      <vt:lpstr>Linking_20</vt:lpstr>
      <vt:lpstr>Linking_21</vt:lpstr>
      <vt:lpstr>Linking_22</vt:lpstr>
      <vt:lpstr>Linking_24</vt:lpstr>
      <vt:lpstr>Linking_25</vt:lpstr>
      <vt:lpstr>Linking_26</vt:lpstr>
      <vt:lpstr>Linking_27</vt:lpstr>
      <vt:lpstr>Linking_28</vt:lpstr>
      <vt:lpstr>Linking_29</vt:lpstr>
      <vt:lpstr>Linking_3</vt:lpstr>
      <vt:lpstr>Linking_30</vt:lpstr>
      <vt:lpstr>Linking_31</vt:lpstr>
      <vt:lpstr>Linking_32</vt:lpstr>
      <vt:lpstr>Linking_33</vt:lpstr>
      <vt:lpstr>Linking_34</vt:lpstr>
      <vt:lpstr>Linking_35</vt:lpstr>
      <vt:lpstr>Linking_36</vt:lpstr>
      <vt:lpstr>Linking_4</vt:lpstr>
      <vt:lpstr>Linking_5</vt:lpstr>
      <vt:lpstr>Linking_6</vt:lpstr>
      <vt:lpstr>Linking_7</vt:lpstr>
      <vt:lpstr>Linking_8</vt:lpstr>
      <vt:lpstr>Linking_9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IndexInformation!ObjectType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IndexInformation!SubmitterUserId</vt:lpstr>
      <vt:lpstr>ModPubIndex!SUPPRESSED</vt:lpstr>
      <vt:lpstr>ImportantDisclosures!TargetPrice</vt:lpstr>
      <vt:lpstr>IndexInformation!TemplateRegion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2012-01-11T19:31:20Z</dcterms:created>
  <dc:creator>Matthew.Harrison@morganstanley.com</dc:creator>
  <cp:lastModifiedBy>Asante, Ishmael I (Research)</cp:lastModifiedBy>
  <cp:lastPrinted>2018-02-23T02:35:10Z</cp:lastPrinted>
  <dcterms:modified xsi:type="dcterms:W3CDTF">2018-04-13T14:39:04Z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AK_Version" pid="2">
    <vt:lpwstr>2.0.8</vt:lpwstr>
  </property>
  <property fmtid="{D5CDD505-2E9C-101B-9397-08002B2CF9AE}" name="Language" pid="3">
    <vt:lpwstr>1033</vt:lpwstr>
  </property>
  <property fmtid="{D5CDD505-2E9C-101B-9397-08002B2CF9AE}" name="Create_Backup" pid="4">
    <vt:lpwstr>3</vt:lpwstr>
  </property>
  <property fmtid="{D5CDD505-2E9C-101B-9397-08002B2CF9AE}" name="Workbook_Font" pid="5">
    <vt:lpwstr>Frutiger 45 Light</vt:lpwstr>
  </property>
  <property fmtid="{D5CDD505-2E9C-101B-9397-08002B2CF9AE}" name="Workbook_FontSize" pid="6">
    <vt:lpwstr>10</vt:lpwstr>
  </property>
  <property fmtid="{D5CDD505-2E9C-101B-9397-08002B2CF9AE}" name="Average_Translated" pid="7">
    <vt:lpwstr>Average</vt:lpwstr>
  </property>
  <property fmtid="{D5CDD505-2E9C-101B-9397-08002B2CF9AE}" name="Thick_Lines" pid="8">
    <vt:lpwstr>0</vt:lpwstr>
  </property>
  <property fmtid="{D5CDD505-2E9C-101B-9397-08002B2CF9AE}" name="Num_Categories_On_XAxis" pid="9">
    <vt:lpwstr>6</vt:lpwstr>
  </property>
  <property fmtid="{D5CDD505-2E9C-101B-9397-08002B2CF9AE}" name="Share_PX_Label" pid="10">
    <vt:lpwstr>Stock price</vt:lpwstr>
  </property>
  <property fmtid="{D5CDD505-2E9C-101B-9397-08002B2CF9AE}" name="Volume_Label" pid="11">
    <vt:lpwstr>Volume (000s)</vt:lpwstr>
  </property>
  <property fmtid="{D5CDD505-2E9C-101B-9397-08002B2CF9AE}" name="Stock_Volume_XAxis_Label" pid="12">
    <vt:lpwstr>Closing date</vt:lpwstr>
  </property>
  <property fmtid="{D5CDD505-2E9C-101B-9397-08002B2CF9AE}" name="Pie_Chart_Labels" pid="13">
    <vt:lpwstr>-1</vt:lpwstr>
  </property>
  <property fmtid="{D5CDD505-2E9C-101B-9397-08002B2CF9AE}" name="Pie_Chart_Legend" pid="14">
    <vt:lpwstr>0</vt:lpwstr>
  </property>
  <property fmtid="{D5CDD505-2E9C-101B-9397-08002B2CF9AE}" name="Annotation_Add_Date" pid="15">
    <vt:lpwstr>-1</vt:lpwstr>
  </property>
  <property fmtid="{D5CDD505-2E9C-101B-9397-08002B2CF9AE}" name="Annotation_Date_Bold" pid="16">
    <vt:lpwstr>-1</vt:lpwstr>
  </property>
  <property fmtid="{D5CDD505-2E9C-101B-9397-08002B2CF9AE}" name="Annotation_Date_Format" pid="17">
    <vt:lpwstr>F1</vt:lpwstr>
  </property>
  <property fmtid="{D5CDD505-2E9C-101B-9397-08002B2CF9AE}" name="ShowGridlines" pid="18">
    <vt:lpwstr>-1</vt:lpwstr>
  </property>
  <property fmtid="{D5CDD505-2E9C-101B-9397-08002B2CF9AE}" name="ShowYAxis" pid="19">
    <vt:lpwstr>0</vt:lpwstr>
  </property>
  <property fmtid="{D5CDD505-2E9C-101B-9397-08002B2CF9AE}" name="UseStackWhiteBorder" pid="20">
    <vt:lpwstr>-1</vt:lpwstr>
  </property>
  <property fmtid="{D5CDD505-2E9C-101B-9397-08002B2CF9AE}" name="UseDashStyle" pid="21">
    <vt:lpwstr>0</vt:lpwstr>
  </property>
  <property fmtid="{D5CDD505-2E9C-101B-9397-08002B2CF9AE}" name="{A44787D4-0540-4523-9961-78E4036D8C6D}" pid="22">
    <vt:lpwstr>{17258143-8371-47B8-AE8D-0E82ADF45E8B}</vt:lpwstr>
  </property>
  <property fmtid="{D5CDD505-2E9C-101B-9397-08002B2CF9AE}" name="ERModPubTicket" pid="23">
    <vt:lpwstr>NA</vt:lpwstr>
  </property>
  <property fmtid="{D5CDD505-2E9C-101B-9397-08002B2CF9AE}" name="ERCompanyUploadState" pid="24">
    <vt:lpwstr>P</vt:lpwstr>
  </property>
  <property fmtid="{D5CDD505-2E9C-101B-9397-08002B2CF9AE}" name="ModelId" pid="25">
    <vt:lpwstr>761554</vt:lpwstr>
  </property>
  <property fmtid="{D5CDD505-2E9C-101B-9397-08002B2CF9AE}" name="ERModPubCompanyName" pid="26">
    <vt:lpwstr>Biomarin Pharmaceutical Inc</vt:lpwstr>
  </property>
  <property fmtid="{D5CDD505-2E9C-101B-9397-08002B2CF9AE}" name="MSDH34TAG" pid="27">
    <vt:lpwstr>.TEZUF76X5TAHATHESADREYAK-00-INB160+*94600-06=6e5b7db2/-3f28/-11e8/-b3f7/-7a79cfe26848,MD=20180413104814/-0400,ZZ=000Z-b69d.</vt:lpwstr>
  </property>
</Properties>
</file>